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30" yWindow="-15" windowWidth="12780" windowHeight="5880" tabRatio="812" firstSheet="1" activeTab="1"/>
  </bookViews>
  <sheets>
    <sheet name="__FDSCACHE__" sheetId="1" state="veryHidden" r:id="rId1"/>
    <sheet name="Resumo Cenarios" sheetId="39" r:id="rId2"/>
    <sheet name="Projeção --&gt;" sheetId="8" r:id="rId3"/>
    <sheet name="PROJ_AGCeAGPar" sheetId="33" r:id="rId4"/>
    <sheet name="PROJ_ConsAG" sheetId="37" r:id="rId5"/>
    <sheet name="Financiamentos" sheetId="38" r:id="rId6"/>
    <sheet name="DIVIDA AGPar" sheetId="26" r:id="rId7"/>
    <sheet name="DIVIDA AGConcessoes" sheetId="35" r:id="rId8"/>
    <sheet name="Links --&gt;" sheetId="16" r:id="rId9"/>
    <sheet name="Macroeconomics" sheetId="12" r:id="rId10"/>
    <sheet name="Tabelas Relatorio --&gt;" sheetId="13" r:id="rId11"/>
    <sheet name="Duration" sheetId="30" r:id="rId12"/>
    <sheet name="MW-Cache" sheetId="17" state="veryHidden" r:id="rId13"/>
    <sheet name="FERIADO" sheetId="31" state="hidden" r:id="rId14"/>
  </sheets>
  <externalReferences>
    <externalReference r:id="rId15"/>
  </externalReferences>
  <definedNames>
    <definedName name="___JAN02" localSheetId="7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localSheetId="6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x1" localSheetId="7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localSheetId="6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123Graph_ASIDECO" localSheetId="7" hidden="1">'[1]CONSSID12-96'!#REF!</definedName>
    <definedName name="__123Graph_ASIDECO" localSheetId="6" hidden="1">'[1]CONSSID12-96'!#REF!</definedName>
    <definedName name="__123Graph_ASIDECO" localSheetId="5" hidden="1">'[1]CONSSID12-96'!#REF!</definedName>
    <definedName name="__123Graph_ASIDECO" localSheetId="4" hidden="1">'[1]CONSSID12-96'!#REF!</definedName>
    <definedName name="__123Graph_ASIDECO" hidden="1">'[1]CONSSID12-96'!#REF!</definedName>
    <definedName name="__123Graph_BSIDECO" localSheetId="7" hidden="1">'[1]CONSSID12-96'!#REF!</definedName>
    <definedName name="__123Graph_BSIDECO" localSheetId="6" hidden="1">'[1]CONSSID12-96'!#REF!</definedName>
    <definedName name="__123Graph_BSIDECO" localSheetId="5" hidden="1">'[1]CONSSID12-96'!#REF!</definedName>
    <definedName name="__123Graph_BSIDECO" localSheetId="4" hidden="1">'[1]CONSSID12-96'!#REF!</definedName>
    <definedName name="__123Graph_BSIDECO" hidden="1">'[1]CONSSID12-96'!#REF!</definedName>
    <definedName name="__123Graph_CSIDECO" localSheetId="7" hidden="1">'[1]CONSSID12-96'!#REF!</definedName>
    <definedName name="__123Graph_CSIDECO" localSheetId="6" hidden="1">'[1]CONSSID12-96'!#REF!</definedName>
    <definedName name="__123Graph_CSIDECO" localSheetId="5" hidden="1">'[1]CONSSID12-96'!#REF!</definedName>
    <definedName name="__123Graph_CSIDECO" localSheetId="4" hidden="1">'[1]CONSSID12-96'!#REF!</definedName>
    <definedName name="__123Graph_CSIDECO" hidden="1">'[1]CONSSID12-96'!#REF!</definedName>
    <definedName name="__123Graph_XSIDECO" localSheetId="7" hidden="1">'[1]CONSSID12-96'!#REF!</definedName>
    <definedName name="__123Graph_XSIDECO" localSheetId="6" hidden="1">'[1]CONSSID12-96'!#REF!</definedName>
    <definedName name="__123Graph_XSIDECO" localSheetId="5" hidden="1">'[1]CONSSID12-96'!#REF!</definedName>
    <definedName name="__123Graph_XSIDECO" localSheetId="4" hidden="1">'[1]CONSSID12-96'!#REF!</definedName>
    <definedName name="__123Graph_XSIDECO" hidden="1">'[1]CONSSID12-96'!#REF!</definedName>
    <definedName name="__JAN02" localSheetId="7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localSheetId="6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x1" localSheetId="7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localSheetId="6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JAN02" localSheetId="7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localSheetId="6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Order1" hidden="1">255</definedName>
    <definedName name="_Order2" hidden="1">255</definedName>
    <definedName name="_x1" localSheetId="7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" localSheetId="6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go" localSheetId="7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localSheetId="6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localSheetId="7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localSheetId="6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BWorkbookPriority" hidden="1">-864555524</definedName>
    <definedName name="f" localSheetId="7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" localSheetId="6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ｆ" hidden="1">"iQShowAnnual"</definedName>
    <definedName name="FERIADO">FERIADO!$A$2:$A$937</definedName>
    <definedName name="fim" localSheetId="7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m" localSheetId="6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7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6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localSheetId="7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localSheetId="6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ML_CodePage" hidden="1">1252</definedName>
    <definedName name="HTML_Control" localSheetId="7" hidden="1">{"'Índice'!$A$1:$K$49"}</definedName>
    <definedName name="HTML_Control" localSheetId="6" hidden="1">{"'Índice'!$A$1:$K$49"}</definedName>
    <definedName name="HTML_Control" hidden="1">{"'Índice'!$A$1:$K$49"}</definedName>
    <definedName name="HTML_Description" hidden="1">""</definedName>
    <definedName name="HTML_Email" hidden="1">""</definedName>
    <definedName name="HTML_Header" hidden="1">"Índice"</definedName>
    <definedName name="HTML_LastUpdate" hidden="1">"12/08/1999"</definedName>
    <definedName name="HTML_LineAfter" hidden="1">FALSE</definedName>
    <definedName name="HTML_LineBefore" hidden="1">FALSE</definedName>
    <definedName name="HTML_Name" hidden="1">"Rodovia das Cataratas"</definedName>
    <definedName name="HTML_OBDlg2" hidden="1">TRUE</definedName>
    <definedName name="HTML_OBDlg4" hidden="1">TRUE</definedName>
    <definedName name="HTML_OS" hidden="1">0</definedName>
    <definedName name="HTML_PathFile" hidden="1">"\\Server_1\sig\07 Julho\Informe\MeuHTML.htm"</definedName>
    <definedName name="HTML_Title" hidden="1">"Gerência de Administração e Controle de Gestão"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PAYOUT_RATIO" hidden="1">"c3492"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ll" localSheetId="7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6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 localSheetId="7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 localSheetId="6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" localSheetId="7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" localSheetId="6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Previsao" localSheetId="7" hidden="1">{"'Índice'!$A$1:$K$49"}</definedName>
    <definedName name="Previsao" localSheetId="6" hidden="1">{"'Índice'!$A$1:$K$49"}</definedName>
    <definedName name="Previsao" hidden="1">{"'Índice'!$A$1:$K$49"}</definedName>
    <definedName name="qq" localSheetId="7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" localSheetId="6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7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6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7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6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localSheetId="7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localSheetId="6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q" localSheetId="7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6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7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6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q" localSheetId="7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6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localSheetId="7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6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19.66</definedName>
    <definedName name="ss" localSheetId="7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" localSheetId="6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7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6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7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6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VENTAS." localSheetId="7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6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7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6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vu.Print_Todo." localSheetId="7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6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localSheetId="7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6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</definedNames>
  <calcPr calcId="125725"/>
  <customWorkbookViews>
    <customWorkbookView name="Administrator - Personal View" guid="{E575866E-AC6D-4394-9CD3-8AED20D96A5E}" mergeInterval="0" personalView="1" maximized="1" windowWidth="1436" windowHeight="735" tabRatio="895" activeSheetId="18"/>
    <customWorkbookView name="Irevna - Personal View" guid="{6280D585-CF22-451E-B29E-288955B1FF75}" mergeInterval="0" personalView="1" maximized="1" windowWidth="1075" windowHeight="722" tabRatio="716" activeSheetId="1"/>
    <customWorkbookView name="amig - Personal View" guid="{C9CD96BC-B0AB-4293-88EA-EE4E27621B3B}" mergeInterval="0" personalView="1" maximized="1" windowWidth="1148" windowHeight="623" tabRatio="716" activeSheetId="7"/>
    <customWorkbookView name="tushara - Personal View" guid="{4A94A4CF-0F83-423C-83E9-C66A83D3D488}" mergeInterval="0" personalView="1" maximized="1" windowWidth="1276" windowHeight="826" tabRatio="716" activeSheetId="5"/>
    <customWorkbookView name="t663471 - Personal View" guid="{5738A43C-D110-45C4-B674-D39657A4D9EE}" mergeInterval="0" personalView="1" maximized="1" xWindow="1" yWindow="1" windowWidth="1436" windowHeight="657" tabRatio="895" activeSheetId="15"/>
    <customWorkbookView name="t608810 - Personal View" guid="{AF606229-75CD-4176-8017-8565F5ED8E7B}" mergeInterval="0" personalView="1" maximized="1" xWindow="1" yWindow="1" windowWidth="1427" windowHeight="681" tabRatio="895" activeSheetId="7"/>
  </customWorkbookViews>
</workbook>
</file>

<file path=xl/calcChain.xml><?xml version="1.0" encoding="utf-8"?>
<calcChain xmlns="http://schemas.openxmlformats.org/spreadsheetml/2006/main">
  <c r="L265" i="33"/>
  <c r="K265"/>
  <c r="T33" i="35"/>
  <c r="U33"/>
  <c r="V33"/>
  <c r="W33"/>
  <c r="X33"/>
  <c r="Y33"/>
  <c r="S38"/>
  <c r="T38"/>
  <c r="U38"/>
  <c r="V38"/>
  <c r="W38"/>
  <c r="X38"/>
  <c r="Y38"/>
  <c r="H33"/>
  <c r="G38"/>
  <c r="G33"/>
  <c r="U34" i="26"/>
  <c r="V34"/>
  <c r="W34"/>
  <c r="X34"/>
  <c r="Y34"/>
  <c r="Z34"/>
  <c r="AA34"/>
  <c r="U39"/>
  <c r="V39"/>
  <c r="W39"/>
  <c r="X39"/>
  <c r="Y39"/>
  <c r="Z39"/>
  <c r="AA39"/>
  <c r="AA35" s="1"/>
  <c r="H34"/>
  <c r="T34"/>
  <c r="S39"/>
  <c r="T39"/>
  <c r="G39"/>
  <c r="G34"/>
  <c r="K168" i="37"/>
  <c r="J173"/>
  <c r="J168"/>
  <c r="C187" i="26"/>
  <c r="C157"/>
  <c r="C127"/>
  <c r="F67"/>
  <c r="E67"/>
  <c r="Z36" l="1"/>
  <c r="T35"/>
  <c r="T36"/>
  <c r="G36"/>
  <c r="G35"/>
  <c r="X35"/>
  <c r="X36"/>
  <c r="V35"/>
  <c r="V36"/>
  <c r="X34" i="35"/>
  <c r="X35"/>
  <c r="V34"/>
  <c r="V35"/>
  <c r="T34"/>
  <c r="T35"/>
  <c r="Y36" i="26"/>
  <c r="Y35"/>
  <c r="W36"/>
  <c r="W35"/>
  <c r="U36"/>
  <c r="U35"/>
  <c r="G35" i="35"/>
  <c r="G34"/>
  <c r="Y34"/>
  <c r="Y35"/>
  <c r="W34"/>
  <c r="W35"/>
  <c r="U34"/>
  <c r="U35"/>
  <c r="J170" i="37"/>
  <c r="J169"/>
  <c r="AA36" i="26"/>
  <c r="Z35"/>
  <c r="C67"/>
  <c r="E65" i="39" l="1"/>
  <c r="F65"/>
  <c r="G65"/>
  <c r="H65"/>
  <c r="I65"/>
  <c r="J65"/>
  <c r="K65"/>
  <c r="L65"/>
  <c r="M65"/>
  <c r="N65"/>
  <c r="O65"/>
  <c r="P65"/>
  <c r="E74"/>
  <c r="D74"/>
  <c r="D65"/>
  <c r="F57"/>
  <c r="E55"/>
  <c r="D55"/>
  <c r="F52"/>
  <c r="G52" s="1"/>
  <c r="H52" s="1"/>
  <c r="I52" s="1"/>
  <c r="J52" s="1"/>
  <c r="K52" s="1"/>
  <c r="L52" s="1"/>
  <c r="M52" s="1"/>
  <c r="N52" s="1"/>
  <c r="O52" s="1"/>
  <c r="P52" s="1"/>
  <c r="E21"/>
  <c r="D21"/>
  <c r="E41"/>
  <c r="D41"/>
  <c r="F26"/>
  <c r="G26"/>
  <c r="H26"/>
  <c r="I26"/>
  <c r="G13"/>
  <c r="I108" i="33"/>
  <c r="J108"/>
  <c r="F15" i="39"/>
  <c r="F13"/>
  <c r="F11"/>
  <c r="D25"/>
  <c r="E25"/>
  <c r="D18"/>
  <c r="D19" s="1"/>
  <c r="E15"/>
  <c r="E12"/>
  <c r="F6"/>
  <c r="G6" s="1"/>
  <c r="H6" s="1"/>
  <c r="I6" s="1"/>
  <c r="J6" s="1"/>
  <c r="K6" s="1"/>
  <c r="L6" s="1"/>
  <c r="M6" s="1"/>
  <c r="N6" s="1"/>
  <c r="O6" s="1"/>
  <c r="P6" s="1"/>
  <c r="E20" l="1"/>
  <c r="E22"/>
  <c r="L201" i="37"/>
  <c r="M201" s="1"/>
  <c r="N201" s="1"/>
  <c r="O201" s="1"/>
  <c r="P201" s="1"/>
  <c r="Q201" s="1"/>
  <c r="R201" s="1"/>
  <c r="S201" s="1"/>
  <c r="T201" s="1"/>
  <c r="U201" s="1"/>
  <c r="I114"/>
  <c r="D62" i="39" s="1"/>
  <c r="I115" i="37"/>
  <c r="I130"/>
  <c r="I131"/>
  <c r="K130"/>
  <c r="J115"/>
  <c r="E63" i="39" s="1"/>
  <c r="I141" i="37"/>
  <c r="J141"/>
  <c r="I138"/>
  <c r="D77" i="39" s="1"/>
  <c r="I139" i="37"/>
  <c r="D78" i="39" s="1"/>
  <c r="J139" i="37"/>
  <c r="E78" i="39" s="1"/>
  <c r="J138" i="37"/>
  <c r="E77" i="39" s="1"/>
  <c r="J114" i="37"/>
  <c r="I20"/>
  <c r="J20"/>
  <c r="J15"/>
  <c r="I15"/>
  <c r="J19"/>
  <c r="P97"/>
  <c r="Q97" s="1"/>
  <c r="J44"/>
  <c r="J126" s="1"/>
  <c r="E72" i="39" s="1"/>
  <c r="I44" i="37"/>
  <c r="I126" s="1"/>
  <c r="D72" i="39" s="1"/>
  <c r="L10" i="37"/>
  <c r="L101"/>
  <c r="M101" s="1"/>
  <c r="O99"/>
  <c r="P99" s="1"/>
  <c r="Q99" s="1"/>
  <c r="L93"/>
  <c r="L90"/>
  <c r="R85"/>
  <c r="S85"/>
  <c r="T85"/>
  <c r="U85"/>
  <c r="Q85"/>
  <c r="L85"/>
  <c r="M85"/>
  <c r="O85"/>
  <c r="K85"/>
  <c r="J85"/>
  <c r="I85"/>
  <c r="L88"/>
  <c r="M88" s="1"/>
  <c r="N88" s="1"/>
  <c r="J88"/>
  <c r="I88"/>
  <c r="K81"/>
  <c r="L81" s="1"/>
  <c r="M81" s="1"/>
  <c r="N81" s="1"/>
  <c r="O81" s="1"/>
  <c r="P81" s="1"/>
  <c r="L77"/>
  <c r="M77" s="1"/>
  <c r="L74"/>
  <c r="M74" s="1"/>
  <c r="L71"/>
  <c r="M71" s="1"/>
  <c r="L68"/>
  <c r="M68" s="1"/>
  <c r="L66"/>
  <c r="M66" s="1"/>
  <c r="N66" s="1"/>
  <c r="O66" s="1"/>
  <c r="P66" s="1"/>
  <c r="Q66" s="1"/>
  <c r="R66" s="1"/>
  <c r="S66" s="1"/>
  <c r="T66" s="1"/>
  <c r="U66" s="1"/>
  <c r="L63"/>
  <c r="M63" s="1"/>
  <c r="N63" s="1"/>
  <c r="O63" s="1"/>
  <c r="P63" s="1"/>
  <c r="Q63" s="1"/>
  <c r="R63" s="1"/>
  <c r="S63" s="1"/>
  <c r="T63" s="1"/>
  <c r="U63" s="1"/>
  <c r="I63"/>
  <c r="J63"/>
  <c r="J99"/>
  <c r="I99"/>
  <c r="J90"/>
  <c r="I90"/>
  <c r="J74"/>
  <c r="I74"/>
  <c r="I66"/>
  <c r="J66"/>
  <c r="I68"/>
  <c r="J68"/>
  <c r="I53"/>
  <c r="J53"/>
  <c r="K53" s="1"/>
  <c r="L53" s="1"/>
  <c r="J55"/>
  <c r="I55"/>
  <c r="J50"/>
  <c r="I50"/>
  <c r="J121" l="1"/>
  <c r="E68" i="39" s="1"/>
  <c r="E62"/>
  <c r="I120" i="37"/>
  <c r="D67" i="39" s="1"/>
  <c r="D63"/>
  <c r="E64" s="1"/>
  <c r="J120" i="37"/>
  <c r="E67" i="39" s="1"/>
  <c r="M10" i="37"/>
  <c r="G57" i="39"/>
  <c r="I121" i="37"/>
  <c r="L20"/>
  <c r="N101"/>
  <c r="R99"/>
  <c r="M93"/>
  <c r="M90"/>
  <c r="N90" s="1"/>
  <c r="O88"/>
  <c r="N77"/>
  <c r="N74"/>
  <c r="N71"/>
  <c r="N68"/>
  <c r="M53"/>
  <c r="N53" s="1"/>
  <c r="I51"/>
  <c r="J51"/>
  <c r="K51" s="1"/>
  <c r="L51" s="1"/>
  <c r="M51" s="1"/>
  <c r="N51" s="1"/>
  <c r="L37"/>
  <c r="K196"/>
  <c r="J199"/>
  <c r="J198"/>
  <c r="J196"/>
  <c r="L190"/>
  <c r="M190" s="1"/>
  <c r="N190" s="1"/>
  <c r="O190" s="1"/>
  <c r="P190" s="1"/>
  <c r="Q190" s="1"/>
  <c r="R190" s="1"/>
  <c r="S190" s="1"/>
  <c r="T190" s="1"/>
  <c r="U190" s="1"/>
  <c r="J182"/>
  <c r="J191" s="1"/>
  <c r="J157"/>
  <c r="J164" s="1"/>
  <c r="J161" s="1"/>
  <c r="I154"/>
  <c r="G232" i="33"/>
  <c r="H232"/>
  <c r="I232"/>
  <c r="J232"/>
  <c r="G231"/>
  <c r="H231"/>
  <c r="I231"/>
  <c r="J231"/>
  <c r="K159"/>
  <c r="J239"/>
  <c r="G236"/>
  <c r="H236"/>
  <c r="I236"/>
  <c r="G237"/>
  <c r="H237"/>
  <c r="I237"/>
  <c r="J237"/>
  <c r="J236"/>
  <c r="E353"/>
  <c r="F353"/>
  <c r="G353"/>
  <c r="H353"/>
  <c r="I353"/>
  <c r="D38" i="39" s="1"/>
  <c r="J353" i="33"/>
  <c r="E38" i="39" s="1"/>
  <c r="O299" i="33"/>
  <c r="P299" s="1"/>
  <c r="Q299" s="1"/>
  <c r="R299" s="1"/>
  <c r="S299" s="1"/>
  <c r="T299" s="1"/>
  <c r="U299" s="1"/>
  <c r="E342"/>
  <c r="F342"/>
  <c r="G342"/>
  <c r="H342"/>
  <c r="I342"/>
  <c r="D30" i="39" s="1"/>
  <c r="J342" i="33"/>
  <c r="E30" i="39" s="1"/>
  <c r="E343" i="33"/>
  <c r="F343"/>
  <c r="G343"/>
  <c r="H343"/>
  <c r="I343"/>
  <c r="D32" i="39" s="1"/>
  <c r="J343" i="33"/>
  <c r="E32" i="39" s="1"/>
  <c r="E347" i="33"/>
  <c r="F347"/>
  <c r="G347"/>
  <c r="H347"/>
  <c r="I347"/>
  <c r="J347"/>
  <c r="E348"/>
  <c r="F348"/>
  <c r="G348"/>
  <c r="H348"/>
  <c r="I348"/>
  <c r="J348"/>
  <c r="E349"/>
  <c r="F349"/>
  <c r="G349"/>
  <c r="H349"/>
  <c r="I349"/>
  <c r="J349"/>
  <c r="E357"/>
  <c r="E358"/>
  <c r="F357" s="1"/>
  <c r="F358"/>
  <c r="G357" s="1"/>
  <c r="G358"/>
  <c r="H357" s="1"/>
  <c r="H358"/>
  <c r="I357" s="1"/>
  <c r="I358"/>
  <c r="J357" s="1"/>
  <c r="J358"/>
  <c r="K202"/>
  <c r="J112"/>
  <c r="J80"/>
  <c r="I122" i="37" l="1"/>
  <c r="D68" i="39"/>
  <c r="N10" i="37"/>
  <c r="H57" i="39"/>
  <c r="D34"/>
  <c r="E34"/>
  <c r="E31"/>
  <c r="I233" i="33"/>
  <c r="G233"/>
  <c r="J233"/>
  <c r="H233"/>
  <c r="M20" i="37"/>
  <c r="O101"/>
  <c r="S99"/>
  <c r="N93"/>
  <c r="O93" s="1"/>
  <c r="P88"/>
  <c r="O77"/>
  <c r="O74"/>
  <c r="O71"/>
  <c r="O68"/>
  <c r="J197"/>
  <c r="J200" s="1"/>
  <c r="O51"/>
  <c r="O53"/>
  <c r="M37"/>
  <c r="K159"/>
  <c r="K164" s="1"/>
  <c r="K184"/>
  <c r="K191" s="1"/>
  <c r="J122"/>
  <c r="J105"/>
  <c r="I105"/>
  <c r="J100"/>
  <c r="I100"/>
  <c r="I101" s="1"/>
  <c r="I95"/>
  <c r="I92"/>
  <c r="J92"/>
  <c r="I78"/>
  <c r="J78"/>
  <c r="J76"/>
  <c r="I76"/>
  <c r="I70"/>
  <c r="I71" s="1"/>
  <c r="I69"/>
  <c r="I61" s="1"/>
  <c r="J70"/>
  <c r="O10" l="1"/>
  <c r="I57" i="39"/>
  <c r="N20" i="37"/>
  <c r="I72"/>
  <c r="I77"/>
  <c r="J93"/>
  <c r="J84"/>
  <c r="J71"/>
  <c r="J61"/>
  <c r="J136" s="1"/>
  <c r="J77"/>
  <c r="J72"/>
  <c r="I93"/>
  <c r="I84"/>
  <c r="I136" s="1"/>
  <c r="J94"/>
  <c r="J101"/>
  <c r="I94"/>
  <c r="L159"/>
  <c r="L164" s="1"/>
  <c r="K95"/>
  <c r="K139" s="1"/>
  <c r="F78" i="39" s="1"/>
  <c r="P101" i="37"/>
  <c r="T99"/>
  <c r="P93"/>
  <c r="Q88"/>
  <c r="P77"/>
  <c r="P74"/>
  <c r="P71"/>
  <c r="P68"/>
  <c r="P53"/>
  <c r="P51"/>
  <c r="N37"/>
  <c r="J29"/>
  <c r="I29"/>
  <c r="I17"/>
  <c r="J17"/>
  <c r="J16"/>
  <c r="I12"/>
  <c r="J12"/>
  <c r="K12" s="1"/>
  <c r="L12" s="1"/>
  <c r="M12" s="1"/>
  <c r="N12" s="1"/>
  <c r="O12" s="1"/>
  <c r="P12" s="1"/>
  <c r="Q12" s="1"/>
  <c r="R12" s="1"/>
  <c r="S12" s="1"/>
  <c r="T12" s="1"/>
  <c r="U12" s="1"/>
  <c r="J9"/>
  <c r="E56" i="39" s="1"/>
  <c r="P10" i="37" l="1"/>
  <c r="J57" i="39"/>
  <c r="O20" i="37"/>
  <c r="M159"/>
  <c r="M164" s="1"/>
  <c r="Q101"/>
  <c r="U99"/>
  <c r="Q93"/>
  <c r="Q90"/>
  <c r="R88"/>
  <c r="Q77"/>
  <c r="Q74"/>
  <c r="Q71"/>
  <c r="Q68"/>
  <c r="L17"/>
  <c r="M17" s="1"/>
  <c r="N17" s="1"/>
  <c r="O17" s="1"/>
  <c r="P17" s="1"/>
  <c r="Q17" s="1"/>
  <c r="R17" s="1"/>
  <c r="S17" s="1"/>
  <c r="T17" s="1"/>
  <c r="U17" s="1"/>
  <c r="Q51"/>
  <c r="Q53"/>
  <c r="O37"/>
  <c r="L184"/>
  <c r="K189"/>
  <c r="L191"/>
  <c r="L95" s="1"/>
  <c r="L139" s="1"/>
  <c r="G78" i="39" s="1"/>
  <c r="J140" i="37"/>
  <c r="E79" i="39" s="1"/>
  <c r="J131" i="37"/>
  <c r="J130"/>
  <c r="K106"/>
  <c r="L106" s="1"/>
  <c r="M106" s="1"/>
  <c r="N106" s="1"/>
  <c r="O106" s="1"/>
  <c r="P106" s="1"/>
  <c r="Q106" s="1"/>
  <c r="R106" s="1"/>
  <c r="S106" s="1"/>
  <c r="T106" s="1"/>
  <c r="U106" s="1"/>
  <c r="K103"/>
  <c r="L103" s="1"/>
  <c r="M103" s="1"/>
  <c r="J102"/>
  <c r="E76" i="39" s="1"/>
  <c r="I102" i="37"/>
  <c r="D76" i="39" s="1"/>
  <c r="K75" i="37"/>
  <c r="L75" s="1"/>
  <c r="M75" s="1"/>
  <c r="N75" s="1"/>
  <c r="O75" s="1"/>
  <c r="P75" s="1"/>
  <c r="Q75" s="1"/>
  <c r="R75" s="1"/>
  <c r="S75" s="1"/>
  <c r="T75" s="1"/>
  <c r="U75" s="1"/>
  <c r="L45"/>
  <c r="M45" s="1"/>
  <c r="N45" s="1"/>
  <c r="O45" s="1"/>
  <c r="P45" s="1"/>
  <c r="Q45" s="1"/>
  <c r="R45" s="1"/>
  <c r="S45" s="1"/>
  <c r="T45" s="1"/>
  <c r="U45" s="1"/>
  <c r="J34"/>
  <c r="I34"/>
  <c r="J13"/>
  <c r="J21" s="1"/>
  <c r="I13"/>
  <c r="K129" i="33"/>
  <c r="J63"/>
  <c r="J129"/>
  <c r="I129"/>
  <c r="J62"/>
  <c r="F62"/>
  <c r="G62"/>
  <c r="H62"/>
  <c r="I62"/>
  <c r="I64" s="1"/>
  <c r="L202"/>
  <c r="M202" s="1"/>
  <c r="N202" s="1"/>
  <c r="O202" s="1"/>
  <c r="P202" s="1"/>
  <c r="Q202" s="1"/>
  <c r="R202" s="1"/>
  <c r="S202" s="1"/>
  <c r="T202" s="1"/>
  <c r="U202" s="1"/>
  <c r="L315"/>
  <c r="M315" s="1"/>
  <c r="N315" s="1"/>
  <c r="O315" s="1"/>
  <c r="P315" s="1"/>
  <c r="Q315" s="1"/>
  <c r="R315" s="1"/>
  <c r="S315" s="1"/>
  <c r="T315" s="1"/>
  <c r="U315" s="1"/>
  <c r="E58" i="39" l="1"/>
  <c r="J145" i="37"/>
  <c r="E83" i="39" s="1"/>
  <c r="Q10" i="37"/>
  <c r="K57" i="39"/>
  <c r="I21" i="37"/>
  <c r="P20"/>
  <c r="J26"/>
  <c r="N159"/>
  <c r="N164" s="1"/>
  <c r="R101"/>
  <c r="R93"/>
  <c r="R90"/>
  <c r="S88"/>
  <c r="R77"/>
  <c r="R74"/>
  <c r="R71"/>
  <c r="R68"/>
  <c r="R53"/>
  <c r="R51"/>
  <c r="P37"/>
  <c r="M184"/>
  <c r="L189"/>
  <c r="M191"/>
  <c r="M95" s="1"/>
  <c r="M139" s="1"/>
  <c r="H78" i="39" s="1"/>
  <c r="I140" i="37"/>
  <c r="J64" i="33"/>
  <c r="K130"/>
  <c r="J137" i="37"/>
  <c r="J117" s="1"/>
  <c r="E66" i="39" s="1"/>
  <c r="J14" i="37"/>
  <c r="J82"/>
  <c r="E75" i="39" s="1"/>
  <c r="I82" i="37"/>
  <c r="D75" i="39" s="1"/>
  <c r="N103" i="37"/>
  <c r="J107"/>
  <c r="I107"/>
  <c r="J142"/>
  <c r="J144"/>
  <c r="E82" i="39" s="1"/>
  <c r="O178" i="33"/>
  <c r="S42" i="26"/>
  <c r="T42"/>
  <c r="U42"/>
  <c r="V42"/>
  <c r="W42"/>
  <c r="X42"/>
  <c r="Y42"/>
  <c r="S43"/>
  <c r="T43"/>
  <c r="U43"/>
  <c r="V43"/>
  <c r="W43"/>
  <c r="X43"/>
  <c r="Y43"/>
  <c r="R43"/>
  <c r="G42"/>
  <c r="E42"/>
  <c r="F42"/>
  <c r="E43"/>
  <c r="F43"/>
  <c r="E45"/>
  <c r="F45"/>
  <c r="D45"/>
  <c r="D43"/>
  <c r="D42"/>
  <c r="F44"/>
  <c r="E44"/>
  <c r="K256" i="33"/>
  <c r="L256" s="1"/>
  <c r="M256" s="1"/>
  <c r="N256" s="1"/>
  <c r="O256" s="1"/>
  <c r="P256" s="1"/>
  <c r="Q256" s="1"/>
  <c r="R256" s="1"/>
  <c r="S256" s="1"/>
  <c r="T256" s="1"/>
  <c r="U256" s="1"/>
  <c r="K255"/>
  <c r="L255" s="1"/>
  <c r="M255" s="1"/>
  <c r="J254"/>
  <c r="J252"/>
  <c r="K252" s="1"/>
  <c r="G249"/>
  <c r="H249" s="1"/>
  <c r="I249" s="1"/>
  <c r="J249" s="1"/>
  <c r="K249" s="1"/>
  <c r="K64" l="1"/>
  <c r="K59" s="1"/>
  <c r="J59"/>
  <c r="I26" i="37"/>
  <c r="I27" s="1"/>
  <c r="I145"/>
  <c r="D83" i="39" s="1"/>
  <c r="D58"/>
  <c r="R10" i="37"/>
  <c r="L57" i="39"/>
  <c r="J143" i="37"/>
  <c r="E81" i="39" s="1"/>
  <c r="E80"/>
  <c r="I124" i="37"/>
  <c r="D70" i="39" s="1"/>
  <c r="D79"/>
  <c r="P178" i="33"/>
  <c r="J26" i="39"/>
  <c r="I147" i="37"/>
  <c r="D84" i="39" s="1"/>
  <c r="I144" i="37"/>
  <c r="D82" i="39" s="1"/>
  <c r="I142" i="37"/>
  <c r="J23"/>
  <c r="Q20"/>
  <c r="O159"/>
  <c r="O164" s="1"/>
  <c r="S101"/>
  <c r="S93"/>
  <c r="S90"/>
  <c r="T88"/>
  <c r="S77"/>
  <c r="S74"/>
  <c r="S71"/>
  <c r="S68"/>
  <c r="J124"/>
  <c r="E70" i="39" s="1"/>
  <c r="S51" i="37"/>
  <c r="S53"/>
  <c r="Q37"/>
  <c r="N184"/>
  <c r="M189"/>
  <c r="J61" i="33"/>
  <c r="L64"/>
  <c r="L59" s="1"/>
  <c r="D44" i="26"/>
  <c r="D46" s="1"/>
  <c r="I137" i="37"/>
  <c r="I108"/>
  <c r="I33"/>
  <c r="I39" s="1"/>
  <c r="D60" i="39" s="1"/>
  <c r="I22" i="37"/>
  <c r="D59" i="39" s="1"/>
  <c r="J27" i="37"/>
  <c r="J22"/>
  <c r="E59" i="39" s="1"/>
  <c r="J33" i="37"/>
  <c r="J108"/>
  <c r="O103"/>
  <c r="F46" i="26"/>
  <c r="E46"/>
  <c r="S44"/>
  <c r="U44"/>
  <c r="W44"/>
  <c r="Y44"/>
  <c r="T44"/>
  <c r="V44"/>
  <c r="X44"/>
  <c r="K257" i="33"/>
  <c r="L252"/>
  <c r="M252" s="1"/>
  <c r="N252" s="1"/>
  <c r="O252" s="1"/>
  <c r="P252" s="1"/>
  <c r="Q252" s="1"/>
  <c r="R252" s="1"/>
  <c r="S252" s="1"/>
  <c r="T252" s="1"/>
  <c r="K260"/>
  <c r="L249"/>
  <c r="N255"/>
  <c r="I143" i="37" l="1"/>
  <c r="D81" i="39" s="1"/>
  <c r="D80"/>
  <c r="S10" i="37"/>
  <c r="M57" i="39"/>
  <c r="Q178" i="33"/>
  <c r="K26" i="39"/>
  <c r="J147" i="37"/>
  <c r="E84" i="39" s="1"/>
  <c r="I43" i="37"/>
  <c r="I113"/>
  <c r="I125"/>
  <c r="I117"/>
  <c r="R20"/>
  <c r="P159"/>
  <c r="P164" s="1"/>
  <c r="T101"/>
  <c r="T93"/>
  <c r="T90"/>
  <c r="U88"/>
  <c r="T77"/>
  <c r="T74"/>
  <c r="T71"/>
  <c r="T68"/>
  <c r="T53"/>
  <c r="T51"/>
  <c r="R37"/>
  <c r="N191"/>
  <c r="M64" i="33"/>
  <c r="M59" s="1"/>
  <c r="I40" i="37"/>
  <c r="J37"/>
  <c r="J35"/>
  <c r="J39"/>
  <c r="I37"/>
  <c r="I35"/>
  <c r="I45"/>
  <c r="P103"/>
  <c r="O255" i="33"/>
  <c r="L257"/>
  <c r="K254"/>
  <c r="K262" s="1"/>
  <c r="K316" s="1"/>
  <c r="M249"/>
  <c r="L260"/>
  <c r="T10" i="37" l="1"/>
  <c r="N57" i="39"/>
  <c r="J125" i="37"/>
  <c r="E60" i="39"/>
  <c r="I127" i="37"/>
  <c r="D71" i="39"/>
  <c r="I118" i="37"/>
  <c r="I146" s="1"/>
  <c r="I148" s="1"/>
  <c r="D66" i="39"/>
  <c r="D69" s="1"/>
  <c r="D85" s="1"/>
  <c r="R178" i="33"/>
  <c r="L26" i="39"/>
  <c r="I129" i="37"/>
  <c r="I132" s="1"/>
  <c r="J113"/>
  <c r="S20"/>
  <c r="O184"/>
  <c r="O186" s="1"/>
  <c r="N85" s="1"/>
  <c r="N95" s="1"/>
  <c r="N139" s="1"/>
  <c r="I78" i="39" s="1"/>
  <c r="Q159" i="37"/>
  <c r="U101"/>
  <c r="U93"/>
  <c r="U90"/>
  <c r="U77"/>
  <c r="U74"/>
  <c r="U71"/>
  <c r="U68"/>
  <c r="U51"/>
  <c r="U53"/>
  <c r="S37"/>
  <c r="N189"/>
  <c r="K348" i="33"/>
  <c r="N64"/>
  <c r="N59" s="1"/>
  <c r="J43" i="37"/>
  <c r="J45" s="1"/>
  <c r="J118"/>
  <c r="J146" s="1"/>
  <c r="J148" s="1"/>
  <c r="J40"/>
  <c r="Q103"/>
  <c r="M260" i="33"/>
  <c r="N249"/>
  <c r="O249" s="1"/>
  <c r="P249" s="1"/>
  <c r="Q249" s="1"/>
  <c r="R249" s="1"/>
  <c r="S249" s="1"/>
  <c r="T249" s="1"/>
  <c r="U249" s="1"/>
  <c r="M257"/>
  <c r="L254"/>
  <c r="L262" s="1"/>
  <c r="L316" s="1"/>
  <c r="P255"/>
  <c r="U10" i="37" l="1"/>
  <c r="P57" i="39" s="1"/>
  <c r="O57"/>
  <c r="E61"/>
  <c r="E69"/>
  <c r="J127" i="37"/>
  <c r="E71" i="39"/>
  <c r="D73"/>
  <c r="S178" i="33"/>
  <c r="M26" i="39"/>
  <c r="T20" i="37"/>
  <c r="O191"/>
  <c r="P184" s="1"/>
  <c r="P191" s="1"/>
  <c r="Q161"/>
  <c r="P85" s="1"/>
  <c r="J129"/>
  <c r="J132" s="1"/>
  <c r="T37"/>
  <c r="L348" i="33"/>
  <c r="O64"/>
  <c r="O59" s="1"/>
  <c r="R103" i="37"/>
  <c r="Q255" i="33"/>
  <c r="N257"/>
  <c r="M254"/>
  <c r="M262" s="1"/>
  <c r="M316" s="1"/>
  <c r="E85" i="39" l="1"/>
  <c r="E73"/>
  <c r="T178" i="33"/>
  <c r="N26" i="39"/>
  <c r="O189" i="37"/>
  <c r="Q164"/>
  <c r="R159" s="1"/>
  <c r="R164" s="1"/>
  <c r="O95"/>
  <c r="O139" s="1"/>
  <c r="J78" i="39" s="1"/>
  <c r="U20" i="37"/>
  <c r="Q184"/>
  <c r="Q191" s="1"/>
  <c r="R184" s="1"/>
  <c r="P95"/>
  <c r="P139" s="1"/>
  <c r="K78" i="39" s="1"/>
  <c r="U37" i="37"/>
  <c r="P189"/>
  <c r="M348" i="33"/>
  <c r="P64"/>
  <c r="P59" s="1"/>
  <c r="S103" i="37"/>
  <c r="O257" i="33"/>
  <c r="N254"/>
  <c r="N262" s="1"/>
  <c r="N316" s="1"/>
  <c r="R255"/>
  <c r="U178" l="1"/>
  <c r="P26" i="39" s="1"/>
  <c r="O26"/>
  <c r="S159" i="37"/>
  <c r="S164" s="1"/>
  <c r="Q95"/>
  <c r="Q139" s="1"/>
  <c r="L78" i="39" s="1"/>
  <c r="Q189" i="37"/>
  <c r="R191"/>
  <c r="S184" s="1"/>
  <c r="N348" i="33"/>
  <c r="Q64"/>
  <c r="Q59" s="1"/>
  <c r="T103" i="37"/>
  <c r="S255" i="33"/>
  <c r="P257"/>
  <c r="O254"/>
  <c r="O262" s="1"/>
  <c r="T159" i="37" l="1"/>
  <c r="T164" s="1"/>
  <c r="R95"/>
  <c r="R139" s="1"/>
  <c r="M78" i="39" s="1"/>
  <c r="R189" i="37"/>
  <c r="S191"/>
  <c r="T184" s="1"/>
  <c r="O316" i="33"/>
  <c r="R64"/>
  <c r="R59" s="1"/>
  <c r="U103" i="37"/>
  <c r="Q257" i="33"/>
  <c r="P254"/>
  <c r="P262" s="1"/>
  <c r="T255"/>
  <c r="U159" i="37" l="1"/>
  <c r="U164" s="1"/>
  <c r="S95"/>
  <c r="S139" s="1"/>
  <c r="N78" i="39" s="1"/>
  <c r="S189" i="37"/>
  <c r="T191"/>
  <c r="U184" s="1"/>
  <c r="P316" i="33"/>
  <c r="P348" s="1"/>
  <c r="O348"/>
  <c r="S64"/>
  <c r="S59" s="1"/>
  <c r="U255"/>
  <c r="R257"/>
  <c r="Q254"/>
  <c r="Q262" s="1"/>
  <c r="T95" i="37" l="1"/>
  <c r="T139" s="1"/>
  <c r="O78" i="39" s="1"/>
  <c r="Q316" i="33"/>
  <c r="Q348" s="1"/>
  <c r="T189" i="37"/>
  <c r="U191"/>
  <c r="U189" s="1"/>
  <c r="T64" i="33"/>
  <c r="T59" s="1"/>
  <c r="S257"/>
  <c r="R254"/>
  <c r="R262" s="1"/>
  <c r="U95" i="37" l="1"/>
  <c r="U139" s="1"/>
  <c r="P78" i="39" s="1"/>
  <c r="R316" i="33"/>
  <c r="U64"/>
  <c r="U59" s="1"/>
  <c r="T257"/>
  <c r="S254"/>
  <c r="S262" s="1"/>
  <c r="S316" l="1"/>
  <c r="R348"/>
  <c r="S348"/>
  <c r="U257"/>
  <c r="U254" s="1"/>
  <c r="T254"/>
  <c r="T262" s="1"/>
  <c r="T316" l="1"/>
  <c r="T348" s="1"/>
  <c r="U262"/>
  <c r="U316" l="1"/>
  <c r="U348" s="1"/>
  <c r="F304"/>
  <c r="F368"/>
  <c r="G368"/>
  <c r="H368"/>
  <c r="I368"/>
  <c r="D40" i="39" s="1"/>
  <c r="J368" i="33"/>
  <c r="E40" i="39" s="1"/>
  <c r="F365" i="33"/>
  <c r="G365"/>
  <c r="H365"/>
  <c r="I365"/>
  <c r="D43" i="39" s="1"/>
  <c r="J365" i="33"/>
  <c r="E43" i="39" s="1"/>
  <c r="F366" i="33"/>
  <c r="G366"/>
  <c r="H366"/>
  <c r="I366"/>
  <c r="D44" i="39" s="1"/>
  <c r="J366" i="33"/>
  <c r="E44" i="39" s="1"/>
  <c r="E366" i="33"/>
  <c r="F310"/>
  <c r="G310"/>
  <c r="H310"/>
  <c r="I310"/>
  <c r="J310"/>
  <c r="E310"/>
  <c r="J304"/>
  <c r="G304"/>
  <c r="H304"/>
  <c r="I304"/>
  <c r="E304"/>
  <c r="K311"/>
  <c r="K323"/>
  <c r="K333"/>
  <c r="L333" s="1"/>
  <c r="M333" s="1"/>
  <c r="F313"/>
  <c r="G313"/>
  <c r="H313"/>
  <c r="I313"/>
  <c r="J313"/>
  <c r="E313"/>
  <c r="K307"/>
  <c r="E308"/>
  <c r="F308"/>
  <c r="G308"/>
  <c r="H308"/>
  <c r="I308"/>
  <c r="J308"/>
  <c r="K308" s="1"/>
  <c r="L308" s="1"/>
  <c r="M308" s="1"/>
  <c r="N308" s="1"/>
  <c r="O308" s="1"/>
  <c r="P308" s="1"/>
  <c r="Q308" s="1"/>
  <c r="R308" s="1"/>
  <c r="S308" s="1"/>
  <c r="T308" s="1"/>
  <c r="U308" s="1"/>
  <c r="H328"/>
  <c r="F329"/>
  <c r="G329"/>
  <c r="H329"/>
  <c r="I329"/>
  <c r="D42" i="39" s="1"/>
  <c r="J329" i="33"/>
  <c r="E42" i="39" s="1"/>
  <c r="F325" i="33"/>
  <c r="G325"/>
  <c r="H325"/>
  <c r="I325"/>
  <c r="J325"/>
  <c r="F319"/>
  <c r="G319"/>
  <c r="H319"/>
  <c r="I319"/>
  <c r="J319"/>
  <c r="E329"/>
  <c r="E325"/>
  <c r="E319"/>
  <c r="H109"/>
  <c r="I109" s="1"/>
  <c r="J109" s="1"/>
  <c r="K109" s="1"/>
  <c r="L109" s="1"/>
  <c r="M109" s="1"/>
  <c r="N109" s="1"/>
  <c r="O109" s="1"/>
  <c r="P109" s="1"/>
  <c r="Q109" s="1"/>
  <c r="R109" s="1"/>
  <c r="S109" s="1"/>
  <c r="T109" s="1"/>
  <c r="U109" s="1"/>
  <c r="K127"/>
  <c r="L127" s="1"/>
  <c r="G126"/>
  <c r="H108"/>
  <c r="G108"/>
  <c r="G265"/>
  <c r="H265"/>
  <c r="I265"/>
  <c r="I141"/>
  <c r="H141"/>
  <c r="L77"/>
  <c r="M77" s="1"/>
  <c r="N77" s="1"/>
  <c r="O77" s="1"/>
  <c r="P77" s="1"/>
  <c r="Q77" s="1"/>
  <c r="R77" s="1"/>
  <c r="S77" s="1"/>
  <c r="T77" s="1"/>
  <c r="U77" s="1"/>
  <c r="K58"/>
  <c r="L58" s="1"/>
  <c r="M58" s="1"/>
  <c r="N58" s="1"/>
  <c r="O58" s="1"/>
  <c r="P58" s="1"/>
  <c r="Q58" s="1"/>
  <c r="R58" s="1"/>
  <c r="S58" s="1"/>
  <c r="T58" s="1"/>
  <c r="U58" s="1"/>
  <c r="K224"/>
  <c r="L224" s="1"/>
  <c r="M224" s="1"/>
  <c r="N224" s="1"/>
  <c r="O224" s="1"/>
  <c r="P224" s="1"/>
  <c r="Q224" s="1"/>
  <c r="R224" s="1"/>
  <c r="S224" s="1"/>
  <c r="T224" s="1"/>
  <c r="U224" s="1"/>
  <c r="K219"/>
  <c r="L219" s="1"/>
  <c r="M219" s="1"/>
  <c r="N219" s="1"/>
  <c r="O219" s="1"/>
  <c r="P219" s="1"/>
  <c r="Q219" s="1"/>
  <c r="R219" s="1"/>
  <c r="S219" s="1"/>
  <c r="T219" s="1"/>
  <c r="U219" s="1"/>
  <c r="K214"/>
  <c r="L214" s="1"/>
  <c r="M214" s="1"/>
  <c r="N214" s="1"/>
  <c r="O214" s="1"/>
  <c r="P214" s="1"/>
  <c r="Q214" s="1"/>
  <c r="R214" s="1"/>
  <c r="S214" s="1"/>
  <c r="T214" s="1"/>
  <c r="U214" s="1"/>
  <c r="K215"/>
  <c r="L215" s="1"/>
  <c r="M215" s="1"/>
  <c r="N215" s="1"/>
  <c r="O215" s="1"/>
  <c r="P215" s="1"/>
  <c r="Q215" s="1"/>
  <c r="R215" s="1"/>
  <c r="S215" s="1"/>
  <c r="T215" s="1"/>
  <c r="U215" s="1"/>
  <c r="M213"/>
  <c r="N213" s="1"/>
  <c r="O213" s="1"/>
  <c r="P213" s="1"/>
  <c r="Q213" s="1"/>
  <c r="R213" s="1"/>
  <c r="S213" s="1"/>
  <c r="T213" s="1"/>
  <c r="U213" s="1"/>
  <c r="K210"/>
  <c r="L210" s="1"/>
  <c r="M210" s="1"/>
  <c r="N210" s="1"/>
  <c r="O210" s="1"/>
  <c r="P210" s="1"/>
  <c r="Q210" s="1"/>
  <c r="R210" s="1"/>
  <c r="S210" s="1"/>
  <c r="T210" s="1"/>
  <c r="U210" s="1"/>
  <c r="K201"/>
  <c r="L201" s="1"/>
  <c r="M201" s="1"/>
  <c r="N201" s="1"/>
  <c r="O201" s="1"/>
  <c r="P201" s="1"/>
  <c r="Q201" s="1"/>
  <c r="R201" s="1"/>
  <c r="S201" s="1"/>
  <c r="T201" s="1"/>
  <c r="U201" s="1"/>
  <c r="M197"/>
  <c r="N197" s="1"/>
  <c r="O197" s="1"/>
  <c r="R197" s="1"/>
  <c r="S197" s="1"/>
  <c r="T197" s="1"/>
  <c r="U197" s="1"/>
  <c r="K196"/>
  <c r="L196" s="1"/>
  <c r="M196" s="1"/>
  <c r="N196" s="1"/>
  <c r="O196" s="1"/>
  <c r="P196" s="1"/>
  <c r="Q196" s="1"/>
  <c r="R196" s="1"/>
  <c r="S196" s="1"/>
  <c r="T196" s="1"/>
  <c r="U196" s="1"/>
  <c r="J156"/>
  <c r="I156"/>
  <c r="H156"/>
  <c r="G156"/>
  <c r="E317" l="1"/>
  <c r="I317"/>
  <c r="G317"/>
  <c r="J317"/>
  <c r="H317"/>
  <c r="F317"/>
  <c r="I362"/>
  <c r="G362"/>
  <c r="F362"/>
  <c r="E362"/>
  <c r="H362"/>
  <c r="J362"/>
  <c r="N333"/>
  <c r="O333" s="1"/>
  <c r="P333" s="1"/>
  <c r="Q333" s="1"/>
  <c r="R333" s="1"/>
  <c r="S333" s="1"/>
  <c r="T333" s="1"/>
  <c r="U333" s="1"/>
  <c r="N323"/>
  <c r="O323" s="1"/>
  <c r="P323" s="1"/>
  <c r="Q323" s="1"/>
  <c r="R323" s="1"/>
  <c r="S323" s="1"/>
  <c r="T323" s="1"/>
  <c r="U323" s="1"/>
  <c r="K327"/>
  <c r="J334"/>
  <c r="J335" s="1"/>
  <c r="H334"/>
  <c r="H335" s="1"/>
  <c r="F334"/>
  <c r="F335" s="1"/>
  <c r="M299"/>
  <c r="E334"/>
  <c r="I334"/>
  <c r="G334"/>
  <c r="M327"/>
  <c r="N327" s="1"/>
  <c r="O327" s="1"/>
  <c r="P327" s="1"/>
  <c r="Q327" s="1"/>
  <c r="R327" s="1"/>
  <c r="S327" s="1"/>
  <c r="T327" s="1"/>
  <c r="U327" s="1"/>
  <c r="L311"/>
  <c r="G75"/>
  <c r="J76"/>
  <c r="I76"/>
  <c r="H76"/>
  <c r="G133"/>
  <c r="G148" s="1"/>
  <c r="G136"/>
  <c r="H124"/>
  <c r="I128"/>
  <c r="G56"/>
  <c r="H56"/>
  <c r="I56"/>
  <c r="J56"/>
  <c r="E11" i="39" s="1"/>
  <c r="F138" i="33"/>
  <c r="F136"/>
  <c r="F134"/>
  <c r="G134"/>
  <c r="H134"/>
  <c r="K206"/>
  <c r="L206" s="1"/>
  <c r="M206" s="1"/>
  <c r="N206" s="1"/>
  <c r="O206" s="1"/>
  <c r="P206" s="1"/>
  <c r="Q206" s="1"/>
  <c r="R206" s="1"/>
  <c r="S206" s="1"/>
  <c r="T206" s="1"/>
  <c r="U206" s="1"/>
  <c r="L199"/>
  <c r="M199" s="1"/>
  <c r="N199" s="1"/>
  <c r="K200"/>
  <c r="L200"/>
  <c r="M200"/>
  <c r="N200"/>
  <c r="O200"/>
  <c r="P200"/>
  <c r="Q200"/>
  <c r="R200"/>
  <c r="S200"/>
  <c r="T200"/>
  <c r="U200"/>
  <c r="S41" i="35"/>
  <c r="T41"/>
  <c r="U41"/>
  <c r="V41"/>
  <c r="W41"/>
  <c r="X41"/>
  <c r="Y41"/>
  <c r="R42"/>
  <c r="S42"/>
  <c r="T42"/>
  <c r="U42"/>
  <c r="V42"/>
  <c r="V43" s="1"/>
  <c r="W42"/>
  <c r="X42"/>
  <c r="X43" s="1"/>
  <c r="Y42"/>
  <c r="T43"/>
  <c r="G41"/>
  <c r="E41"/>
  <c r="F41"/>
  <c r="E42"/>
  <c r="F42"/>
  <c r="E43"/>
  <c r="F43"/>
  <c r="E44"/>
  <c r="F44"/>
  <c r="E45"/>
  <c r="F45"/>
  <c r="D42"/>
  <c r="D41"/>
  <c r="D44"/>
  <c r="AO116"/>
  <c r="AI116"/>
  <c r="AC116"/>
  <c r="W116"/>
  <c r="Q116"/>
  <c r="L122"/>
  <c r="M122"/>
  <c r="N122"/>
  <c r="O122"/>
  <c r="P122"/>
  <c r="Q122"/>
  <c r="R122"/>
  <c r="S122"/>
  <c r="T122"/>
  <c r="U122"/>
  <c r="V122"/>
  <c r="W122"/>
  <c r="X122"/>
  <c r="Y122"/>
  <c r="Z122"/>
  <c r="AA122"/>
  <c r="AB122"/>
  <c r="AC122"/>
  <c r="AD122"/>
  <c r="AE122"/>
  <c r="AF122"/>
  <c r="AG122"/>
  <c r="AH122"/>
  <c r="AI122"/>
  <c r="AJ122"/>
  <c r="AK122"/>
  <c r="AL122"/>
  <c r="AM122"/>
  <c r="AN122"/>
  <c r="AO122"/>
  <c r="AP122"/>
  <c r="AQ122"/>
  <c r="AR122"/>
  <c r="AS122"/>
  <c r="AT122"/>
  <c r="AU122"/>
  <c r="AV122"/>
  <c r="AW122"/>
  <c r="AX122"/>
  <c r="AY122"/>
  <c r="AZ122"/>
  <c r="BA122"/>
  <c r="BB122"/>
  <c r="BC122"/>
  <c r="BD122"/>
  <c r="BE122"/>
  <c r="BF122"/>
  <c r="BG122"/>
  <c r="BH122"/>
  <c r="BI122"/>
  <c r="BJ122"/>
  <c r="BK122"/>
  <c r="BL122"/>
  <c r="BM122"/>
  <c r="BN122"/>
  <c r="BO122"/>
  <c r="BP122"/>
  <c r="BQ122"/>
  <c r="BR122"/>
  <c r="BS122"/>
  <c r="BT122"/>
  <c r="BU122"/>
  <c r="BV122"/>
  <c r="BW122"/>
  <c r="BX122"/>
  <c r="BY122"/>
  <c r="BZ122"/>
  <c r="E111"/>
  <c r="K116"/>
  <c r="K122" s="1"/>
  <c r="G126"/>
  <c r="E126" s="1"/>
  <c r="F125"/>
  <c r="E125"/>
  <c r="GQ122"/>
  <c r="GP122"/>
  <c r="GO122"/>
  <c r="GN122"/>
  <c r="GM122"/>
  <c r="GL122"/>
  <c r="GK122"/>
  <c r="GJ122"/>
  <c r="GI122"/>
  <c r="GH122"/>
  <c r="GG122"/>
  <c r="GF122"/>
  <c r="GE122"/>
  <c r="GD122"/>
  <c r="GC122"/>
  <c r="GB122"/>
  <c r="GA122"/>
  <c r="FZ122"/>
  <c r="FY122"/>
  <c r="FX122"/>
  <c r="FW122"/>
  <c r="FV122"/>
  <c r="FU122"/>
  <c r="FT122"/>
  <c r="FS122"/>
  <c r="FR122"/>
  <c r="FQ122"/>
  <c r="FP122"/>
  <c r="FO122"/>
  <c r="FN122"/>
  <c r="FM122"/>
  <c r="FL122"/>
  <c r="FK122"/>
  <c r="FJ122"/>
  <c r="FI122"/>
  <c r="FH122"/>
  <c r="FG122"/>
  <c r="FF122"/>
  <c r="FE122"/>
  <c r="FD122"/>
  <c r="FC122"/>
  <c r="FB122"/>
  <c r="FA122"/>
  <c r="EZ122"/>
  <c r="EY122"/>
  <c r="EX122"/>
  <c r="EW122"/>
  <c r="EV122"/>
  <c r="EU122"/>
  <c r="ET122"/>
  <c r="ES122"/>
  <c r="ER122"/>
  <c r="EQ122"/>
  <c r="EP122"/>
  <c r="EO122"/>
  <c r="EN122"/>
  <c r="EM122"/>
  <c r="EL122"/>
  <c r="EK122"/>
  <c r="EJ122"/>
  <c r="EI122"/>
  <c r="EH122"/>
  <c r="EG122"/>
  <c r="EF122"/>
  <c r="EE122"/>
  <c r="ED122"/>
  <c r="EC122"/>
  <c r="EB122"/>
  <c r="EA122"/>
  <c r="DZ122"/>
  <c r="DY122"/>
  <c r="DX122"/>
  <c r="DW122"/>
  <c r="DV122"/>
  <c r="DU122"/>
  <c r="DT122"/>
  <c r="DS122"/>
  <c r="DR122"/>
  <c r="DQ122"/>
  <c r="DP122"/>
  <c r="DO122"/>
  <c r="DN122"/>
  <c r="DM122"/>
  <c r="DL122"/>
  <c r="DK122"/>
  <c r="DJ122"/>
  <c r="DI122"/>
  <c r="DH122"/>
  <c r="DG122"/>
  <c r="DF122"/>
  <c r="DE122"/>
  <c r="DD122"/>
  <c r="DC122"/>
  <c r="DB122"/>
  <c r="DA122"/>
  <c r="CZ122"/>
  <c r="CY122"/>
  <c r="CX122"/>
  <c r="CW122"/>
  <c r="CV122"/>
  <c r="CU122"/>
  <c r="CT122"/>
  <c r="CS122"/>
  <c r="CR122"/>
  <c r="CQ122"/>
  <c r="CP122"/>
  <c r="CO122"/>
  <c r="CN122"/>
  <c r="CM122"/>
  <c r="CL122"/>
  <c r="CK122"/>
  <c r="CJ122"/>
  <c r="CI122"/>
  <c r="CH122"/>
  <c r="CG122"/>
  <c r="CF122"/>
  <c r="CE122"/>
  <c r="CD122"/>
  <c r="CC122"/>
  <c r="CB122"/>
  <c r="CA122"/>
  <c r="J122"/>
  <c r="I122"/>
  <c r="H122"/>
  <c r="G122"/>
  <c r="F122"/>
  <c r="E122"/>
  <c r="E123" s="1"/>
  <c r="F95"/>
  <c r="E95"/>
  <c r="GQ92"/>
  <c r="GP92"/>
  <c r="GO92"/>
  <c r="GN92"/>
  <c r="GM92"/>
  <c r="GL92"/>
  <c r="GK92"/>
  <c r="GJ92"/>
  <c r="GI92"/>
  <c r="GH92"/>
  <c r="GG92"/>
  <c r="GF92"/>
  <c r="GE92"/>
  <c r="GD92"/>
  <c r="GC92"/>
  <c r="GB92"/>
  <c r="GA92"/>
  <c r="FZ92"/>
  <c r="FY92"/>
  <c r="FX92"/>
  <c r="FW92"/>
  <c r="FV92"/>
  <c r="FU92"/>
  <c r="FT92"/>
  <c r="FS92"/>
  <c r="FR92"/>
  <c r="FQ92"/>
  <c r="FP92"/>
  <c r="FO92"/>
  <c r="FN92"/>
  <c r="FM92"/>
  <c r="FL92"/>
  <c r="FK92"/>
  <c r="FJ92"/>
  <c r="FI92"/>
  <c r="FH92"/>
  <c r="FG92"/>
  <c r="FF92"/>
  <c r="FE92"/>
  <c r="FD92"/>
  <c r="FC92"/>
  <c r="FB92"/>
  <c r="FA92"/>
  <c r="EZ92"/>
  <c r="EY92"/>
  <c r="EX92"/>
  <c r="EW92"/>
  <c r="EV92"/>
  <c r="EU92"/>
  <c r="ET92"/>
  <c r="ES92"/>
  <c r="ER92"/>
  <c r="EQ92"/>
  <c r="EP92"/>
  <c r="EO92"/>
  <c r="EN92"/>
  <c r="EM92"/>
  <c r="EL92"/>
  <c r="EK92"/>
  <c r="EJ92"/>
  <c r="EI92"/>
  <c r="EH92"/>
  <c r="EG92"/>
  <c r="EF92"/>
  <c r="EE92"/>
  <c r="ED92"/>
  <c r="EC92"/>
  <c r="EB92"/>
  <c r="EA92"/>
  <c r="DZ92"/>
  <c r="DY92"/>
  <c r="DX92"/>
  <c r="DW92"/>
  <c r="DV92"/>
  <c r="DU92"/>
  <c r="DT92"/>
  <c r="DS92"/>
  <c r="DR92"/>
  <c r="DQ92"/>
  <c r="DP92"/>
  <c r="DO92"/>
  <c r="DN92"/>
  <c r="DM92"/>
  <c r="DL92"/>
  <c r="DK92"/>
  <c r="DJ92"/>
  <c r="DI92"/>
  <c r="DH92"/>
  <c r="DG92"/>
  <c r="DF92"/>
  <c r="DE92"/>
  <c r="DD92"/>
  <c r="DC92"/>
  <c r="DB92"/>
  <c r="DA92"/>
  <c r="CZ92"/>
  <c r="CY92"/>
  <c r="CX92"/>
  <c r="CW92"/>
  <c r="CV92"/>
  <c r="CU92"/>
  <c r="CT92"/>
  <c r="CS92"/>
  <c r="CR92"/>
  <c r="CQ92"/>
  <c r="CP92"/>
  <c r="CO92"/>
  <c r="CN92"/>
  <c r="CM92"/>
  <c r="CL92"/>
  <c r="CK92"/>
  <c r="CJ92"/>
  <c r="CI92"/>
  <c r="CH92"/>
  <c r="CG92"/>
  <c r="CF92"/>
  <c r="CE92"/>
  <c r="CD92"/>
  <c r="CC92"/>
  <c r="CB92"/>
  <c r="CA92"/>
  <c r="BZ92"/>
  <c r="BY92"/>
  <c r="BX92"/>
  <c r="BW92"/>
  <c r="BV92"/>
  <c r="BU92"/>
  <c r="BT92"/>
  <c r="BS92"/>
  <c r="BR92"/>
  <c r="BQ92"/>
  <c r="BP92"/>
  <c r="BO92"/>
  <c r="BN92"/>
  <c r="BM92"/>
  <c r="BL92"/>
  <c r="BK92"/>
  <c r="BJ92"/>
  <c r="BI92"/>
  <c r="BH92"/>
  <c r="BG92"/>
  <c r="BF92"/>
  <c r="BE92"/>
  <c r="BD92"/>
  <c r="BC92"/>
  <c r="BB92"/>
  <c r="BA92"/>
  <c r="AZ92"/>
  <c r="AY92"/>
  <c r="AX92"/>
  <c r="AW92"/>
  <c r="AV92"/>
  <c r="AU92"/>
  <c r="AT92"/>
  <c r="AS92"/>
  <c r="AR92"/>
  <c r="AQ92"/>
  <c r="AP92"/>
  <c r="AO92"/>
  <c r="AN92"/>
  <c r="AM92"/>
  <c r="AL92"/>
  <c r="AK92"/>
  <c r="AJ92"/>
  <c r="AI92"/>
  <c r="AH92"/>
  <c r="AG92"/>
  <c r="AF92"/>
  <c r="AE92"/>
  <c r="AD92"/>
  <c r="AC92"/>
  <c r="AB92"/>
  <c r="AA92"/>
  <c r="Z92"/>
  <c r="Y92"/>
  <c r="X92"/>
  <c r="W92"/>
  <c r="V92"/>
  <c r="U92"/>
  <c r="T92"/>
  <c r="S92"/>
  <c r="R92"/>
  <c r="Q92"/>
  <c r="P92"/>
  <c r="O92"/>
  <c r="N92"/>
  <c r="M92"/>
  <c r="L92"/>
  <c r="K92"/>
  <c r="J92"/>
  <c r="I92"/>
  <c r="H92"/>
  <c r="G92"/>
  <c r="F92"/>
  <c r="E92"/>
  <c r="E93" s="1"/>
  <c r="E81"/>
  <c r="E91" s="1"/>
  <c r="E99" s="1"/>
  <c r="E66"/>
  <c r="E51"/>
  <c r="E62"/>
  <c r="E63" s="1"/>
  <c r="F62"/>
  <c r="G62"/>
  <c r="H62"/>
  <c r="I62"/>
  <c r="J62"/>
  <c r="K62"/>
  <c r="L62"/>
  <c r="M62"/>
  <c r="N62"/>
  <c r="O62"/>
  <c r="P62"/>
  <c r="Q62"/>
  <c r="R62"/>
  <c r="S62"/>
  <c r="T62"/>
  <c r="U62"/>
  <c r="V62"/>
  <c r="W62"/>
  <c r="X62"/>
  <c r="Y62"/>
  <c r="Z62"/>
  <c r="AA62"/>
  <c r="AB62"/>
  <c r="AC62"/>
  <c r="AD62"/>
  <c r="AE62"/>
  <c r="AF62"/>
  <c r="AG62"/>
  <c r="AH62"/>
  <c r="AI62"/>
  <c r="AJ62"/>
  <c r="AK62"/>
  <c r="AL62"/>
  <c r="AM62"/>
  <c r="AN62"/>
  <c r="AO62"/>
  <c r="AP62"/>
  <c r="AQ62"/>
  <c r="AR62"/>
  <c r="AS62"/>
  <c r="AT62"/>
  <c r="AU62"/>
  <c r="AV62"/>
  <c r="AW62"/>
  <c r="AX62"/>
  <c r="AY62"/>
  <c r="AZ62"/>
  <c r="BA62"/>
  <c r="BB62"/>
  <c r="BC62"/>
  <c r="BD62"/>
  <c r="BE62"/>
  <c r="BF62"/>
  <c r="BG62"/>
  <c r="BH62"/>
  <c r="BI62"/>
  <c r="BJ62"/>
  <c r="BK62"/>
  <c r="BL62"/>
  <c r="BM62"/>
  <c r="BN62"/>
  <c r="BO62"/>
  <c r="BP62"/>
  <c r="BQ62"/>
  <c r="BR62"/>
  <c r="BS62"/>
  <c r="BT62"/>
  <c r="BU62"/>
  <c r="BV62"/>
  <c r="BW62"/>
  <c r="BX62"/>
  <c r="BY62"/>
  <c r="BZ62"/>
  <c r="CA62"/>
  <c r="CB62"/>
  <c r="CC62"/>
  <c r="CD62"/>
  <c r="CE62"/>
  <c r="CF62"/>
  <c r="CG62"/>
  <c r="CH62"/>
  <c r="CI62"/>
  <c r="CJ62"/>
  <c r="CK62"/>
  <c r="CL62"/>
  <c r="CM62"/>
  <c r="CN62"/>
  <c r="CO62"/>
  <c r="CP62"/>
  <c r="CQ62"/>
  <c r="CR62"/>
  <c r="CS62"/>
  <c r="CT62"/>
  <c r="CU62"/>
  <c r="CV62"/>
  <c r="CW62"/>
  <c r="CX62"/>
  <c r="CY62"/>
  <c r="CZ62"/>
  <c r="DA62"/>
  <c r="DB62"/>
  <c r="DC62"/>
  <c r="DD62"/>
  <c r="DE62"/>
  <c r="DF62"/>
  <c r="DG62"/>
  <c r="DH62"/>
  <c r="DI62"/>
  <c r="DJ62"/>
  <c r="DK62"/>
  <c r="DL62"/>
  <c r="DM62"/>
  <c r="DN62"/>
  <c r="DO62"/>
  <c r="DP62"/>
  <c r="DQ62"/>
  <c r="DR62"/>
  <c r="DS62"/>
  <c r="DT62"/>
  <c r="DU62"/>
  <c r="DV62"/>
  <c r="DW62"/>
  <c r="DX62"/>
  <c r="DY62"/>
  <c r="DZ62"/>
  <c r="EA62"/>
  <c r="EB62"/>
  <c r="EC62"/>
  <c r="ED62"/>
  <c r="EE62"/>
  <c r="EF62"/>
  <c r="EG62"/>
  <c r="EH62"/>
  <c r="EI62"/>
  <c r="EJ62"/>
  <c r="EK62"/>
  <c r="EL62"/>
  <c r="EM62"/>
  <c r="EN62"/>
  <c r="EO62"/>
  <c r="EP62"/>
  <c r="EQ62"/>
  <c r="ER62"/>
  <c r="ES62"/>
  <c r="ET62"/>
  <c r="EU62"/>
  <c r="EV62"/>
  <c r="EW62"/>
  <c r="EX62"/>
  <c r="EY62"/>
  <c r="EZ62"/>
  <c r="FA62"/>
  <c r="FB62"/>
  <c r="FC62"/>
  <c r="FD62"/>
  <c r="FE62"/>
  <c r="FF62"/>
  <c r="FG62"/>
  <c r="FH62"/>
  <c r="FI62"/>
  <c r="FJ62"/>
  <c r="FK62"/>
  <c r="FL62"/>
  <c r="FM62"/>
  <c r="FN62"/>
  <c r="FO62"/>
  <c r="FP62"/>
  <c r="FQ62"/>
  <c r="FR62"/>
  <c r="FS62"/>
  <c r="FT62"/>
  <c r="FU62"/>
  <c r="FV62"/>
  <c r="FW62"/>
  <c r="FX62"/>
  <c r="FY62"/>
  <c r="FZ62"/>
  <c r="GA62"/>
  <c r="GB62"/>
  <c r="GC62"/>
  <c r="GD62"/>
  <c r="GE62"/>
  <c r="GF62"/>
  <c r="GG62"/>
  <c r="GH62"/>
  <c r="GI62"/>
  <c r="GJ62"/>
  <c r="GK62"/>
  <c r="GL62"/>
  <c r="GM62"/>
  <c r="GN62"/>
  <c r="GO62"/>
  <c r="GP62"/>
  <c r="GQ62"/>
  <c r="E65"/>
  <c r="AF225"/>
  <c r="AG225"/>
  <c r="AH225"/>
  <c r="AI225"/>
  <c r="AI231" s="1"/>
  <c r="AJ225"/>
  <c r="AK225"/>
  <c r="AL225"/>
  <c r="AM225"/>
  <c r="AN225"/>
  <c r="AO225"/>
  <c r="AP225"/>
  <c r="AQ225"/>
  <c r="AR225"/>
  <c r="AS225"/>
  <c r="AT225"/>
  <c r="AU225"/>
  <c r="AV225"/>
  <c r="AW225"/>
  <c r="AX225"/>
  <c r="AY225"/>
  <c r="AY231" s="1"/>
  <c r="AZ225"/>
  <c r="BA225"/>
  <c r="BB225"/>
  <c r="BC225"/>
  <c r="BD225"/>
  <c r="BE225"/>
  <c r="BF225"/>
  <c r="BG225"/>
  <c r="BH225"/>
  <c r="BI225"/>
  <c r="F234"/>
  <c r="F233" s="1"/>
  <c r="W233"/>
  <c r="V233"/>
  <c r="U233"/>
  <c r="T233"/>
  <c r="AE225"/>
  <c r="AF231" s="1"/>
  <c r="AD225"/>
  <c r="AC225"/>
  <c r="AB225"/>
  <c r="AA225"/>
  <c r="Z225"/>
  <c r="Y225"/>
  <c r="X225"/>
  <c r="W225"/>
  <c r="V225"/>
  <c r="U225"/>
  <c r="T225"/>
  <c r="S225"/>
  <c r="R225"/>
  <c r="Q225"/>
  <c r="P225"/>
  <c r="O225"/>
  <c r="N225"/>
  <c r="M225"/>
  <c r="L225"/>
  <c r="K225"/>
  <c r="J225"/>
  <c r="I225"/>
  <c r="H225"/>
  <c r="G225"/>
  <c r="F225"/>
  <c r="F223"/>
  <c r="G31"/>
  <c r="G7"/>
  <c r="Q184" i="33"/>
  <c r="R184"/>
  <c r="S184"/>
  <c r="T184"/>
  <c r="U184"/>
  <c r="M184"/>
  <c r="N184"/>
  <c r="O184"/>
  <c r="P184"/>
  <c r="L186"/>
  <c r="M186" s="1"/>
  <c r="N186" s="1"/>
  <c r="L184"/>
  <c r="K184"/>
  <c r="F61"/>
  <c r="G61"/>
  <c r="H61"/>
  <c r="I61"/>
  <c r="I96"/>
  <c r="L148"/>
  <c r="F133"/>
  <c r="F148" s="1"/>
  <c r="G150"/>
  <c r="H150"/>
  <c r="I150"/>
  <c r="J150"/>
  <c r="K150" s="1"/>
  <c r="F150"/>
  <c r="J147"/>
  <c r="I147"/>
  <c r="H147"/>
  <c r="G147"/>
  <c r="I183"/>
  <c r="J183"/>
  <c r="H183"/>
  <c r="H187"/>
  <c r="I187"/>
  <c r="J187"/>
  <c r="K182" s="1"/>
  <c r="G187"/>
  <c r="H182" s="1"/>
  <c r="G335" l="1"/>
  <c r="E335"/>
  <c r="I335"/>
  <c r="BG231" i="35"/>
  <c r="BC231"/>
  <c r="AU231"/>
  <c r="AQ231"/>
  <c r="AM231"/>
  <c r="M311" i="33"/>
  <c r="H136"/>
  <c r="H126"/>
  <c r="K183"/>
  <c r="K163" s="1"/>
  <c r="D43" i="35"/>
  <c r="D45" s="1"/>
  <c r="Y43"/>
  <c r="W43"/>
  <c r="U43"/>
  <c r="S43"/>
  <c r="O199" i="33"/>
  <c r="F123" i="35"/>
  <c r="G123" s="1"/>
  <c r="H123" s="1"/>
  <c r="I123" s="1"/>
  <c r="J123" s="1"/>
  <c r="BI231"/>
  <c r="BE231"/>
  <c r="BA231"/>
  <c r="AW231"/>
  <c r="AS231"/>
  <c r="AO231"/>
  <c r="AK231"/>
  <c r="AG231"/>
  <c r="E77"/>
  <c r="F93"/>
  <c r="G93" s="1"/>
  <c r="H93" s="1"/>
  <c r="I93" s="1"/>
  <c r="J93" s="1"/>
  <c r="K93" s="1"/>
  <c r="L93" s="1"/>
  <c r="M93" s="1"/>
  <c r="N93" s="1"/>
  <c r="O93" s="1"/>
  <c r="P93" s="1"/>
  <c r="Q93" s="1"/>
  <c r="R93" s="1"/>
  <c r="S93" s="1"/>
  <c r="T93" s="1"/>
  <c r="U93" s="1"/>
  <c r="V93" s="1"/>
  <c r="W93" s="1"/>
  <c r="X93" s="1"/>
  <c r="Y93" s="1"/>
  <c r="Z93" s="1"/>
  <c r="AA93" s="1"/>
  <c r="AB93" s="1"/>
  <c r="AC93" s="1"/>
  <c r="AD93" s="1"/>
  <c r="AE93" s="1"/>
  <c r="AF93" s="1"/>
  <c r="AG93" s="1"/>
  <c r="AH93" s="1"/>
  <c r="AI93" s="1"/>
  <c r="AJ93" s="1"/>
  <c r="AK93" s="1"/>
  <c r="AL93" s="1"/>
  <c r="AM93" s="1"/>
  <c r="AN93" s="1"/>
  <c r="AO93" s="1"/>
  <c r="AP93" s="1"/>
  <c r="AQ93" s="1"/>
  <c r="AR93" s="1"/>
  <c r="AS93" s="1"/>
  <c r="AT93" s="1"/>
  <c r="AU93" s="1"/>
  <c r="AV93" s="1"/>
  <c r="AW93" s="1"/>
  <c r="AX93" s="1"/>
  <c r="AY93" s="1"/>
  <c r="AZ93" s="1"/>
  <c r="BA93" s="1"/>
  <c r="BB93" s="1"/>
  <c r="BC93" s="1"/>
  <c r="BD93" s="1"/>
  <c r="BE93" s="1"/>
  <c r="BF93" s="1"/>
  <c r="BG93" s="1"/>
  <c r="BH93" s="1"/>
  <c r="BI93" s="1"/>
  <c r="BJ93" s="1"/>
  <c r="BK93" s="1"/>
  <c r="BL93" s="1"/>
  <c r="BM93" s="1"/>
  <c r="BN93" s="1"/>
  <c r="BO93" s="1"/>
  <c r="BP93" s="1"/>
  <c r="BQ93" s="1"/>
  <c r="BR93" s="1"/>
  <c r="BS93" s="1"/>
  <c r="BT93" s="1"/>
  <c r="BU93" s="1"/>
  <c r="BV93" s="1"/>
  <c r="BW93" s="1"/>
  <c r="BX93" s="1"/>
  <c r="BY93" s="1"/>
  <c r="BZ93" s="1"/>
  <c r="CA93" s="1"/>
  <c r="CB93" s="1"/>
  <c r="CC93" s="1"/>
  <c r="CD93" s="1"/>
  <c r="CE93" s="1"/>
  <c r="CF93" s="1"/>
  <c r="CG93" s="1"/>
  <c r="CH93" s="1"/>
  <c r="CI93" s="1"/>
  <c r="CJ93" s="1"/>
  <c r="CK93" s="1"/>
  <c r="CL93" s="1"/>
  <c r="CM93" s="1"/>
  <c r="CN93" s="1"/>
  <c r="CO93" s="1"/>
  <c r="CP93" s="1"/>
  <c r="CQ93" s="1"/>
  <c r="CR93" s="1"/>
  <c r="CS93" s="1"/>
  <c r="CT93" s="1"/>
  <c r="CU93" s="1"/>
  <c r="CV93" s="1"/>
  <c r="CW93" s="1"/>
  <c r="CX93" s="1"/>
  <c r="CY93" s="1"/>
  <c r="CZ93" s="1"/>
  <c r="DA93" s="1"/>
  <c r="DB93" s="1"/>
  <c r="DC93" s="1"/>
  <c r="DD93" s="1"/>
  <c r="DE93" s="1"/>
  <c r="DF93" s="1"/>
  <c r="DG93" s="1"/>
  <c r="DH93" s="1"/>
  <c r="DI93" s="1"/>
  <c r="DJ93" s="1"/>
  <c r="DK93" s="1"/>
  <c r="DL93" s="1"/>
  <c r="DM93" s="1"/>
  <c r="DN93" s="1"/>
  <c r="DO93" s="1"/>
  <c r="DP93" s="1"/>
  <c r="DQ93" s="1"/>
  <c r="DR93" s="1"/>
  <c r="DS93" s="1"/>
  <c r="DT93" s="1"/>
  <c r="DU93" s="1"/>
  <c r="DV93" s="1"/>
  <c r="DW93" s="1"/>
  <c r="DX93" s="1"/>
  <c r="DY93" s="1"/>
  <c r="DZ93" s="1"/>
  <c r="EA93" s="1"/>
  <c r="EB93" s="1"/>
  <c r="EC93" s="1"/>
  <c r="ED93" s="1"/>
  <c r="EE93" s="1"/>
  <c r="EF93" s="1"/>
  <c r="EG93" s="1"/>
  <c r="EH93" s="1"/>
  <c r="EI93" s="1"/>
  <c r="EJ93" s="1"/>
  <c r="EK93" s="1"/>
  <c r="EL93" s="1"/>
  <c r="EM93" s="1"/>
  <c r="EN93" s="1"/>
  <c r="EO93" s="1"/>
  <c r="EP93" s="1"/>
  <c r="EQ93" s="1"/>
  <c r="ER93" s="1"/>
  <c r="ES93" s="1"/>
  <c r="ET93" s="1"/>
  <c r="EU93" s="1"/>
  <c r="EV93" s="1"/>
  <c r="EW93" s="1"/>
  <c r="EX93" s="1"/>
  <c r="EY93" s="1"/>
  <c r="EZ93" s="1"/>
  <c r="FA93" s="1"/>
  <c r="FB93" s="1"/>
  <c r="FC93" s="1"/>
  <c r="FD93" s="1"/>
  <c r="FE93" s="1"/>
  <c r="FF93" s="1"/>
  <c r="FG93" s="1"/>
  <c r="FH93" s="1"/>
  <c r="FI93" s="1"/>
  <c r="FJ93" s="1"/>
  <c r="FK93" s="1"/>
  <c r="FL93" s="1"/>
  <c r="FM93" s="1"/>
  <c r="FN93" s="1"/>
  <c r="FO93" s="1"/>
  <c r="FP93" s="1"/>
  <c r="FQ93" s="1"/>
  <c r="FR93" s="1"/>
  <c r="FS93" s="1"/>
  <c r="FT93" s="1"/>
  <c r="FU93" s="1"/>
  <c r="FV93" s="1"/>
  <c r="FW93" s="1"/>
  <c r="FX93" s="1"/>
  <c r="FY93" s="1"/>
  <c r="FZ93" s="1"/>
  <c r="GA93" s="1"/>
  <c r="GB93" s="1"/>
  <c r="GC93" s="1"/>
  <c r="GD93" s="1"/>
  <c r="GE93" s="1"/>
  <c r="GF93" s="1"/>
  <c r="GG93" s="1"/>
  <c r="GH93" s="1"/>
  <c r="GI93" s="1"/>
  <c r="GJ93" s="1"/>
  <c r="GK93" s="1"/>
  <c r="GL93" s="1"/>
  <c r="GM93" s="1"/>
  <c r="GN93" s="1"/>
  <c r="GO93" s="1"/>
  <c r="GP93" s="1"/>
  <c r="GQ93" s="1"/>
  <c r="K123"/>
  <c r="L123" s="1"/>
  <c r="M123" s="1"/>
  <c r="N123" s="1"/>
  <c r="O123" s="1"/>
  <c r="P123" s="1"/>
  <c r="Q123" s="1"/>
  <c r="R123" s="1"/>
  <c r="S123" s="1"/>
  <c r="T123" s="1"/>
  <c r="U123" s="1"/>
  <c r="V123" s="1"/>
  <c r="W123" s="1"/>
  <c r="X123" s="1"/>
  <c r="Y123" s="1"/>
  <c r="Z123" s="1"/>
  <c r="AA123" s="1"/>
  <c r="AB123" s="1"/>
  <c r="AC123" s="1"/>
  <c r="AD123" s="1"/>
  <c r="AE123" s="1"/>
  <c r="AF123" s="1"/>
  <c r="AG123" s="1"/>
  <c r="AH123" s="1"/>
  <c r="AI123" s="1"/>
  <c r="AJ123" s="1"/>
  <c r="AK123" s="1"/>
  <c r="AL123" s="1"/>
  <c r="AM123" s="1"/>
  <c r="AN123" s="1"/>
  <c r="AO123" s="1"/>
  <c r="AP123" s="1"/>
  <c r="AQ123" s="1"/>
  <c r="AR123" s="1"/>
  <c r="AS123" s="1"/>
  <c r="AT123" s="1"/>
  <c r="AU123" s="1"/>
  <c r="AV123" s="1"/>
  <c r="AW123" s="1"/>
  <c r="AX123" s="1"/>
  <c r="AY123" s="1"/>
  <c r="AZ123" s="1"/>
  <c r="BA123" s="1"/>
  <c r="BB123" s="1"/>
  <c r="BC123" s="1"/>
  <c r="BD123" s="1"/>
  <c r="BE123" s="1"/>
  <c r="BF123" s="1"/>
  <c r="BG123" s="1"/>
  <c r="BH123" s="1"/>
  <c r="BI123" s="1"/>
  <c r="BJ123" s="1"/>
  <c r="BK123" s="1"/>
  <c r="BL123" s="1"/>
  <c r="BM123" s="1"/>
  <c r="BN123" s="1"/>
  <c r="BO123" s="1"/>
  <c r="BP123" s="1"/>
  <c r="BQ123" s="1"/>
  <c r="BR123" s="1"/>
  <c r="BS123" s="1"/>
  <c r="BT123" s="1"/>
  <c r="BU123" s="1"/>
  <c r="BV123" s="1"/>
  <c r="BW123" s="1"/>
  <c r="BX123" s="1"/>
  <c r="BY123" s="1"/>
  <c r="BZ123" s="1"/>
  <c r="CA123" s="1"/>
  <c r="CB123" s="1"/>
  <c r="CC123" s="1"/>
  <c r="CD123" s="1"/>
  <c r="CE123" s="1"/>
  <c r="CF123" s="1"/>
  <c r="CG123" s="1"/>
  <c r="CH123" s="1"/>
  <c r="CI123" s="1"/>
  <c r="CJ123" s="1"/>
  <c r="CK123" s="1"/>
  <c r="CL123" s="1"/>
  <c r="CM123" s="1"/>
  <c r="CN123" s="1"/>
  <c r="CO123" s="1"/>
  <c r="CP123" s="1"/>
  <c r="CQ123" s="1"/>
  <c r="CR123" s="1"/>
  <c r="CS123" s="1"/>
  <c r="CT123" s="1"/>
  <c r="CU123" s="1"/>
  <c r="CV123" s="1"/>
  <c r="CW123" s="1"/>
  <c r="CX123" s="1"/>
  <c r="CY123" s="1"/>
  <c r="CZ123" s="1"/>
  <c r="DA123" s="1"/>
  <c r="DB123" s="1"/>
  <c r="DC123" s="1"/>
  <c r="DD123" s="1"/>
  <c r="DE123" s="1"/>
  <c r="DF123" s="1"/>
  <c r="DG123" s="1"/>
  <c r="DH123" s="1"/>
  <c r="DI123" s="1"/>
  <c r="DJ123" s="1"/>
  <c r="DK123" s="1"/>
  <c r="DL123" s="1"/>
  <c r="DM123" s="1"/>
  <c r="DN123" s="1"/>
  <c r="DO123" s="1"/>
  <c r="DP123" s="1"/>
  <c r="DQ123" s="1"/>
  <c r="DR123" s="1"/>
  <c r="DS123" s="1"/>
  <c r="DT123" s="1"/>
  <c r="DU123" s="1"/>
  <c r="DV123" s="1"/>
  <c r="DW123" s="1"/>
  <c r="DX123" s="1"/>
  <c r="DY123" s="1"/>
  <c r="DZ123" s="1"/>
  <c r="EA123" s="1"/>
  <c r="EB123" s="1"/>
  <c r="EC123" s="1"/>
  <c r="ED123" s="1"/>
  <c r="EE123" s="1"/>
  <c r="EF123" s="1"/>
  <c r="EG123" s="1"/>
  <c r="EH123" s="1"/>
  <c r="EI123" s="1"/>
  <c r="EJ123" s="1"/>
  <c r="EK123" s="1"/>
  <c r="EL123" s="1"/>
  <c r="EM123" s="1"/>
  <c r="EN123" s="1"/>
  <c r="EO123" s="1"/>
  <c r="EP123" s="1"/>
  <c r="EQ123" s="1"/>
  <c r="ER123" s="1"/>
  <c r="ES123" s="1"/>
  <c r="ET123" s="1"/>
  <c r="EU123" s="1"/>
  <c r="EV123" s="1"/>
  <c r="EW123" s="1"/>
  <c r="EX123" s="1"/>
  <c r="EY123" s="1"/>
  <c r="EZ123" s="1"/>
  <c r="FA123" s="1"/>
  <c r="FB123" s="1"/>
  <c r="FC123" s="1"/>
  <c r="FD123" s="1"/>
  <c r="FE123" s="1"/>
  <c r="FF123" s="1"/>
  <c r="FG123" s="1"/>
  <c r="FH123" s="1"/>
  <c r="FI123" s="1"/>
  <c r="FJ123" s="1"/>
  <c r="FK123" s="1"/>
  <c r="FL123" s="1"/>
  <c r="FM123" s="1"/>
  <c r="FN123" s="1"/>
  <c r="FO123" s="1"/>
  <c r="FP123" s="1"/>
  <c r="FQ123" s="1"/>
  <c r="FR123" s="1"/>
  <c r="FS123" s="1"/>
  <c r="FT123" s="1"/>
  <c r="FU123" s="1"/>
  <c r="FV123" s="1"/>
  <c r="FW123" s="1"/>
  <c r="FX123" s="1"/>
  <c r="FY123" s="1"/>
  <c r="FZ123" s="1"/>
  <c r="GA123" s="1"/>
  <c r="GB123" s="1"/>
  <c r="GC123" s="1"/>
  <c r="GD123" s="1"/>
  <c r="GE123" s="1"/>
  <c r="GF123" s="1"/>
  <c r="GG123" s="1"/>
  <c r="GH123" s="1"/>
  <c r="GI123" s="1"/>
  <c r="GJ123" s="1"/>
  <c r="GK123" s="1"/>
  <c r="GL123" s="1"/>
  <c r="GM123" s="1"/>
  <c r="GN123" s="1"/>
  <c r="GO123" s="1"/>
  <c r="GP123" s="1"/>
  <c r="GQ123" s="1"/>
  <c r="E137"/>
  <c r="E135"/>
  <c r="E136" s="1"/>
  <c r="E121"/>
  <c r="E129" s="1"/>
  <c r="E112"/>
  <c r="F111"/>
  <c r="E127"/>
  <c r="F81"/>
  <c r="E82"/>
  <c r="E107"/>
  <c r="E105"/>
  <c r="E106" s="1"/>
  <c r="BH231"/>
  <c r="BF231"/>
  <c r="BD231"/>
  <c r="BB231"/>
  <c r="AZ231"/>
  <c r="AX231"/>
  <c r="AV231"/>
  <c r="AT231"/>
  <c r="AR231"/>
  <c r="AP231"/>
  <c r="AN231"/>
  <c r="AL231"/>
  <c r="AJ231"/>
  <c r="AH231"/>
  <c r="F63"/>
  <c r="G63" s="1"/>
  <c r="H63" s="1"/>
  <c r="I63" s="1"/>
  <c r="J63" s="1"/>
  <c r="K63" s="1"/>
  <c r="L63" s="1"/>
  <c r="M63" s="1"/>
  <c r="N63" s="1"/>
  <c r="O63" s="1"/>
  <c r="P63" s="1"/>
  <c r="Q63" s="1"/>
  <c r="R63" s="1"/>
  <c r="S63" s="1"/>
  <c r="T63" s="1"/>
  <c r="U63" s="1"/>
  <c r="V63" s="1"/>
  <c r="W63" s="1"/>
  <c r="X63" s="1"/>
  <c r="Y63" s="1"/>
  <c r="Z63" s="1"/>
  <c r="AA63" s="1"/>
  <c r="AB63" s="1"/>
  <c r="AC63" s="1"/>
  <c r="AD63" s="1"/>
  <c r="AE63" s="1"/>
  <c r="AF63" s="1"/>
  <c r="AG63" s="1"/>
  <c r="AH63" s="1"/>
  <c r="AI63" s="1"/>
  <c r="AJ63" s="1"/>
  <c r="AK63" s="1"/>
  <c r="AL63" s="1"/>
  <c r="AM63" s="1"/>
  <c r="AN63" s="1"/>
  <c r="AO63" s="1"/>
  <c r="AP63" s="1"/>
  <c r="AQ63" s="1"/>
  <c r="AR63" s="1"/>
  <c r="AS63" s="1"/>
  <c r="AT63" s="1"/>
  <c r="AU63" s="1"/>
  <c r="AV63" s="1"/>
  <c r="AW63" s="1"/>
  <c r="AX63" s="1"/>
  <c r="AY63" s="1"/>
  <c r="AZ63" s="1"/>
  <c r="BA63" s="1"/>
  <c r="BB63" s="1"/>
  <c r="BC63" s="1"/>
  <c r="BD63" s="1"/>
  <c r="BE63" s="1"/>
  <c r="BF63" s="1"/>
  <c r="BG63" s="1"/>
  <c r="BH63" s="1"/>
  <c r="BI63" s="1"/>
  <c r="BJ63" s="1"/>
  <c r="BK63" s="1"/>
  <c r="BL63" s="1"/>
  <c r="BM63" s="1"/>
  <c r="BN63" s="1"/>
  <c r="BO63" s="1"/>
  <c r="BP63" s="1"/>
  <c r="BQ63" s="1"/>
  <c r="BR63" s="1"/>
  <c r="BS63" s="1"/>
  <c r="BT63" s="1"/>
  <c r="BU63" s="1"/>
  <c r="BV63" s="1"/>
  <c r="BW63" s="1"/>
  <c r="BX63" s="1"/>
  <c r="BY63" s="1"/>
  <c r="BZ63" s="1"/>
  <c r="CA63" s="1"/>
  <c r="CB63" s="1"/>
  <c r="CC63" s="1"/>
  <c r="CD63" s="1"/>
  <c r="CE63" s="1"/>
  <c r="CF63" s="1"/>
  <c r="CG63" s="1"/>
  <c r="CH63" s="1"/>
  <c r="CI63" s="1"/>
  <c r="CJ63" s="1"/>
  <c r="CK63" s="1"/>
  <c r="CL63" s="1"/>
  <c r="CM63" s="1"/>
  <c r="CN63" s="1"/>
  <c r="CO63" s="1"/>
  <c r="CP63" s="1"/>
  <c r="CQ63" s="1"/>
  <c r="CR63" s="1"/>
  <c r="CS63" s="1"/>
  <c r="CT63" s="1"/>
  <c r="CU63" s="1"/>
  <c r="CV63" s="1"/>
  <c r="CW63" s="1"/>
  <c r="CX63" s="1"/>
  <c r="CY63" s="1"/>
  <c r="CZ63" s="1"/>
  <c r="DA63" s="1"/>
  <c r="DB63" s="1"/>
  <c r="DC63" s="1"/>
  <c r="DD63" s="1"/>
  <c r="DE63" s="1"/>
  <c r="DF63" s="1"/>
  <c r="DG63" s="1"/>
  <c r="DH63" s="1"/>
  <c r="DI63" s="1"/>
  <c r="DJ63" s="1"/>
  <c r="DK63" s="1"/>
  <c r="DL63" s="1"/>
  <c r="DM63" s="1"/>
  <c r="DN63" s="1"/>
  <c r="DO63" s="1"/>
  <c r="DP63" s="1"/>
  <c r="DQ63" s="1"/>
  <c r="DR63" s="1"/>
  <c r="DS63" s="1"/>
  <c r="DT63" s="1"/>
  <c r="DU63" s="1"/>
  <c r="DV63" s="1"/>
  <c r="DW63" s="1"/>
  <c r="DX63" s="1"/>
  <c r="DY63" s="1"/>
  <c r="DZ63" s="1"/>
  <c r="EA63" s="1"/>
  <c r="EB63" s="1"/>
  <c r="EC63" s="1"/>
  <c r="ED63" s="1"/>
  <c r="EE63" s="1"/>
  <c r="EF63" s="1"/>
  <c r="EG63" s="1"/>
  <c r="EH63" s="1"/>
  <c r="EI63" s="1"/>
  <c r="EJ63" s="1"/>
  <c r="EK63" s="1"/>
  <c r="EL63" s="1"/>
  <c r="EM63" s="1"/>
  <c r="EN63" s="1"/>
  <c r="EO63" s="1"/>
  <c r="EP63" s="1"/>
  <c r="EQ63" s="1"/>
  <c r="ER63" s="1"/>
  <c r="ES63" s="1"/>
  <c r="ET63" s="1"/>
  <c r="EU63" s="1"/>
  <c r="EV63" s="1"/>
  <c r="EW63" s="1"/>
  <c r="EX63" s="1"/>
  <c r="EY63" s="1"/>
  <c r="EZ63" s="1"/>
  <c r="FA63" s="1"/>
  <c r="FB63" s="1"/>
  <c r="FC63" s="1"/>
  <c r="FD63" s="1"/>
  <c r="FE63" s="1"/>
  <c r="FF63" s="1"/>
  <c r="FG63" s="1"/>
  <c r="FH63" s="1"/>
  <c r="FI63" s="1"/>
  <c r="FJ63" s="1"/>
  <c r="FK63" s="1"/>
  <c r="FL63" s="1"/>
  <c r="FM63" s="1"/>
  <c r="FN63" s="1"/>
  <c r="FO63" s="1"/>
  <c r="FP63" s="1"/>
  <c r="FQ63" s="1"/>
  <c r="FR63" s="1"/>
  <c r="FS63" s="1"/>
  <c r="FT63" s="1"/>
  <c r="FU63" s="1"/>
  <c r="FV63" s="1"/>
  <c r="FW63" s="1"/>
  <c r="FX63" s="1"/>
  <c r="FY63" s="1"/>
  <c r="FZ63" s="1"/>
  <c r="GA63" s="1"/>
  <c r="GB63" s="1"/>
  <c r="GC63" s="1"/>
  <c r="GD63" s="1"/>
  <c r="GE63" s="1"/>
  <c r="GF63" s="1"/>
  <c r="GG63" s="1"/>
  <c r="GH63" s="1"/>
  <c r="GI63" s="1"/>
  <c r="GJ63" s="1"/>
  <c r="GK63" s="1"/>
  <c r="GL63" s="1"/>
  <c r="GM63" s="1"/>
  <c r="GN63" s="1"/>
  <c r="GO63" s="1"/>
  <c r="GP63" s="1"/>
  <c r="GQ63" s="1"/>
  <c r="E75"/>
  <c r="E76" s="1"/>
  <c r="E61"/>
  <c r="E69" s="1"/>
  <c r="E67"/>
  <c r="F51"/>
  <c r="E52"/>
  <c r="G231"/>
  <c r="G235" s="1"/>
  <c r="H235" s="1"/>
  <c r="I231"/>
  <c r="I237" s="1"/>
  <c r="J237" s="1"/>
  <c r="K237" s="1"/>
  <c r="L237" s="1"/>
  <c r="M237" s="1"/>
  <c r="N237" s="1"/>
  <c r="O237" s="1"/>
  <c r="P237" s="1"/>
  <c r="Q237" s="1"/>
  <c r="R237" s="1"/>
  <c r="S237" s="1"/>
  <c r="K231"/>
  <c r="K239" s="1"/>
  <c r="L239" s="1"/>
  <c r="M239" s="1"/>
  <c r="N239" s="1"/>
  <c r="O239" s="1"/>
  <c r="P239" s="1"/>
  <c r="Q239" s="1"/>
  <c r="R239" s="1"/>
  <c r="S239" s="1"/>
  <c r="M231"/>
  <c r="M241" s="1"/>
  <c r="N241" s="1"/>
  <c r="O241" s="1"/>
  <c r="P241" s="1"/>
  <c r="Q241" s="1"/>
  <c r="R241" s="1"/>
  <c r="S241" s="1"/>
  <c r="O231"/>
  <c r="Q231"/>
  <c r="S231"/>
  <c r="U231"/>
  <c r="W231"/>
  <c r="Y231"/>
  <c r="AA231"/>
  <c r="AC231"/>
  <c r="AE231"/>
  <c r="H7"/>
  <c r="G223"/>
  <c r="H231"/>
  <c r="H236" s="1"/>
  <c r="I236" s="1"/>
  <c r="J236" s="1"/>
  <c r="K236" s="1"/>
  <c r="L236" s="1"/>
  <c r="M236" s="1"/>
  <c r="N236" s="1"/>
  <c r="O236" s="1"/>
  <c r="P236" s="1"/>
  <c r="Q236" s="1"/>
  <c r="R236" s="1"/>
  <c r="S236" s="1"/>
  <c r="S233" s="1"/>
  <c r="J231"/>
  <c r="J238" s="1"/>
  <c r="K238" s="1"/>
  <c r="L238" s="1"/>
  <c r="M238" s="1"/>
  <c r="N238" s="1"/>
  <c r="O238" s="1"/>
  <c r="P238" s="1"/>
  <c r="Q238" s="1"/>
  <c r="R238" s="1"/>
  <c r="S238" s="1"/>
  <c r="L231"/>
  <c r="L240" s="1"/>
  <c r="M240" s="1"/>
  <c r="N240" s="1"/>
  <c r="O240" s="1"/>
  <c r="P240" s="1"/>
  <c r="Q240" s="1"/>
  <c r="R240" s="1"/>
  <c r="S240" s="1"/>
  <c r="N231"/>
  <c r="N242" s="1"/>
  <c r="O242" s="1"/>
  <c r="P242" s="1"/>
  <c r="Q242" s="1"/>
  <c r="R242" s="1"/>
  <c r="S242" s="1"/>
  <c r="P231"/>
  <c r="R231"/>
  <c r="T231"/>
  <c r="V231"/>
  <c r="X231"/>
  <c r="Z231"/>
  <c r="AB231"/>
  <c r="AD231"/>
  <c r="O186" i="33"/>
  <c r="L150"/>
  <c r="M148"/>
  <c r="N148" s="1"/>
  <c r="O148" s="1"/>
  <c r="H185"/>
  <c r="H186" s="1"/>
  <c r="H184"/>
  <c r="J182"/>
  <c r="J185" s="1"/>
  <c r="J186" s="1"/>
  <c r="I182"/>
  <c r="I185" s="1"/>
  <c r="I186" s="1"/>
  <c r="G239"/>
  <c r="H239"/>
  <c r="I239"/>
  <c r="G193"/>
  <c r="G209"/>
  <c r="H209"/>
  <c r="I209"/>
  <c r="I220"/>
  <c r="H220"/>
  <c r="G220"/>
  <c r="H193"/>
  <c r="I193"/>
  <c r="J193"/>
  <c r="G153"/>
  <c r="H153"/>
  <c r="I153"/>
  <c r="G157"/>
  <c r="F151"/>
  <c r="G151"/>
  <c r="F154"/>
  <c r="F161" s="1"/>
  <c r="F162" s="1"/>
  <c r="G154"/>
  <c r="G161" s="1"/>
  <c r="G162" s="1"/>
  <c r="F158"/>
  <c r="G158"/>
  <c r="F160"/>
  <c r="G160"/>
  <c r="F164"/>
  <c r="G164"/>
  <c r="F166"/>
  <c r="G166"/>
  <c r="G217"/>
  <c r="H217"/>
  <c r="G200"/>
  <c r="H200"/>
  <c r="G203"/>
  <c r="H203"/>
  <c r="H157"/>
  <c r="H151"/>
  <c r="H154"/>
  <c r="H160"/>
  <c r="H166"/>
  <c r="I157"/>
  <c r="K357"/>
  <c r="H234" l="1"/>
  <c r="G234"/>
  <c r="N311"/>
  <c r="J184"/>
  <c r="I184"/>
  <c r="E97" i="35"/>
  <c r="E108" s="1"/>
  <c r="P199" i="33"/>
  <c r="E132" i="35"/>
  <c r="F137"/>
  <c r="F135"/>
  <c r="F126"/>
  <c r="F121"/>
  <c r="F129" s="1"/>
  <c r="F112"/>
  <c r="G111"/>
  <c r="E138"/>
  <c r="F136"/>
  <c r="F107"/>
  <c r="F105"/>
  <c r="F96"/>
  <c r="F91"/>
  <c r="F99" s="1"/>
  <c r="F82"/>
  <c r="G81"/>
  <c r="E72"/>
  <c r="E78"/>
  <c r="G51"/>
  <c r="F61"/>
  <c r="F69" s="1"/>
  <c r="F52"/>
  <c r="F66"/>
  <c r="F75"/>
  <c r="F76" s="1"/>
  <c r="F77"/>
  <c r="G233"/>
  <c r="H223"/>
  <c r="I235"/>
  <c r="H233"/>
  <c r="I7"/>
  <c r="P186" i="33"/>
  <c r="Q186" s="1"/>
  <c r="R186" s="1"/>
  <c r="S186" s="1"/>
  <c r="M150"/>
  <c r="P148"/>
  <c r="G238"/>
  <c r="H238"/>
  <c r="I238"/>
  <c r="G207"/>
  <c r="G225"/>
  <c r="H225"/>
  <c r="H207"/>
  <c r="G165"/>
  <c r="G169" s="1"/>
  <c r="F165"/>
  <c r="F169" s="1"/>
  <c r="H161"/>
  <c r="H164"/>
  <c r="H158"/>
  <c r="J154"/>
  <c r="I154"/>
  <c r="J217"/>
  <c r="I217"/>
  <c r="J209"/>
  <c r="J203"/>
  <c r="I203"/>
  <c r="J200"/>
  <c r="I200"/>
  <c r="I234" s="1"/>
  <c r="J166"/>
  <c r="I166"/>
  <c r="J157"/>
  <c r="J153"/>
  <c r="J151"/>
  <c r="I151"/>
  <c r="I164" s="1"/>
  <c r="C53" i="30"/>
  <c r="C29"/>
  <c r="C8"/>
  <c r="K328" i="33"/>
  <c r="L328" s="1"/>
  <c r="M328" s="1"/>
  <c r="N328" s="1"/>
  <c r="O328" s="1"/>
  <c r="P328" s="1"/>
  <c r="Q328" s="1"/>
  <c r="R328" s="1"/>
  <c r="S328" s="1"/>
  <c r="T328" s="1"/>
  <c r="U328" s="1"/>
  <c r="G7" i="26"/>
  <c r="C175"/>
  <c r="G183"/>
  <c r="H183"/>
  <c r="I183"/>
  <c r="J183"/>
  <c r="K183"/>
  <c r="L183"/>
  <c r="M183"/>
  <c r="N183"/>
  <c r="O183"/>
  <c r="P183"/>
  <c r="Q183"/>
  <c r="R183"/>
  <c r="S183"/>
  <c r="T183"/>
  <c r="U183"/>
  <c r="V183"/>
  <c r="W183"/>
  <c r="X183"/>
  <c r="Y183"/>
  <c r="Z183"/>
  <c r="AA183"/>
  <c r="AB183"/>
  <c r="AC183"/>
  <c r="AD183"/>
  <c r="AE183"/>
  <c r="AF183"/>
  <c r="AG183"/>
  <c r="AH183"/>
  <c r="AI183"/>
  <c r="AJ183"/>
  <c r="AK183"/>
  <c r="AL183"/>
  <c r="AM183"/>
  <c r="AN183"/>
  <c r="AO183"/>
  <c r="AP183"/>
  <c r="AQ183"/>
  <c r="AR183"/>
  <c r="AS183"/>
  <c r="AT183"/>
  <c r="AU183"/>
  <c r="AV183"/>
  <c r="AW183"/>
  <c r="AX183"/>
  <c r="AY183"/>
  <c r="AZ183"/>
  <c r="BA183"/>
  <c r="BB183"/>
  <c r="BC183"/>
  <c r="BD183"/>
  <c r="BE183"/>
  <c r="BF183"/>
  <c r="BG183"/>
  <c r="BH183"/>
  <c r="BI183"/>
  <c r="BJ183"/>
  <c r="BK183"/>
  <c r="BL183"/>
  <c r="BM183"/>
  <c r="BN183"/>
  <c r="BO183"/>
  <c r="BP183"/>
  <c r="BQ183"/>
  <c r="BR183"/>
  <c r="BS183"/>
  <c r="BT183"/>
  <c r="BU183"/>
  <c r="BV183"/>
  <c r="BW183"/>
  <c r="BX183"/>
  <c r="BY183"/>
  <c r="BZ183"/>
  <c r="CA183"/>
  <c r="CB183"/>
  <c r="CC183"/>
  <c r="CD183"/>
  <c r="CE183"/>
  <c r="CF183"/>
  <c r="CG183"/>
  <c r="CH183"/>
  <c r="CI183"/>
  <c r="CJ183"/>
  <c r="CK183"/>
  <c r="CL183"/>
  <c r="CM183"/>
  <c r="CN183"/>
  <c r="CO183"/>
  <c r="CP183"/>
  <c r="CQ183"/>
  <c r="CR183"/>
  <c r="CS183"/>
  <c r="CT183"/>
  <c r="CU183"/>
  <c r="CV183"/>
  <c r="CW183"/>
  <c r="CX183"/>
  <c r="CY183"/>
  <c r="CZ183"/>
  <c r="DA183"/>
  <c r="DB183"/>
  <c r="DC183"/>
  <c r="DD183"/>
  <c r="DE183"/>
  <c r="DF183"/>
  <c r="DG183"/>
  <c r="DH183"/>
  <c r="DI183"/>
  <c r="DJ183"/>
  <c r="DK183"/>
  <c r="DL183"/>
  <c r="DM183"/>
  <c r="DN183"/>
  <c r="DO183"/>
  <c r="DP183"/>
  <c r="DQ183"/>
  <c r="DR183"/>
  <c r="DS183"/>
  <c r="DT183"/>
  <c r="DU183"/>
  <c r="DV183"/>
  <c r="DW183"/>
  <c r="DX183"/>
  <c r="DY183"/>
  <c r="DZ183"/>
  <c r="EA183"/>
  <c r="EB183"/>
  <c r="EC183"/>
  <c r="ED183"/>
  <c r="EE183"/>
  <c r="EF183"/>
  <c r="EG183"/>
  <c r="EH183"/>
  <c r="EI183"/>
  <c r="EJ183"/>
  <c r="EK183"/>
  <c r="EL183"/>
  <c r="EM183"/>
  <c r="EN183"/>
  <c r="EO183"/>
  <c r="EP183"/>
  <c r="EQ183"/>
  <c r="ER183"/>
  <c r="ES183"/>
  <c r="ET183"/>
  <c r="EU183"/>
  <c r="EV183"/>
  <c r="EW183"/>
  <c r="EX183"/>
  <c r="EY183"/>
  <c r="EZ183"/>
  <c r="FA183"/>
  <c r="FB183"/>
  <c r="FC183"/>
  <c r="FD183"/>
  <c r="FE183"/>
  <c r="FF183"/>
  <c r="FG183"/>
  <c r="FH183"/>
  <c r="FI183"/>
  <c r="FJ183"/>
  <c r="FK183"/>
  <c r="FL183"/>
  <c r="FM183"/>
  <c r="FN183"/>
  <c r="FO183"/>
  <c r="FP183"/>
  <c r="FQ183"/>
  <c r="FR183"/>
  <c r="FS183"/>
  <c r="FT183"/>
  <c r="FU183"/>
  <c r="FV183"/>
  <c r="FW183"/>
  <c r="FX183"/>
  <c r="FY183"/>
  <c r="FZ183"/>
  <c r="GA183"/>
  <c r="GB183"/>
  <c r="GC183"/>
  <c r="GD183"/>
  <c r="GE183"/>
  <c r="GF183"/>
  <c r="GG183"/>
  <c r="GH183"/>
  <c r="GI183"/>
  <c r="GJ183"/>
  <c r="GK183"/>
  <c r="GL183"/>
  <c r="GM183"/>
  <c r="GN183"/>
  <c r="GO183"/>
  <c r="GP183"/>
  <c r="GQ183"/>
  <c r="F183"/>
  <c r="E183"/>
  <c r="E184" s="1"/>
  <c r="N180"/>
  <c r="O180"/>
  <c r="P180"/>
  <c r="Q180"/>
  <c r="R180"/>
  <c r="S180"/>
  <c r="T180"/>
  <c r="U180"/>
  <c r="V180"/>
  <c r="W180"/>
  <c r="X180"/>
  <c r="Y180"/>
  <c r="Z180"/>
  <c r="AA180"/>
  <c r="AB180"/>
  <c r="AC180"/>
  <c r="AD180"/>
  <c r="AE180"/>
  <c r="AF180"/>
  <c r="AG180"/>
  <c r="AH180"/>
  <c r="AI180"/>
  <c r="AJ180"/>
  <c r="AK180"/>
  <c r="AL180"/>
  <c r="AM180"/>
  <c r="AN180"/>
  <c r="AO180"/>
  <c r="AP180"/>
  <c r="AQ180"/>
  <c r="AR180"/>
  <c r="AS180"/>
  <c r="AT180"/>
  <c r="AU180"/>
  <c r="AV180"/>
  <c r="AW180"/>
  <c r="AX180"/>
  <c r="AY180"/>
  <c r="AZ180"/>
  <c r="BA180"/>
  <c r="BB180"/>
  <c r="BC180"/>
  <c r="BD180"/>
  <c r="BE180"/>
  <c r="BF180"/>
  <c r="BG180"/>
  <c r="BH180"/>
  <c r="BI180"/>
  <c r="BJ180"/>
  <c r="BK180"/>
  <c r="BL180"/>
  <c r="BM180"/>
  <c r="BN180"/>
  <c r="BO180"/>
  <c r="BP180"/>
  <c r="BQ180"/>
  <c r="BR180"/>
  <c r="BS180"/>
  <c r="BT180"/>
  <c r="BU180"/>
  <c r="BV180"/>
  <c r="BW180"/>
  <c r="BX180"/>
  <c r="BY180"/>
  <c r="BZ180"/>
  <c r="CA180"/>
  <c r="CB180"/>
  <c r="CC180"/>
  <c r="CD180"/>
  <c r="CE180"/>
  <c r="CF180"/>
  <c r="CG180"/>
  <c r="CH180"/>
  <c r="CI180"/>
  <c r="CJ180"/>
  <c r="CK180"/>
  <c r="CL180"/>
  <c r="CM180"/>
  <c r="CN180"/>
  <c r="CO180"/>
  <c r="CP180"/>
  <c r="CQ180"/>
  <c r="CR180"/>
  <c r="CS180"/>
  <c r="CT180"/>
  <c r="CU180"/>
  <c r="CV180"/>
  <c r="CW180"/>
  <c r="CX180"/>
  <c r="CY180"/>
  <c r="CZ180"/>
  <c r="DA180"/>
  <c r="DB180"/>
  <c r="DC180"/>
  <c r="DD180"/>
  <c r="DE180"/>
  <c r="DF180"/>
  <c r="DG180"/>
  <c r="DH180"/>
  <c r="DI180"/>
  <c r="DJ180"/>
  <c r="DK180"/>
  <c r="DL180"/>
  <c r="DM180"/>
  <c r="DN180"/>
  <c r="DO180"/>
  <c r="DP180"/>
  <c r="DQ180"/>
  <c r="DR180"/>
  <c r="DS180"/>
  <c r="DT180"/>
  <c r="DU180"/>
  <c r="DV180"/>
  <c r="DW180"/>
  <c r="DX180"/>
  <c r="DY180"/>
  <c r="DZ180"/>
  <c r="EA180"/>
  <c r="EB180"/>
  <c r="EC180"/>
  <c r="ED180"/>
  <c r="EE180"/>
  <c r="EF180"/>
  <c r="EG180"/>
  <c r="EH180"/>
  <c r="EI180"/>
  <c r="EJ180"/>
  <c r="EK180"/>
  <c r="EL180"/>
  <c r="EM180"/>
  <c r="EN180"/>
  <c r="EO180"/>
  <c r="EP180"/>
  <c r="EQ180"/>
  <c r="ER180"/>
  <c r="ES180"/>
  <c r="ET180"/>
  <c r="EU180"/>
  <c r="EV180"/>
  <c r="EW180"/>
  <c r="EX180"/>
  <c r="EY180"/>
  <c r="EZ180"/>
  <c r="FA180"/>
  <c r="FB180"/>
  <c r="FC180"/>
  <c r="FD180"/>
  <c r="FE180"/>
  <c r="FF180"/>
  <c r="FG180"/>
  <c r="FH180"/>
  <c r="FI180"/>
  <c r="FJ180"/>
  <c r="FK180"/>
  <c r="FL180"/>
  <c r="FM180"/>
  <c r="FN180"/>
  <c r="FO180"/>
  <c r="FP180"/>
  <c r="FQ180"/>
  <c r="FR180"/>
  <c r="FS180"/>
  <c r="FT180"/>
  <c r="FU180"/>
  <c r="FV180"/>
  <c r="FW180"/>
  <c r="FX180"/>
  <c r="FY180"/>
  <c r="FZ180"/>
  <c r="GA180"/>
  <c r="GB180"/>
  <c r="GC180"/>
  <c r="GD180"/>
  <c r="GE180"/>
  <c r="GF180"/>
  <c r="GG180"/>
  <c r="GH180"/>
  <c r="GI180"/>
  <c r="GJ180"/>
  <c r="GK180"/>
  <c r="GL180"/>
  <c r="GM180"/>
  <c r="GN180"/>
  <c r="GO180"/>
  <c r="GP180"/>
  <c r="GQ180"/>
  <c r="F180"/>
  <c r="G180"/>
  <c r="H180"/>
  <c r="I180"/>
  <c r="J180"/>
  <c r="K180"/>
  <c r="L180"/>
  <c r="M180"/>
  <c r="E180"/>
  <c r="E172"/>
  <c r="E186"/>
  <c r="J234" i="33" l="1"/>
  <c r="I241"/>
  <c r="H240"/>
  <c r="O311"/>
  <c r="J235"/>
  <c r="Q199"/>
  <c r="G235"/>
  <c r="F97" i="35"/>
  <c r="F106"/>
  <c r="F127"/>
  <c r="G137"/>
  <c r="G135"/>
  <c r="G136" s="1"/>
  <c r="G121"/>
  <c r="G129" s="1"/>
  <c r="G112"/>
  <c r="H111"/>
  <c r="G107"/>
  <c r="G105"/>
  <c r="G96"/>
  <c r="G91"/>
  <c r="G99" s="1"/>
  <c r="G82"/>
  <c r="H81"/>
  <c r="G106"/>
  <c r="H51"/>
  <c r="G52"/>
  <c r="G61"/>
  <c r="G69" s="1"/>
  <c r="G66"/>
  <c r="G75"/>
  <c r="G76" s="1"/>
  <c r="G77"/>
  <c r="J235"/>
  <c r="I233"/>
  <c r="I223"/>
  <c r="J7"/>
  <c r="T186" i="33"/>
  <c r="N150"/>
  <c r="Q148"/>
  <c r="G241"/>
  <c r="I240"/>
  <c r="G240"/>
  <c r="H162"/>
  <c r="H241"/>
  <c r="H226"/>
  <c r="I235"/>
  <c r="H235"/>
  <c r="G226"/>
  <c r="J158"/>
  <c r="J160"/>
  <c r="J164"/>
  <c r="F171"/>
  <c r="F172"/>
  <c r="G171"/>
  <c r="G172"/>
  <c r="H165"/>
  <c r="H169" s="1"/>
  <c r="H171" s="1"/>
  <c r="J238"/>
  <c r="I158"/>
  <c r="I160"/>
  <c r="I161"/>
  <c r="J161"/>
  <c r="J207"/>
  <c r="I207"/>
  <c r="I225"/>
  <c r="E198" i="26"/>
  <c r="E182"/>
  <c r="E190" s="1"/>
  <c r="E173"/>
  <c r="H7"/>
  <c r="F172"/>
  <c r="F184"/>
  <c r="G184" s="1"/>
  <c r="H184" s="1"/>
  <c r="I184" s="1"/>
  <c r="J184" s="1"/>
  <c r="K184" s="1"/>
  <c r="L184" s="1"/>
  <c r="M184" s="1"/>
  <c r="N184" s="1"/>
  <c r="O184" s="1"/>
  <c r="P184" s="1"/>
  <c r="Q184" s="1"/>
  <c r="R184" s="1"/>
  <c r="S184" s="1"/>
  <c r="T184" s="1"/>
  <c r="U184" s="1"/>
  <c r="V184" s="1"/>
  <c r="W184" s="1"/>
  <c r="X184" s="1"/>
  <c r="Y184" s="1"/>
  <c r="Z184" s="1"/>
  <c r="AA184" s="1"/>
  <c r="AB184" s="1"/>
  <c r="AC184" s="1"/>
  <c r="AD184" s="1"/>
  <c r="AE184" s="1"/>
  <c r="AF184" s="1"/>
  <c r="AG184" s="1"/>
  <c r="AH184" s="1"/>
  <c r="AI184" s="1"/>
  <c r="AJ184" s="1"/>
  <c r="AK184" s="1"/>
  <c r="AL184" s="1"/>
  <c r="AM184" s="1"/>
  <c r="AN184" s="1"/>
  <c r="AO184" s="1"/>
  <c r="AP184" s="1"/>
  <c r="AQ184" s="1"/>
  <c r="AR184" s="1"/>
  <c r="AS184" s="1"/>
  <c r="AT184" s="1"/>
  <c r="AU184" s="1"/>
  <c r="AV184" s="1"/>
  <c r="AW184" s="1"/>
  <c r="AX184" s="1"/>
  <c r="AY184" s="1"/>
  <c r="AZ184" s="1"/>
  <c r="BA184" s="1"/>
  <c r="BB184" s="1"/>
  <c r="BC184" s="1"/>
  <c r="BD184" s="1"/>
  <c r="BE184" s="1"/>
  <c r="BF184" s="1"/>
  <c r="BG184" s="1"/>
  <c r="BH184" s="1"/>
  <c r="BI184" s="1"/>
  <c r="BJ184" s="1"/>
  <c r="BK184" s="1"/>
  <c r="BL184" s="1"/>
  <c r="BM184" s="1"/>
  <c r="BN184" s="1"/>
  <c r="BO184" s="1"/>
  <c r="BP184" s="1"/>
  <c r="BQ184" s="1"/>
  <c r="BR184" s="1"/>
  <c r="BS184" s="1"/>
  <c r="BT184" s="1"/>
  <c r="BU184" s="1"/>
  <c r="BV184" s="1"/>
  <c r="BW184" s="1"/>
  <c r="BX184" s="1"/>
  <c r="BY184" s="1"/>
  <c r="BZ184" s="1"/>
  <c r="CA184" s="1"/>
  <c r="CB184" s="1"/>
  <c r="CC184" s="1"/>
  <c r="CD184" s="1"/>
  <c r="CE184" s="1"/>
  <c r="CF184" s="1"/>
  <c r="CG184" s="1"/>
  <c r="CH184" s="1"/>
  <c r="CI184" s="1"/>
  <c r="CJ184" s="1"/>
  <c r="CK184" s="1"/>
  <c r="CL184" s="1"/>
  <c r="CM184" s="1"/>
  <c r="CN184" s="1"/>
  <c r="CO184" s="1"/>
  <c r="CP184" s="1"/>
  <c r="CQ184" s="1"/>
  <c r="CR184" s="1"/>
  <c r="CS184" s="1"/>
  <c r="CT184" s="1"/>
  <c r="CU184" s="1"/>
  <c r="CV184" s="1"/>
  <c r="CW184" s="1"/>
  <c r="CX184" s="1"/>
  <c r="CY184" s="1"/>
  <c r="CZ184" s="1"/>
  <c r="DA184" s="1"/>
  <c r="DB184" s="1"/>
  <c r="DC184" s="1"/>
  <c r="DD184" s="1"/>
  <c r="DE184" s="1"/>
  <c r="DF184" s="1"/>
  <c r="DG184" s="1"/>
  <c r="DH184" s="1"/>
  <c r="DI184" s="1"/>
  <c r="DJ184" s="1"/>
  <c r="DK184" s="1"/>
  <c r="DL184" s="1"/>
  <c r="DM184" s="1"/>
  <c r="DN184" s="1"/>
  <c r="DO184" s="1"/>
  <c r="DP184" s="1"/>
  <c r="DQ184" s="1"/>
  <c r="DR184" s="1"/>
  <c r="DS184" s="1"/>
  <c r="DT184" s="1"/>
  <c r="DU184" s="1"/>
  <c r="DV184" s="1"/>
  <c r="DW184" s="1"/>
  <c r="DX184" s="1"/>
  <c r="DY184" s="1"/>
  <c r="DZ184" s="1"/>
  <c r="EA184" s="1"/>
  <c r="EB184" s="1"/>
  <c r="EC184" s="1"/>
  <c r="ED184" s="1"/>
  <c r="EE184" s="1"/>
  <c r="EF184" s="1"/>
  <c r="EG184" s="1"/>
  <c r="EH184" s="1"/>
  <c r="EI184" s="1"/>
  <c r="EJ184" s="1"/>
  <c r="EK184" s="1"/>
  <c r="EL184" s="1"/>
  <c r="EM184" s="1"/>
  <c r="EN184" s="1"/>
  <c r="EO184" s="1"/>
  <c r="EP184" s="1"/>
  <c r="EQ184" s="1"/>
  <c r="ER184" s="1"/>
  <c r="ES184" s="1"/>
  <c r="ET184" s="1"/>
  <c r="EU184" s="1"/>
  <c r="EV184" s="1"/>
  <c r="EW184" s="1"/>
  <c r="EX184" s="1"/>
  <c r="EY184" s="1"/>
  <c r="EZ184" s="1"/>
  <c r="FA184" s="1"/>
  <c r="FB184" s="1"/>
  <c r="FC184" s="1"/>
  <c r="FD184" s="1"/>
  <c r="FE184" s="1"/>
  <c r="FF184" s="1"/>
  <c r="FG184" s="1"/>
  <c r="FH184" s="1"/>
  <c r="FI184" s="1"/>
  <c r="FJ184" s="1"/>
  <c r="FK184" s="1"/>
  <c r="FL184" s="1"/>
  <c r="FM184" s="1"/>
  <c r="FN184" s="1"/>
  <c r="FO184" s="1"/>
  <c r="FP184" s="1"/>
  <c r="FQ184" s="1"/>
  <c r="FR184" s="1"/>
  <c r="FS184" s="1"/>
  <c r="FT184" s="1"/>
  <c r="FU184" s="1"/>
  <c r="FV184" s="1"/>
  <c r="FW184" s="1"/>
  <c r="FX184" s="1"/>
  <c r="FY184" s="1"/>
  <c r="FZ184" s="1"/>
  <c r="GA184" s="1"/>
  <c r="GB184" s="1"/>
  <c r="GC184" s="1"/>
  <c r="GD184" s="1"/>
  <c r="GE184" s="1"/>
  <c r="GF184" s="1"/>
  <c r="GG184" s="1"/>
  <c r="GH184" s="1"/>
  <c r="GI184" s="1"/>
  <c r="GJ184" s="1"/>
  <c r="GK184" s="1"/>
  <c r="GL184" s="1"/>
  <c r="GM184" s="1"/>
  <c r="GN184" s="1"/>
  <c r="GO184" s="1"/>
  <c r="GP184" s="1"/>
  <c r="GQ184" s="1"/>
  <c r="E187"/>
  <c r="J240" i="33" l="1"/>
  <c r="F176"/>
  <c r="P311"/>
  <c r="F26" i="35"/>
  <c r="R199" i="33"/>
  <c r="H137" i="35"/>
  <c r="H135"/>
  <c r="H126"/>
  <c r="H112"/>
  <c r="H121"/>
  <c r="H129" s="1"/>
  <c r="I111"/>
  <c r="H136"/>
  <c r="H107"/>
  <c r="H105"/>
  <c r="H106" s="1"/>
  <c r="H96"/>
  <c r="H91"/>
  <c r="H99" s="1"/>
  <c r="H82"/>
  <c r="I81"/>
  <c r="H52"/>
  <c r="H61"/>
  <c r="H69" s="1"/>
  <c r="I51"/>
  <c r="H66"/>
  <c r="H75"/>
  <c r="H76" s="1"/>
  <c r="H77"/>
  <c r="J223"/>
  <c r="K7"/>
  <c r="K235"/>
  <c r="J233"/>
  <c r="U186" i="33"/>
  <c r="R148"/>
  <c r="O150"/>
  <c r="G176"/>
  <c r="F173"/>
  <c r="I226"/>
  <c r="H172"/>
  <c r="G173"/>
  <c r="J165"/>
  <c r="J169" s="1"/>
  <c r="J171" s="1"/>
  <c r="M171" s="1"/>
  <c r="N171" s="1"/>
  <c r="O171" s="1"/>
  <c r="P171" s="1"/>
  <c r="Q171" s="1"/>
  <c r="R171" s="1"/>
  <c r="S171" s="1"/>
  <c r="J162"/>
  <c r="I165"/>
  <c r="I169" s="1"/>
  <c r="I171" s="1"/>
  <c r="I162"/>
  <c r="J172"/>
  <c r="E23" i="39" s="1"/>
  <c r="F198" i="26"/>
  <c r="F182"/>
  <c r="F190" s="1"/>
  <c r="F173"/>
  <c r="I7"/>
  <c r="F187"/>
  <c r="G172"/>
  <c r="G198" s="1"/>
  <c r="G178" i="33" l="1"/>
  <c r="Q311"/>
  <c r="I172"/>
  <c r="D23" i="39" s="1"/>
  <c r="E24" s="1"/>
  <c r="S199" i="33"/>
  <c r="T171"/>
  <c r="I137" i="35"/>
  <c r="I135"/>
  <c r="I136" s="1"/>
  <c r="I126"/>
  <c r="I121"/>
  <c r="I129" s="1"/>
  <c r="I112"/>
  <c r="J111"/>
  <c r="I107"/>
  <c r="I105"/>
  <c r="I106" s="1"/>
  <c r="I96"/>
  <c r="I91"/>
  <c r="I99" s="1"/>
  <c r="I82"/>
  <c r="J81"/>
  <c r="J51"/>
  <c r="I52"/>
  <c r="I61"/>
  <c r="I69" s="1"/>
  <c r="I66"/>
  <c r="I75"/>
  <c r="I77"/>
  <c r="I76"/>
  <c r="L7"/>
  <c r="K223"/>
  <c r="L235"/>
  <c r="K233"/>
  <c r="S148" i="33"/>
  <c r="P150"/>
  <c r="I176"/>
  <c r="I178" s="1"/>
  <c r="D26" i="39" s="1"/>
  <c r="J176" i="33"/>
  <c r="H176"/>
  <c r="H178" s="1"/>
  <c r="H173"/>
  <c r="J173"/>
  <c r="G187" i="26"/>
  <c r="H172"/>
  <c r="H182" s="1"/>
  <c r="H190" s="1"/>
  <c r="G182"/>
  <c r="G190" s="1"/>
  <c r="G173"/>
  <c r="J7"/>
  <c r="I172"/>
  <c r="I173" i="33" l="1"/>
  <c r="R311"/>
  <c r="J220"/>
  <c r="J241" s="1"/>
  <c r="J178"/>
  <c r="E26" i="39" s="1"/>
  <c r="T199" i="33"/>
  <c r="U171"/>
  <c r="J137" i="35"/>
  <c r="J135"/>
  <c r="J136" s="1"/>
  <c r="J126"/>
  <c r="J121"/>
  <c r="J129" s="1"/>
  <c r="K111"/>
  <c r="J112"/>
  <c r="J107"/>
  <c r="J105"/>
  <c r="J106" s="1"/>
  <c r="J96"/>
  <c r="J91"/>
  <c r="J99" s="1"/>
  <c r="J82"/>
  <c r="K81"/>
  <c r="K51"/>
  <c r="J61"/>
  <c r="J69" s="1"/>
  <c r="J52"/>
  <c r="J66"/>
  <c r="J75"/>
  <c r="J76" s="1"/>
  <c r="J77"/>
  <c r="M235"/>
  <c r="L233"/>
  <c r="L223"/>
  <c r="M7"/>
  <c r="Q150" i="33"/>
  <c r="T148"/>
  <c r="H198" i="26"/>
  <c r="H173"/>
  <c r="H187"/>
  <c r="I182"/>
  <c r="I190" s="1"/>
  <c r="I173"/>
  <c r="K7"/>
  <c r="I198"/>
  <c r="I187"/>
  <c r="J172"/>
  <c r="S311" i="33" l="1"/>
  <c r="J225"/>
  <c r="J226" s="1"/>
  <c r="U199"/>
  <c r="K121" i="35"/>
  <c r="K91"/>
  <c r="K137"/>
  <c r="K135"/>
  <c r="K136" s="1"/>
  <c r="K126"/>
  <c r="K112"/>
  <c r="L111"/>
  <c r="K107"/>
  <c r="K105"/>
  <c r="K96"/>
  <c r="K82"/>
  <c r="L81"/>
  <c r="K106"/>
  <c r="L51"/>
  <c r="K52"/>
  <c r="K61"/>
  <c r="K66"/>
  <c r="K75"/>
  <c r="K76" s="1"/>
  <c r="K77"/>
  <c r="M223"/>
  <c r="N235"/>
  <c r="M233"/>
  <c r="N7"/>
  <c r="U148" i="33"/>
  <c r="R150"/>
  <c r="J182" i="26"/>
  <c r="J190" s="1"/>
  <c r="J173"/>
  <c r="L7"/>
  <c r="J198"/>
  <c r="J187"/>
  <c r="K172"/>
  <c r="T311" i="33" l="1"/>
  <c r="L121" i="35"/>
  <c r="L137"/>
  <c r="L135"/>
  <c r="L136" s="1"/>
  <c r="L126"/>
  <c r="L129"/>
  <c r="M111"/>
  <c r="L112"/>
  <c r="L107"/>
  <c r="L105"/>
  <c r="L106" s="1"/>
  <c r="L96"/>
  <c r="L91"/>
  <c r="L99" s="1"/>
  <c r="L82"/>
  <c r="M81"/>
  <c r="L52"/>
  <c r="L61"/>
  <c r="L69" s="1"/>
  <c r="M51"/>
  <c r="L66"/>
  <c r="L75"/>
  <c r="L76" s="1"/>
  <c r="L77"/>
  <c r="O7"/>
  <c r="N223"/>
  <c r="O235"/>
  <c r="N233"/>
  <c r="S150" i="33"/>
  <c r="K182" i="26"/>
  <c r="K190" s="1"/>
  <c r="K173"/>
  <c r="M7"/>
  <c r="K198"/>
  <c r="K187"/>
  <c r="L172"/>
  <c r="U311" i="33" l="1"/>
  <c r="M121" i="35"/>
  <c r="M137"/>
  <c r="M135"/>
  <c r="M136" s="1"/>
  <c r="M126"/>
  <c r="M112"/>
  <c r="N111"/>
  <c r="M107"/>
  <c r="M105"/>
  <c r="M106" s="1"/>
  <c r="M96"/>
  <c r="M91"/>
  <c r="M99" s="1"/>
  <c r="M82"/>
  <c r="N81"/>
  <c r="N51"/>
  <c r="M52"/>
  <c r="M61"/>
  <c r="M69" s="1"/>
  <c r="M66"/>
  <c r="M75"/>
  <c r="M76" s="1"/>
  <c r="M77"/>
  <c r="P235"/>
  <c r="O233"/>
  <c r="P7"/>
  <c r="O223"/>
  <c r="T150" i="33"/>
  <c r="L182" i="26"/>
  <c r="L190" s="1"/>
  <c r="L173"/>
  <c r="N7"/>
  <c r="L198"/>
  <c r="L187"/>
  <c r="M172"/>
  <c r="N121" i="35" l="1"/>
  <c r="N137"/>
  <c r="N135"/>
  <c r="N136" s="1"/>
  <c r="N126"/>
  <c r="N129"/>
  <c r="N112"/>
  <c r="O111"/>
  <c r="N107"/>
  <c r="N105"/>
  <c r="N106" s="1"/>
  <c r="N96"/>
  <c r="N91"/>
  <c r="N99" s="1"/>
  <c r="N82"/>
  <c r="O81"/>
  <c r="O51"/>
  <c r="N61"/>
  <c r="N69" s="1"/>
  <c r="N52"/>
  <c r="N66"/>
  <c r="N75"/>
  <c r="N76" s="1"/>
  <c r="N77"/>
  <c r="P223"/>
  <c r="Q7"/>
  <c r="Q235"/>
  <c r="P233"/>
  <c r="U150" i="33"/>
  <c r="M182" i="26"/>
  <c r="M190" s="1"/>
  <c r="M173"/>
  <c r="O7"/>
  <c r="M198"/>
  <c r="M187"/>
  <c r="N172"/>
  <c r="O121" i="35" l="1"/>
  <c r="O137"/>
  <c r="O135"/>
  <c r="O136" s="1"/>
  <c r="O126"/>
  <c r="O129"/>
  <c r="O112"/>
  <c r="P111"/>
  <c r="O107"/>
  <c r="O105"/>
  <c r="O106" s="1"/>
  <c r="O96"/>
  <c r="O91"/>
  <c r="O99" s="1"/>
  <c r="O82"/>
  <c r="P81"/>
  <c r="P51"/>
  <c r="O52"/>
  <c r="O61"/>
  <c r="O69" s="1"/>
  <c r="O66"/>
  <c r="O75"/>
  <c r="O76" s="1"/>
  <c r="O77"/>
  <c r="R235"/>
  <c r="R233" s="1"/>
  <c r="Q233"/>
  <c r="R7"/>
  <c r="Q223"/>
  <c r="P7" i="26"/>
  <c r="N182"/>
  <c r="N190" s="1"/>
  <c r="N173"/>
  <c r="N198"/>
  <c r="N187"/>
  <c r="O172"/>
  <c r="P121" i="35" l="1"/>
  <c r="P137"/>
  <c r="P135"/>
  <c r="P136" s="1"/>
  <c r="P126"/>
  <c r="P112"/>
  <c r="P129"/>
  <c r="Q111"/>
  <c r="P107"/>
  <c r="P105"/>
  <c r="P106" s="1"/>
  <c r="P96"/>
  <c r="P91"/>
  <c r="P99" s="1"/>
  <c r="P82"/>
  <c r="Q81"/>
  <c r="P52"/>
  <c r="P61"/>
  <c r="P69" s="1"/>
  <c r="Q51"/>
  <c r="P66"/>
  <c r="P75"/>
  <c r="P76" s="1"/>
  <c r="P77"/>
  <c r="S7"/>
  <c r="R223"/>
  <c r="O182" i="26"/>
  <c r="O190" s="1"/>
  <c r="O173"/>
  <c r="Q7"/>
  <c r="O198"/>
  <c r="O187"/>
  <c r="P172"/>
  <c r="Q121" i="35" l="1"/>
  <c r="Q137"/>
  <c r="Q135"/>
  <c r="Q136" s="1"/>
  <c r="Q126"/>
  <c r="Q112"/>
  <c r="R111"/>
  <c r="Q107"/>
  <c r="Q105"/>
  <c r="Q106" s="1"/>
  <c r="Q96"/>
  <c r="Q91"/>
  <c r="Q82"/>
  <c r="R81"/>
  <c r="R51"/>
  <c r="Q52"/>
  <c r="Q61"/>
  <c r="Q66"/>
  <c r="Q75"/>
  <c r="Q76" s="1"/>
  <c r="Q77"/>
  <c r="S223"/>
  <c r="T7"/>
  <c r="P182" i="26"/>
  <c r="P190" s="1"/>
  <c r="P173"/>
  <c r="R7"/>
  <c r="P198"/>
  <c r="P187"/>
  <c r="Q172"/>
  <c r="R121" i="35" l="1"/>
  <c r="R129" s="1"/>
  <c r="R137"/>
  <c r="R135"/>
  <c r="R136" s="1"/>
  <c r="R126"/>
  <c r="S111"/>
  <c r="R112"/>
  <c r="R107"/>
  <c r="R105"/>
  <c r="R106" s="1"/>
  <c r="R96"/>
  <c r="R91"/>
  <c r="R99" s="1"/>
  <c r="R82"/>
  <c r="S81"/>
  <c r="S51"/>
  <c r="R61"/>
  <c r="R69" s="1"/>
  <c r="R52"/>
  <c r="R66"/>
  <c r="R75"/>
  <c r="R76" s="1"/>
  <c r="R77"/>
  <c r="U7"/>
  <c r="T223"/>
  <c r="Q182" i="26"/>
  <c r="Q173"/>
  <c r="S7"/>
  <c r="Q198"/>
  <c r="Q187"/>
  <c r="R172"/>
  <c r="S121" i="35" l="1"/>
  <c r="S129" s="1"/>
  <c r="S137"/>
  <c r="S135"/>
  <c r="S136" s="1"/>
  <c r="S126"/>
  <c r="S112"/>
  <c r="T111"/>
  <c r="S107"/>
  <c r="S105"/>
  <c r="S106" s="1"/>
  <c r="S96"/>
  <c r="S91"/>
  <c r="S99" s="1"/>
  <c r="S82"/>
  <c r="T81"/>
  <c r="T51"/>
  <c r="S52"/>
  <c r="S61"/>
  <c r="S69" s="1"/>
  <c r="S66"/>
  <c r="S75"/>
  <c r="S76" s="1"/>
  <c r="S77"/>
  <c r="V7"/>
  <c r="U223"/>
  <c r="R182" i="26"/>
  <c r="R190" s="1"/>
  <c r="R173"/>
  <c r="T7"/>
  <c r="R198"/>
  <c r="R187"/>
  <c r="S172"/>
  <c r="T121" i="35" l="1"/>
  <c r="T129" s="1"/>
  <c r="T137"/>
  <c r="T135"/>
  <c r="T136" s="1"/>
  <c r="T126"/>
  <c r="U111"/>
  <c r="T112"/>
  <c r="T107"/>
  <c r="T105"/>
  <c r="T106" s="1"/>
  <c r="T96"/>
  <c r="T91"/>
  <c r="T99" s="1"/>
  <c r="T82"/>
  <c r="U81"/>
  <c r="U91" s="1"/>
  <c r="T52"/>
  <c r="T61"/>
  <c r="T69" s="1"/>
  <c r="U51"/>
  <c r="T66"/>
  <c r="T75"/>
  <c r="T76" s="1"/>
  <c r="T77"/>
  <c r="V223"/>
  <c r="W7"/>
  <c r="S182" i="26"/>
  <c r="S190" s="1"/>
  <c r="S173"/>
  <c r="U7"/>
  <c r="S198"/>
  <c r="S187"/>
  <c r="T172"/>
  <c r="U121" i="35" l="1"/>
  <c r="U129" s="1"/>
  <c r="U96"/>
  <c r="U137"/>
  <c r="U135"/>
  <c r="U126"/>
  <c r="U112"/>
  <c r="V111"/>
  <c r="U136"/>
  <c r="U107"/>
  <c r="U105"/>
  <c r="U106" s="1"/>
  <c r="U82"/>
  <c r="V81"/>
  <c r="V91" s="1"/>
  <c r="V51"/>
  <c r="U52"/>
  <c r="U66"/>
  <c r="U75"/>
  <c r="U76" s="1"/>
  <c r="U77"/>
  <c r="X7"/>
  <c r="W223"/>
  <c r="T182" i="26"/>
  <c r="T190" s="1"/>
  <c r="T173"/>
  <c r="V7"/>
  <c r="T198"/>
  <c r="T187"/>
  <c r="U172"/>
  <c r="V121" i="35" l="1"/>
  <c r="V129" s="1"/>
  <c r="V96"/>
  <c r="V137"/>
  <c r="V135"/>
  <c r="V136" s="1"/>
  <c r="V126"/>
  <c r="V112"/>
  <c r="W111"/>
  <c r="V107"/>
  <c r="V105"/>
  <c r="V106" s="1"/>
  <c r="V82"/>
  <c r="W81"/>
  <c r="W91" s="1"/>
  <c r="V99"/>
  <c r="W51"/>
  <c r="V61"/>
  <c r="V69" s="1"/>
  <c r="V52"/>
  <c r="V66"/>
  <c r="V75"/>
  <c r="V76" s="1"/>
  <c r="V77"/>
  <c r="X223"/>
  <c r="Y7"/>
  <c r="U182" i="26"/>
  <c r="U190" s="1"/>
  <c r="U173"/>
  <c r="W7"/>
  <c r="U198"/>
  <c r="U187"/>
  <c r="V172"/>
  <c r="W121" i="35" l="1"/>
  <c r="W96"/>
  <c r="W137"/>
  <c r="W135"/>
  <c r="W136" s="1"/>
  <c r="W126"/>
  <c r="W112"/>
  <c r="X111"/>
  <c r="W107"/>
  <c r="W105"/>
  <c r="W106" s="1"/>
  <c r="W99"/>
  <c r="W82"/>
  <c r="X81"/>
  <c r="X51"/>
  <c r="W52"/>
  <c r="W61"/>
  <c r="W69" s="1"/>
  <c r="W66"/>
  <c r="W75"/>
  <c r="W76" s="1"/>
  <c r="W77"/>
  <c r="Y223"/>
  <c r="V182" i="26"/>
  <c r="V190" s="1"/>
  <c r="V173"/>
  <c r="X7"/>
  <c r="W172"/>
  <c r="V198"/>
  <c r="V187"/>
  <c r="X121" i="35" l="1"/>
  <c r="X129" s="1"/>
  <c r="X96"/>
  <c r="X137"/>
  <c r="X135"/>
  <c r="X136" s="1"/>
  <c r="X126"/>
  <c r="X112"/>
  <c r="Y111"/>
  <c r="X107"/>
  <c r="X105"/>
  <c r="X106" s="1"/>
  <c r="X82"/>
  <c r="Y81"/>
  <c r="X91"/>
  <c r="X99" s="1"/>
  <c r="X52"/>
  <c r="X61"/>
  <c r="X69" s="1"/>
  <c r="Y51"/>
  <c r="X66"/>
  <c r="X75"/>
  <c r="X76" s="1"/>
  <c r="X77"/>
  <c r="Z223"/>
  <c r="W182" i="26"/>
  <c r="W190" s="1"/>
  <c r="W173"/>
  <c r="Y7"/>
  <c r="W198"/>
  <c r="W187"/>
  <c r="X172"/>
  <c r="Y121" i="35" l="1"/>
  <c r="Y129" s="1"/>
  <c r="Y137"/>
  <c r="Y135"/>
  <c r="Y136" s="1"/>
  <c r="Y126"/>
  <c r="Y112"/>
  <c r="Z111"/>
  <c r="Y107"/>
  <c r="Y105"/>
  <c r="Y106" s="1"/>
  <c r="Y96"/>
  <c r="Y91"/>
  <c r="Y99" s="1"/>
  <c r="Y82"/>
  <c r="Z81"/>
  <c r="Z51"/>
  <c r="Y52"/>
  <c r="Y61"/>
  <c r="Y69" s="1"/>
  <c r="Y66"/>
  <c r="Y75"/>
  <c r="Y76" s="1"/>
  <c r="Y77"/>
  <c r="AA223"/>
  <c r="X182" i="26"/>
  <c r="X190" s="1"/>
  <c r="X173"/>
  <c r="Z7"/>
  <c r="X198"/>
  <c r="X187"/>
  <c r="Y172"/>
  <c r="Z121" i="35" l="1"/>
  <c r="Z129" s="1"/>
  <c r="Z137"/>
  <c r="Z135"/>
  <c r="Z136" s="1"/>
  <c r="Z126"/>
  <c r="AA111"/>
  <c r="Z112"/>
  <c r="Z107"/>
  <c r="Z105"/>
  <c r="Z106" s="1"/>
  <c r="Z96"/>
  <c r="Z82"/>
  <c r="AA81"/>
  <c r="Z91"/>
  <c r="Z99" s="1"/>
  <c r="AA51"/>
  <c r="Z61"/>
  <c r="Z69" s="1"/>
  <c r="Z52"/>
  <c r="Z66"/>
  <c r="Z75"/>
  <c r="Z76" s="1"/>
  <c r="Z77"/>
  <c r="AB223"/>
  <c r="Y182" i="26"/>
  <c r="Y190" s="1"/>
  <c r="Y173"/>
  <c r="AA7"/>
  <c r="Y198"/>
  <c r="Y187"/>
  <c r="Z172"/>
  <c r="AA121" i="35" l="1"/>
  <c r="AA129" s="1"/>
  <c r="AA137"/>
  <c r="AA135"/>
  <c r="AA136" s="1"/>
  <c r="AA126"/>
  <c r="AA112"/>
  <c r="AB111"/>
  <c r="AA107"/>
  <c r="AA105"/>
  <c r="AA106" s="1"/>
  <c r="AA96"/>
  <c r="AA91"/>
  <c r="AA99" s="1"/>
  <c r="AA82"/>
  <c r="AB81"/>
  <c r="AB51"/>
  <c r="AA52"/>
  <c r="AA61"/>
  <c r="AA69" s="1"/>
  <c r="AA66"/>
  <c r="AA75"/>
  <c r="AA76" s="1"/>
  <c r="AA77"/>
  <c r="AC223"/>
  <c r="Z182" i="26"/>
  <c r="Z190" s="1"/>
  <c r="Z173"/>
  <c r="AB7"/>
  <c r="Z198"/>
  <c r="Z187"/>
  <c r="AA172"/>
  <c r="AB121" i="35" l="1"/>
  <c r="AB129" s="1"/>
  <c r="AB137"/>
  <c r="AB135"/>
  <c r="AB136" s="1"/>
  <c r="AB126"/>
  <c r="AC111"/>
  <c r="AB112"/>
  <c r="AB107"/>
  <c r="AB105"/>
  <c r="AB106" s="1"/>
  <c r="AB96"/>
  <c r="AB82"/>
  <c r="AC81"/>
  <c r="AB91"/>
  <c r="AB99" s="1"/>
  <c r="AB52"/>
  <c r="AB61"/>
  <c r="AB69" s="1"/>
  <c r="AC51"/>
  <c r="AB66"/>
  <c r="AB75"/>
  <c r="AB76" s="1"/>
  <c r="AB77"/>
  <c r="AD223"/>
  <c r="AA182" i="26"/>
  <c r="AA190" s="1"/>
  <c r="AA173"/>
  <c r="AC7"/>
  <c r="AA198"/>
  <c r="AA187"/>
  <c r="AB172"/>
  <c r="AC121" i="35" l="1"/>
  <c r="AC137"/>
  <c r="AC135"/>
  <c r="AC136" s="1"/>
  <c r="AC126"/>
  <c r="AC112"/>
  <c r="AD111"/>
  <c r="AC107"/>
  <c r="AC105"/>
  <c r="AC106" s="1"/>
  <c r="AC96"/>
  <c r="AC91"/>
  <c r="AC82"/>
  <c r="AD81"/>
  <c r="AD51"/>
  <c r="AC52"/>
  <c r="AC61"/>
  <c r="AC66"/>
  <c r="AC75"/>
  <c r="AC76" s="1"/>
  <c r="AC77"/>
  <c r="AE223"/>
  <c r="AF223" s="1"/>
  <c r="AB182" i="26"/>
  <c r="AB190" s="1"/>
  <c r="AB173"/>
  <c r="AD7"/>
  <c r="AB198"/>
  <c r="AB187"/>
  <c r="AC172"/>
  <c r="AD121" i="35" l="1"/>
  <c r="AD137"/>
  <c r="AD135"/>
  <c r="AD136" s="1"/>
  <c r="AD126"/>
  <c r="AD129"/>
  <c r="AD112"/>
  <c r="AE111"/>
  <c r="AD107"/>
  <c r="AD105"/>
  <c r="AD106" s="1"/>
  <c r="AD96"/>
  <c r="AD82"/>
  <c r="AE81"/>
  <c r="AD91"/>
  <c r="AD99" s="1"/>
  <c r="AE51"/>
  <c r="AD61"/>
  <c r="AD69" s="1"/>
  <c r="AD52"/>
  <c r="AD66"/>
  <c r="AD75"/>
  <c r="AD76" s="1"/>
  <c r="AD77"/>
  <c r="AG223"/>
  <c r="AC182" i="26"/>
  <c r="AC173"/>
  <c r="AC198"/>
  <c r="AC187"/>
  <c r="AD172"/>
  <c r="AE121" i="35" l="1"/>
  <c r="AE137"/>
  <c r="AE135"/>
  <c r="AE136" s="1"/>
  <c r="AE126"/>
  <c r="AE112"/>
  <c r="AF111"/>
  <c r="AE107"/>
  <c r="AE105"/>
  <c r="AE106" s="1"/>
  <c r="AE96"/>
  <c r="AE91"/>
  <c r="AE99" s="1"/>
  <c r="AE82"/>
  <c r="AF81"/>
  <c r="AF51"/>
  <c r="AE52"/>
  <c r="AE61"/>
  <c r="AE69" s="1"/>
  <c r="AE66"/>
  <c r="AE75"/>
  <c r="AE77"/>
  <c r="AE76"/>
  <c r="AH223"/>
  <c r="AD182" i="26"/>
  <c r="AD190" s="1"/>
  <c r="AD173"/>
  <c r="AD198"/>
  <c r="AD187"/>
  <c r="AE172"/>
  <c r="AF121" i="35" l="1"/>
  <c r="AF137"/>
  <c r="AF135"/>
  <c r="AF136" s="1"/>
  <c r="AF126"/>
  <c r="AF129"/>
  <c r="AF112"/>
  <c r="AG111"/>
  <c r="AF107"/>
  <c r="AF105"/>
  <c r="AF106" s="1"/>
  <c r="AF96"/>
  <c r="AF82"/>
  <c r="AG81"/>
  <c r="AF91"/>
  <c r="AF99" s="1"/>
  <c r="AF52"/>
  <c r="AF61"/>
  <c r="AF69" s="1"/>
  <c r="AG51"/>
  <c r="AF66"/>
  <c r="AF75"/>
  <c r="AF77"/>
  <c r="AF76"/>
  <c r="AI223"/>
  <c r="AE182" i="26"/>
  <c r="AE190" s="1"/>
  <c r="AE173"/>
  <c r="AE198"/>
  <c r="AE187"/>
  <c r="AF172"/>
  <c r="AG121" i="35" l="1"/>
  <c r="AG137"/>
  <c r="AG135"/>
  <c r="AG136" s="1"/>
  <c r="AG126"/>
  <c r="AG112"/>
  <c r="AH111"/>
  <c r="AG129"/>
  <c r="AG107"/>
  <c r="AG105"/>
  <c r="AG106" s="1"/>
  <c r="AG96"/>
  <c r="AG91"/>
  <c r="AG99" s="1"/>
  <c r="AG82"/>
  <c r="AH81"/>
  <c r="AH51"/>
  <c r="AG52"/>
  <c r="AG61"/>
  <c r="AG69" s="1"/>
  <c r="AG66"/>
  <c r="AG75"/>
  <c r="AG77"/>
  <c r="AG76"/>
  <c r="AJ223"/>
  <c r="AF182" i="26"/>
  <c r="AF190" s="1"/>
  <c r="AF173"/>
  <c r="AF198"/>
  <c r="AF187"/>
  <c r="AG172"/>
  <c r="AH121" i="35" l="1"/>
  <c r="AH137"/>
  <c r="AH135"/>
  <c r="AH136" s="1"/>
  <c r="AH126"/>
  <c r="AH129"/>
  <c r="AI111"/>
  <c r="AH112"/>
  <c r="AH107"/>
  <c r="AH105"/>
  <c r="AH106" s="1"/>
  <c r="AH96"/>
  <c r="AH82"/>
  <c r="AI81"/>
  <c r="AH91"/>
  <c r="AH99" s="1"/>
  <c r="AI51"/>
  <c r="AH61"/>
  <c r="AH69" s="1"/>
  <c r="AH52"/>
  <c r="AH66"/>
  <c r="AH75"/>
  <c r="AH77"/>
  <c r="AH76"/>
  <c r="AK223"/>
  <c r="AG182" i="26"/>
  <c r="AG190" s="1"/>
  <c r="AG173"/>
  <c r="AG198"/>
  <c r="AG187"/>
  <c r="AH172"/>
  <c r="AI121" i="35" l="1"/>
  <c r="AI137"/>
  <c r="AI135"/>
  <c r="AI136" s="1"/>
  <c r="AI126"/>
  <c r="AI112"/>
  <c r="AJ111"/>
  <c r="AI107"/>
  <c r="AI105"/>
  <c r="AI106" s="1"/>
  <c r="AI96"/>
  <c r="AI91"/>
  <c r="AI99" s="1"/>
  <c r="AI82"/>
  <c r="AJ81"/>
  <c r="AJ51"/>
  <c r="AI52"/>
  <c r="AI61"/>
  <c r="AI69" s="1"/>
  <c r="AI66"/>
  <c r="AI75"/>
  <c r="AI77"/>
  <c r="AI76"/>
  <c r="AL223"/>
  <c r="AH182" i="26"/>
  <c r="AH190" s="1"/>
  <c r="AH173"/>
  <c r="AH198"/>
  <c r="AH187"/>
  <c r="AI172"/>
  <c r="AJ121" i="35" l="1"/>
  <c r="AJ137"/>
  <c r="AJ135"/>
  <c r="AJ136" s="1"/>
  <c r="AJ126"/>
  <c r="AJ129"/>
  <c r="AK111"/>
  <c r="AJ112"/>
  <c r="AJ107"/>
  <c r="AJ105"/>
  <c r="AJ106" s="1"/>
  <c r="AJ96"/>
  <c r="AJ82"/>
  <c r="AK81"/>
  <c r="AJ91"/>
  <c r="AJ99" s="1"/>
  <c r="AJ52"/>
  <c r="AJ61"/>
  <c r="AJ69" s="1"/>
  <c r="AK51"/>
  <c r="AJ66"/>
  <c r="AJ75"/>
  <c r="AJ76" s="1"/>
  <c r="AJ77"/>
  <c r="AM223"/>
  <c r="AI182" i="26"/>
  <c r="AI190" s="1"/>
  <c r="AI173"/>
  <c r="AI198"/>
  <c r="AI187"/>
  <c r="AJ172"/>
  <c r="AK121" i="35" l="1"/>
  <c r="AK137"/>
  <c r="AK135"/>
  <c r="AK136" s="1"/>
  <c r="AK126"/>
  <c r="AK112"/>
  <c r="AL111"/>
  <c r="AK107"/>
  <c r="AK105"/>
  <c r="AK106" s="1"/>
  <c r="AK96"/>
  <c r="AK91"/>
  <c r="AK99" s="1"/>
  <c r="AK82"/>
  <c r="AL81"/>
  <c r="AL51"/>
  <c r="AK52"/>
  <c r="AK61"/>
  <c r="AK69" s="1"/>
  <c r="AK66"/>
  <c r="AK75"/>
  <c r="AK77"/>
  <c r="AK76"/>
  <c r="AN223"/>
  <c r="AJ182" i="26"/>
  <c r="AJ190" s="1"/>
  <c r="AJ173"/>
  <c r="AJ198"/>
  <c r="AJ187"/>
  <c r="AK172"/>
  <c r="AL121" i="35" l="1"/>
  <c r="AL137"/>
  <c r="AL135"/>
  <c r="AL136" s="1"/>
  <c r="AL126"/>
  <c r="AL129"/>
  <c r="AL112"/>
  <c r="AM111"/>
  <c r="AL107"/>
  <c r="AL105"/>
  <c r="AL106" s="1"/>
  <c r="AL96"/>
  <c r="AL82"/>
  <c r="AM81"/>
  <c r="AL91"/>
  <c r="AL99" s="1"/>
  <c r="AM51"/>
  <c r="AL61"/>
  <c r="AL69" s="1"/>
  <c r="AL52"/>
  <c r="AL66"/>
  <c r="AL75"/>
  <c r="AL77"/>
  <c r="AL76"/>
  <c r="AO223"/>
  <c r="AK182" i="26"/>
  <c r="AK190" s="1"/>
  <c r="AK173"/>
  <c r="AK198"/>
  <c r="AK187"/>
  <c r="AL172"/>
  <c r="AM121" i="35" l="1"/>
  <c r="AM137"/>
  <c r="AM135"/>
  <c r="AM136" s="1"/>
  <c r="AM126"/>
  <c r="AM112"/>
  <c r="AN111"/>
  <c r="AM129"/>
  <c r="AM107"/>
  <c r="AM105"/>
  <c r="AM106" s="1"/>
  <c r="AM96"/>
  <c r="AM91"/>
  <c r="AM99" s="1"/>
  <c r="AM82"/>
  <c r="AN81"/>
  <c r="AN51"/>
  <c r="AM52"/>
  <c r="AM61"/>
  <c r="AM69" s="1"/>
  <c r="AM66"/>
  <c r="AM75"/>
  <c r="AM76" s="1"/>
  <c r="AM77"/>
  <c r="AP223"/>
  <c r="AL182" i="26"/>
  <c r="AL190" s="1"/>
  <c r="AL173"/>
  <c r="AL198"/>
  <c r="AL187"/>
  <c r="AM172"/>
  <c r="AN121" i="35" l="1"/>
  <c r="AN137"/>
  <c r="AN135"/>
  <c r="AN136" s="1"/>
  <c r="AN126"/>
  <c r="AN129"/>
  <c r="AN112"/>
  <c r="AO111"/>
  <c r="AN107"/>
  <c r="AN105"/>
  <c r="AN106" s="1"/>
  <c r="AN96"/>
  <c r="AN82"/>
  <c r="AO81"/>
  <c r="AN91"/>
  <c r="AN99" s="1"/>
  <c r="AN52"/>
  <c r="AN61"/>
  <c r="AN69" s="1"/>
  <c r="AO51"/>
  <c r="AN66"/>
  <c r="AN75"/>
  <c r="AN77"/>
  <c r="AN76"/>
  <c r="AQ223"/>
  <c r="AM182" i="26"/>
  <c r="AM190" s="1"/>
  <c r="AM173"/>
  <c r="AM198"/>
  <c r="AM187"/>
  <c r="AN172"/>
  <c r="AO121" i="35" l="1"/>
  <c r="AO137"/>
  <c r="AO135"/>
  <c r="AO136" s="1"/>
  <c r="AO126"/>
  <c r="AO112"/>
  <c r="AP111"/>
  <c r="AO107"/>
  <c r="AO105"/>
  <c r="AO106" s="1"/>
  <c r="AO96"/>
  <c r="AO91"/>
  <c r="AO82"/>
  <c r="AP81"/>
  <c r="AP51"/>
  <c r="AO52"/>
  <c r="AO61"/>
  <c r="AO66"/>
  <c r="AO75"/>
  <c r="AO76" s="1"/>
  <c r="AO77"/>
  <c r="AR223"/>
  <c r="AN182" i="26"/>
  <c r="AN190" s="1"/>
  <c r="AN173"/>
  <c r="AN198"/>
  <c r="AN187"/>
  <c r="AO172"/>
  <c r="AP121" i="35" l="1"/>
  <c r="AP137"/>
  <c r="AP135"/>
  <c r="AP136" s="1"/>
  <c r="AP126"/>
  <c r="AP129"/>
  <c r="AQ111"/>
  <c r="AP112"/>
  <c r="AP107"/>
  <c r="AP105"/>
  <c r="AP106" s="1"/>
  <c r="AP96"/>
  <c r="AP82"/>
  <c r="AQ81"/>
  <c r="AP91"/>
  <c r="AP99" s="1"/>
  <c r="AQ51"/>
  <c r="AP61"/>
  <c r="AP69" s="1"/>
  <c r="AP52"/>
  <c r="AP66"/>
  <c r="AP75"/>
  <c r="AP76" s="1"/>
  <c r="AP77"/>
  <c r="AS223"/>
  <c r="AO182" i="26"/>
  <c r="AO173"/>
  <c r="AO198"/>
  <c r="AO187"/>
  <c r="AP172"/>
  <c r="AQ121" i="35" l="1"/>
  <c r="AQ137"/>
  <c r="AQ135"/>
  <c r="AQ136" s="1"/>
  <c r="AQ126"/>
  <c r="AQ112"/>
  <c r="AR111"/>
  <c r="AQ129"/>
  <c r="AQ107"/>
  <c r="AQ105"/>
  <c r="AQ106" s="1"/>
  <c r="AQ96"/>
  <c r="AQ91"/>
  <c r="AQ99" s="1"/>
  <c r="AQ82"/>
  <c r="AR81"/>
  <c r="AR51"/>
  <c r="AQ52"/>
  <c r="AQ61"/>
  <c r="AQ69" s="1"/>
  <c r="AQ66"/>
  <c r="AQ75"/>
  <c r="AQ76" s="1"/>
  <c r="AQ77"/>
  <c r="AT223"/>
  <c r="AP182" i="26"/>
  <c r="AP190" s="1"/>
  <c r="AP173"/>
  <c r="AP198"/>
  <c r="AP187"/>
  <c r="AQ172"/>
  <c r="AR121" i="35" l="1"/>
  <c r="AR137"/>
  <c r="AR135"/>
  <c r="AR136" s="1"/>
  <c r="AR126"/>
  <c r="AR129"/>
  <c r="AS111"/>
  <c r="AR112"/>
  <c r="AR107"/>
  <c r="AR105"/>
  <c r="AR106" s="1"/>
  <c r="AR96"/>
  <c r="AR82"/>
  <c r="AS81"/>
  <c r="AR91"/>
  <c r="AR99" s="1"/>
  <c r="AR52"/>
  <c r="AR61"/>
  <c r="AR69" s="1"/>
  <c r="AS51"/>
  <c r="AR66"/>
  <c r="AR75"/>
  <c r="AR76" s="1"/>
  <c r="AR77"/>
  <c r="AU223"/>
  <c r="AQ182" i="26"/>
  <c r="AQ190" s="1"/>
  <c r="AQ173"/>
  <c r="AQ198"/>
  <c r="AQ187"/>
  <c r="AR172"/>
  <c r="AS121" i="35" l="1"/>
  <c r="AS137"/>
  <c r="AS135"/>
  <c r="AS136" s="1"/>
  <c r="AS126"/>
  <c r="AS112"/>
  <c r="AT111"/>
  <c r="AS129"/>
  <c r="AS107"/>
  <c r="AS105"/>
  <c r="AS106" s="1"/>
  <c r="AS96"/>
  <c r="AS91"/>
  <c r="AS99" s="1"/>
  <c r="AS82"/>
  <c r="AT81"/>
  <c r="AT51"/>
  <c r="AS52"/>
  <c r="AS61"/>
  <c r="AS69" s="1"/>
  <c r="AS66"/>
  <c r="AS75"/>
  <c r="AS76" s="1"/>
  <c r="AS77"/>
  <c r="AV223"/>
  <c r="AR182" i="26"/>
  <c r="AR190" s="1"/>
  <c r="AR173"/>
  <c r="AR198"/>
  <c r="AR187"/>
  <c r="AS172"/>
  <c r="AT121" i="35" l="1"/>
  <c r="AT137"/>
  <c r="AT135"/>
  <c r="AT136" s="1"/>
  <c r="AT126"/>
  <c r="AT129"/>
  <c r="AT112"/>
  <c r="AU111"/>
  <c r="AT107"/>
  <c r="AT105"/>
  <c r="AT106" s="1"/>
  <c r="AT96"/>
  <c r="AT82"/>
  <c r="AU81"/>
  <c r="AT91"/>
  <c r="AT99" s="1"/>
  <c r="AU51"/>
  <c r="AT61"/>
  <c r="AT69" s="1"/>
  <c r="AT52"/>
  <c r="AT66"/>
  <c r="AT75"/>
  <c r="AT76" s="1"/>
  <c r="AT77"/>
  <c r="AW223"/>
  <c r="AS182" i="26"/>
  <c r="AS190" s="1"/>
  <c r="AS173"/>
  <c r="AS198"/>
  <c r="AS187"/>
  <c r="AT172"/>
  <c r="AU121" i="35" l="1"/>
  <c r="AU137"/>
  <c r="AU135"/>
  <c r="AU136" s="1"/>
  <c r="AU126"/>
  <c r="AU112"/>
  <c r="AV111"/>
  <c r="AU107"/>
  <c r="AU105"/>
  <c r="AU106" s="1"/>
  <c r="AU96"/>
  <c r="AU91"/>
  <c r="AU99" s="1"/>
  <c r="AU82"/>
  <c r="AV81"/>
  <c r="AV51"/>
  <c r="AU52"/>
  <c r="AU61"/>
  <c r="AU69" s="1"/>
  <c r="AU66"/>
  <c r="AU75"/>
  <c r="AU76" s="1"/>
  <c r="AU77"/>
  <c r="AX223"/>
  <c r="AT182" i="26"/>
  <c r="AT190" s="1"/>
  <c r="AT173"/>
  <c r="AT198"/>
  <c r="AT187"/>
  <c r="AU172"/>
  <c r="AV121" i="35" l="1"/>
  <c r="AV137"/>
  <c r="AV135"/>
  <c r="AV136" s="1"/>
  <c r="AV126"/>
  <c r="AV129"/>
  <c r="AV112"/>
  <c r="AW111"/>
  <c r="AV107"/>
  <c r="AV105"/>
  <c r="AV106" s="1"/>
  <c r="AV96"/>
  <c r="AV82"/>
  <c r="AW81"/>
  <c r="AV91"/>
  <c r="AV99" s="1"/>
  <c r="AV52"/>
  <c r="AV61"/>
  <c r="AV69" s="1"/>
  <c r="AW51"/>
  <c r="AV66"/>
  <c r="AV75"/>
  <c r="AV76" s="1"/>
  <c r="AV77"/>
  <c r="AY223"/>
  <c r="AU182" i="26"/>
  <c r="AU190" s="1"/>
  <c r="AU173"/>
  <c r="AU198"/>
  <c r="AU187"/>
  <c r="AV172"/>
  <c r="AW121" i="35" l="1"/>
  <c r="AW137"/>
  <c r="AW135"/>
  <c r="AW136" s="1"/>
  <c r="AW126"/>
  <c r="AW112"/>
  <c r="AX111"/>
  <c r="AW129"/>
  <c r="AW107"/>
  <c r="AW105"/>
  <c r="AW106" s="1"/>
  <c r="AW96"/>
  <c r="AW91"/>
  <c r="AW99" s="1"/>
  <c r="AW82"/>
  <c r="AX81"/>
  <c r="AX51"/>
  <c r="AW52"/>
  <c r="AW61"/>
  <c r="AW69" s="1"/>
  <c r="AW66"/>
  <c r="AW75"/>
  <c r="AW76" s="1"/>
  <c r="AW77"/>
  <c r="AZ223"/>
  <c r="AV182" i="26"/>
  <c r="AV190" s="1"/>
  <c r="AV173"/>
  <c r="AV198"/>
  <c r="AV187"/>
  <c r="AW172"/>
  <c r="AX121" i="35" l="1"/>
  <c r="AX137"/>
  <c r="AX135"/>
  <c r="AX136" s="1"/>
  <c r="AX126"/>
  <c r="AX129"/>
  <c r="AY111"/>
  <c r="AX112"/>
  <c r="AX107"/>
  <c r="AX105"/>
  <c r="AX106" s="1"/>
  <c r="AX96"/>
  <c r="AX82"/>
  <c r="AY81"/>
  <c r="AX91"/>
  <c r="AX99" s="1"/>
  <c r="AY51"/>
  <c r="AX61"/>
  <c r="AX69" s="1"/>
  <c r="AX52"/>
  <c r="AX66"/>
  <c r="AX75"/>
  <c r="AX76" s="1"/>
  <c r="AX77"/>
  <c r="BA223"/>
  <c r="AW182" i="26"/>
  <c r="AW190" s="1"/>
  <c r="AW173"/>
  <c r="AW198"/>
  <c r="AW187"/>
  <c r="AX172"/>
  <c r="AY121" i="35" l="1"/>
  <c r="AY137"/>
  <c r="AY135"/>
  <c r="AY136" s="1"/>
  <c r="AY126"/>
  <c r="AY112"/>
  <c r="AZ111"/>
  <c r="AY129"/>
  <c r="AY107"/>
  <c r="AY105"/>
  <c r="AY106" s="1"/>
  <c r="AY96"/>
  <c r="AY91"/>
  <c r="AY99" s="1"/>
  <c r="AY82"/>
  <c r="AZ81"/>
  <c r="AZ51"/>
  <c r="AY52"/>
  <c r="AY61"/>
  <c r="AY69" s="1"/>
  <c r="AY66"/>
  <c r="AY75"/>
  <c r="AY76" s="1"/>
  <c r="AY77"/>
  <c r="BB223"/>
  <c r="AX182" i="26"/>
  <c r="AX190" s="1"/>
  <c r="AX173"/>
  <c r="AX198"/>
  <c r="AX187"/>
  <c r="AY172"/>
  <c r="AZ121" i="35" l="1"/>
  <c r="AZ137"/>
  <c r="AZ135"/>
  <c r="AZ136" s="1"/>
  <c r="AZ126"/>
  <c r="AZ129"/>
  <c r="AZ112"/>
  <c r="BA111"/>
  <c r="AZ107"/>
  <c r="AZ105"/>
  <c r="AZ106" s="1"/>
  <c r="AZ96"/>
  <c r="AZ82"/>
  <c r="BA81"/>
  <c r="AZ91"/>
  <c r="AZ99" s="1"/>
  <c r="AZ52"/>
  <c r="AZ61"/>
  <c r="AZ69" s="1"/>
  <c r="BA51"/>
  <c r="AZ66"/>
  <c r="AZ75"/>
  <c r="AZ76" s="1"/>
  <c r="AZ77"/>
  <c r="BC223"/>
  <c r="AY182" i="26"/>
  <c r="AY190" s="1"/>
  <c r="AY173"/>
  <c r="AY198"/>
  <c r="AY187"/>
  <c r="AZ172"/>
  <c r="BA121" i="35" l="1"/>
  <c r="BA137"/>
  <c r="BA135"/>
  <c r="BA136" s="1"/>
  <c r="BA126"/>
  <c r="BA112"/>
  <c r="BB111"/>
  <c r="BA107"/>
  <c r="BA105"/>
  <c r="BA106" s="1"/>
  <c r="BA96"/>
  <c r="BA91"/>
  <c r="BA82"/>
  <c r="BB81"/>
  <c r="BB51"/>
  <c r="BA52"/>
  <c r="BA61"/>
  <c r="BA66"/>
  <c r="BA75"/>
  <c r="BA76" s="1"/>
  <c r="BA77"/>
  <c r="BD223"/>
  <c r="AZ182" i="26"/>
  <c r="AZ190" s="1"/>
  <c r="AZ173"/>
  <c r="AZ198"/>
  <c r="AZ187"/>
  <c r="BA172"/>
  <c r="BB121" i="35" l="1"/>
  <c r="BB137"/>
  <c r="BB135"/>
  <c r="BB136" s="1"/>
  <c r="BB126"/>
  <c r="BB129"/>
  <c r="BB112"/>
  <c r="BC111"/>
  <c r="BB107"/>
  <c r="BB105"/>
  <c r="BB106" s="1"/>
  <c r="BB96"/>
  <c r="BB82"/>
  <c r="BC81"/>
  <c r="BB91"/>
  <c r="BB99" s="1"/>
  <c r="BC51"/>
  <c r="BB61"/>
  <c r="BB69" s="1"/>
  <c r="BB52"/>
  <c r="BB66"/>
  <c r="BB75"/>
  <c r="BB76" s="1"/>
  <c r="BB77"/>
  <c r="BE223"/>
  <c r="BA182" i="26"/>
  <c r="BA173"/>
  <c r="BA198"/>
  <c r="BA187"/>
  <c r="BB172"/>
  <c r="BC121" i="35" l="1"/>
  <c r="BC137"/>
  <c r="BC135"/>
  <c r="BC136" s="1"/>
  <c r="BC126"/>
  <c r="BC112"/>
  <c r="BD111"/>
  <c r="BC129"/>
  <c r="BC107"/>
  <c r="BC105"/>
  <c r="BC106" s="1"/>
  <c r="BC96"/>
  <c r="BC91"/>
  <c r="BC99" s="1"/>
  <c r="BC82"/>
  <c r="BD81"/>
  <c r="BD51"/>
  <c r="BC52"/>
  <c r="BC61"/>
  <c r="BC69" s="1"/>
  <c r="BC66"/>
  <c r="BC75"/>
  <c r="BC76" s="1"/>
  <c r="BC77"/>
  <c r="BF223"/>
  <c r="BB182" i="26"/>
  <c r="BB190" s="1"/>
  <c r="BB173"/>
  <c r="BB198"/>
  <c r="BB187"/>
  <c r="BC172"/>
  <c r="BD121" i="35" l="1"/>
  <c r="BD137"/>
  <c r="BD135"/>
  <c r="BD136" s="1"/>
  <c r="BD126"/>
  <c r="BD129"/>
  <c r="BE111"/>
  <c r="BD112"/>
  <c r="BD107"/>
  <c r="BD105"/>
  <c r="BD106" s="1"/>
  <c r="BD96"/>
  <c r="BD82"/>
  <c r="BE81"/>
  <c r="BD91"/>
  <c r="BD99" s="1"/>
  <c r="BD52"/>
  <c r="BD61"/>
  <c r="BD69" s="1"/>
  <c r="BE51"/>
  <c r="BD66"/>
  <c r="BD75"/>
  <c r="BD76" s="1"/>
  <c r="BD77"/>
  <c r="BG223"/>
  <c r="BC182" i="26"/>
  <c r="BC190" s="1"/>
  <c r="BC173"/>
  <c r="BC198"/>
  <c r="BC187"/>
  <c r="BD172"/>
  <c r="BE121" i="35" l="1"/>
  <c r="BE137"/>
  <c r="BE135"/>
  <c r="BE136" s="1"/>
  <c r="BE126"/>
  <c r="BE112"/>
  <c r="BF111"/>
  <c r="BE129"/>
  <c r="BE107"/>
  <c r="BE105"/>
  <c r="BE106" s="1"/>
  <c r="BE96"/>
  <c r="BE91"/>
  <c r="BE99" s="1"/>
  <c r="BE82"/>
  <c r="BF81"/>
  <c r="BF51"/>
  <c r="BE52"/>
  <c r="BE61"/>
  <c r="BE69" s="1"/>
  <c r="BE66"/>
  <c r="BE75"/>
  <c r="BE76" s="1"/>
  <c r="BE77"/>
  <c r="BH223"/>
  <c r="BD182" i="26"/>
  <c r="BD190" s="1"/>
  <c r="BD173"/>
  <c r="BD198"/>
  <c r="BD187"/>
  <c r="BE172"/>
  <c r="BF121" i="35" l="1"/>
  <c r="BF137"/>
  <c r="BF135"/>
  <c r="BF136" s="1"/>
  <c r="BF126"/>
  <c r="BF129"/>
  <c r="BG111"/>
  <c r="BF112"/>
  <c r="BF107"/>
  <c r="BF105"/>
  <c r="BF106" s="1"/>
  <c r="BF96"/>
  <c r="BF82"/>
  <c r="BG81"/>
  <c r="BF91"/>
  <c r="BF99" s="1"/>
  <c r="BG51"/>
  <c r="BF61"/>
  <c r="BF69" s="1"/>
  <c r="BF52"/>
  <c r="BF66"/>
  <c r="BF75"/>
  <c r="BF76" s="1"/>
  <c r="BF77"/>
  <c r="BI223"/>
  <c r="BE182" i="26"/>
  <c r="BE190" s="1"/>
  <c r="BE173"/>
  <c r="BE198"/>
  <c r="BE187"/>
  <c r="BF172"/>
  <c r="BG121" i="35" l="1"/>
  <c r="BG137"/>
  <c r="BG135"/>
  <c r="BG136" s="1"/>
  <c r="BG126"/>
  <c r="BG112"/>
  <c r="BH111"/>
  <c r="BG107"/>
  <c r="BG105"/>
  <c r="BG106" s="1"/>
  <c r="BG96"/>
  <c r="BG91"/>
  <c r="BG99" s="1"/>
  <c r="BG82"/>
  <c r="BH81"/>
  <c r="BH51"/>
  <c r="BG52"/>
  <c r="BG61"/>
  <c r="BG69" s="1"/>
  <c r="BG66"/>
  <c r="BG75"/>
  <c r="BG76" s="1"/>
  <c r="BG77"/>
  <c r="BF182" i="26"/>
  <c r="BF190" s="1"/>
  <c r="BF173"/>
  <c r="BF198"/>
  <c r="BF187"/>
  <c r="BG172"/>
  <c r="BH121" i="35" l="1"/>
  <c r="BH137"/>
  <c r="BH135"/>
  <c r="BH136" s="1"/>
  <c r="BH126"/>
  <c r="BH129"/>
  <c r="BH112"/>
  <c r="BI111"/>
  <c r="BH107"/>
  <c r="BH105"/>
  <c r="BH106" s="1"/>
  <c r="BH96"/>
  <c r="BH82"/>
  <c r="BI81"/>
  <c r="BH91"/>
  <c r="BH99" s="1"/>
  <c r="BH52"/>
  <c r="BH61"/>
  <c r="BH69" s="1"/>
  <c r="BI51"/>
  <c r="BH66"/>
  <c r="BH75"/>
  <c r="BH76" s="1"/>
  <c r="BH77"/>
  <c r="E234" a="1"/>
  <c r="BG182" i="26"/>
  <c r="BG190" s="1"/>
  <c r="BG173"/>
  <c r="BG198"/>
  <c r="BG187"/>
  <c r="BH172"/>
  <c r="BI121" i="35" l="1"/>
  <c r="BI137"/>
  <c r="BI135"/>
  <c r="BI136" s="1"/>
  <c r="BI126"/>
  <c r="BI112"/>
  <c r="BJ111"/>
  <c r="BI129"/>
  <c r="BI107"/>
  <c r="BI105"/>
  <c r="BI106" s="1"/>
  <c r="BI96"/>
  <c r="BI91"/>
  <c r="BI99" s="1"/>
  <c r="BI82"/>
  <c r="BJ81"/>
  <c r="BJ51"/>
  <c r="BI52"/>
  <c r="BI61"/>
  <c r="BI69" s="1"/>
  <c r="BI66"/>
  <c r="BI75"/>
  <c r="BI76" s="1"/>
  <c r="BI77"/>
  <c r="E288"/>
  <c r="E286"/>
  <c r="E284"/>
  <c r="E282"/>
  <c r="E280"/>
  <c r="E278"/>
  <c r="E276"/>
  <c r="E274"/>
  <c r="E272"/>
  <c r="E270"/>
  <c r="E268"/>
  <c r="E266"/>
  <c r="E264"/>
  <c r="E262"/>
  <c r="E260"/>
  <c r="E258"/>
  <c r="E256"/>
  <c r="E254"/>
  <c r="E252"/>
  <c r="E250"/>
  <c r="E248"/>
  <c r="E246"/>
  <c r="E244"/>
  <c r="E242"/>
  <c r="E240"/>
  <c r="E238"/>
  <c r="E236"/>
  <c r="E234"/>
  <c r="E289"/>
  <c r="E287"/>
  <c r="E285"/>
  <c r="E283"/>
  <c r="E281"/>
  <c r="E279"/>
  <c r="E277"/>
  <c r="E275"/>
  <c r="E273"/>
  <c r="E271"/>
  <c r="E269"/>
  <c r="E267"/>
  <c r="E265"/>
  <c r="E263"/>
  <c r="E261"/>
  <c r="E259"/>
  <c r="E257"/>
  <c r="E255"/>
  <c r="E253"/>
  <c r="E251"/>
  <c r="E249"/>
  <c r="E247"/>
  <c r="E245"/>
  <c r="E243"/>
  <c r="E241"/>
  <c r="E239"/>
  <c r="E237"/>
  <c r="E235"/>
  <c r="BH182" i="26"/>
  <c r="BH190" s="1"/>
  <c r="BH173"/>
  <c r="BH198"/>
  <c r="BH187"/>
  <c r="BI172"/>
  <c r="BJ121" i="35" l="1"/>
  <c r="BJ137"/>
  <c r="BJ135"/>
  <c r="BJ136" s="1"/>
  <c r="BJ126"/>
  <c r="BJ129"/>
  <c r="BJ112"/>
  <c r="BK111"/>
  <c r="BJ107"/>
  <c r="BJ105"/>
  <c r="BJ106" s="1"/>
  <c r="BJ96"/>
  <c r="BJ82"/>
  <c r="BK81"/>
  <c r="BJ91"/>
  <c r="BJ99" s="1"/>
  <c r="BK51"/>
  <c r="BJ61"/>
  <c r="BJ69" s="1"/>
  <c r="BJ52"/>
  <c r="BJ66"/>
  <c r="BJ75"/>
  <c r="BJ76" s="1"/>
  <c r="BJ77"/>
  <c r="BI182" i="26"/>
  <c r="BI190" s="1"/>
  <c r="BI173"/>
  <c r="BI198"/>
  <c r="BI187"/>
  <c r="BJ172"/>
  <c r="BK121" i="35" l="1"/>
  <c r="BK137"/>
  <c r="BK135"/>
  <c r="BK136" s="1"/>
  <c r="BK126"/>
  <c r="BK112"/>
  <c r="BL111"/>
  <c r="BK129"/>
  <c r="BK107"/>
  <c r="BK105"/>
  <c r="BK106" s="1"/>
  <c r="BK96"/>
  <c r="BK91"/>
  <c r="BK99" s="1"/>
  <c r="BK82"/>
  <c r="BL81"/>
  <c r="BL51"/>
  <c r="BK52"/>
  <c r="BK61"/>
  <c r="BK69" s="1"/>
  <c r="BK66"/>
  <c r="BK75"/>
  <c r="BK76" s="1"/>
  <c r="BK77"/>
  <c r="BJ182" i="26"/>
  <c r="BJ190" s="1"/>
  <c r="BJ173"/>
  <c r="BJ198"/>
  <c r="BJ187"/>
  <c r="BK172"/>
  <c r="BL121" i="35" l="1"/>
  <c r="BL137"/>
  <c r="BL135"/>
  <c r="BL136" s="1"/>
  <c r="BL126"/>
  <c r="BL129"/>
  <c r="BL112"/>
  <c r="BM111"/>
  <c r="BL107"/>
  <c r="BL105"/>
  <c r="BL106" s="1"/>
  <c r="BL96"/>
  <c r="BL82"/>
  <c r="BM81"/>
  <c r="BL91"/>
  <c r="BL99" s="1"/>
  <c r="BL52"/>
  <c r="BL61"/>
  <c r="BL69" s="1"/>
  <c r="BM51"/>
  <c r="BL66"/>
  <c r="BL75"/>
  <c r="BL76" s="1"/>
  <c r="BL77"/>
  <c r="BK182" i="26"/>
  <c r="BK190" s="1"/>
  <c r="BK173"/>
  <c r="BK198"/>
  <c r="BK187"/>
  <c r="BL172"/>
  <c r="BM121" i="35" l="1"/>
  <c r="BM137"/>
  <c r="BM135"/>
  <c r="BM136" s="1"/>
  <c r="BM126"/>
  <c r="BM112"/>
  <c r="BN111"/>
  <c r="BM107"/>
  <c r="BM105"/>
  <c r="BM106" s="1"/>
  <c r="BM96"/>
  <c r="BM91"/>
  <c r="BM99" s="1"/>
  <c r="BM82"/>
  <c r="BN81"/>
  <c r="BN51"/>
  <c r="BM52"/>
  <c r="BM61"/>
  <c r="BM66"/>
  <c r="BM75"/>
  <c r="BM76" s="1"/>
  <c r="BM77"/>
  <c r="BL182" i="26"/>
  <c r="BL190" s="1"/>
  <c r="BL173"/>
  <c r="BL198"/>
  <c r="BL187"/>
  <c r="BM172"/>
  <c r="BN121" i="35" l="1"/>
  <c r="BN137"/>
  <c r="BN135"/>
  <c r="BN136" s="1"/>
  <c r="BN126"/>
  <c r="BN129"/>
  <c r="BO111"/>
  <c r="BN112"/>
  <c r="BN107"/>
  <c r="BN105"/>
  <c r="BN106" s="1"/>
  <c r="BN96"/>
  <c r="BN82"/>
  <c r="BO81"/>
  <c r="BN91"/>
  <c r="BN99" s="1"/>
  <c r="BO51"/>
  <c r="BN61"/>
  <c r="BN69" s="1"/>
  <c r="BN52"/>
  <c r="BN66"/>
  <c r="BN75"/>
  <c r="BN76" s="1"/>
  <c r="BN77"/>
  <c r="BM182" i="26"/>
  <c r="BM173"/>
  <c r="BM198"/>
  <c r="BM187"/>
  <c r="BN172"/>
  <c r="BO121" i="35" l="1"/>
  <c r="BO137"/>
  <c r="BO135"/>
  <c r="BO136" s="1"/>
  <c r="BO126"/>
  <c r="BO112"/>
  <c r="BP111"/>
  <c r="BO129"/>
  <c r="BO107"/>
  <c r="BO105"/>
  <c r="BO106" s="1"/>
  <c r="BO96"/>
  <c r="BO91"/>
  <c r="BO99" s="1"/>
  <c r="BO82"/>
  <c r="BP81"/>
  <c r="BP51"/>
  <c r="BO52"/>
  <c r="BO61"/>
  <c r="BO69" s="1"/>
  <c r="BO66"/>
  <c r="BO75"/>
  <c r="BO77"/>
  <c r="BO76"/>
  <c r="BN182" i="26"/>
  <c r="BN190" s="1"/>
  <c r="BN173"/>
  <c r="BN198"/>
  <c r="BN187"/>
  <c r="BO172"/>
  <c r="BP121" i="35" l="1"/>
  <c r="BP137"/>
  <c r="BP135"/>
  <c r="BP136" s="1"/>
  <c r="BP126"/>
  <c r="BP129"/>
  <c r="BP112"/>
  <c r="BQ111"/>
  <c r="BP107"/>
  <c r="BP105"/>
  <c r="BP106" s="1"/>
  <c r="BP96"/>
  <c r="BP82"/>
  <c r="BQ81"/>
  <c r="BP91"/>
  <c r="BP99" s="1"/>
  <c r="BP52"/>
  <c r="BP61"/>
  <c r="BP69" s="1"/>
  <c r="BQ51"/>
  <c r="BP66"/>
  <c r="BP75"/>
  <c r="BP76" s="1"/>
  <c r="BP77"/>
  <c r="BO182" i="26"/>
  <c r="BO190" s="1"/>
  <c r="BO173"/>
  <c r="BO198"/>
  <c r="BO187"/>
  <c r="BP172"/>
  <c r="BQ121" i="35" l="1"/>
  <c r="BQ137"/>
  <c r="BQ135"/>
  <c r="BQ136" s="1"/>
  <c r="BQ126"/>
  <c r="BQ112"/>
  <c r="BR111"/>
  <c r="BQ129"/>
  <c r="BQ107"/>
  <c r="BQ105"/>
  <c r="BQ106" s="1"/>
  <c r="BQ96"/>
  <c r="BQ91"/>
  <c r="BQ99" s="1"/>
  <c r="BQ82"/>
  <c r="BR81"/>
  <c r="BR51"/>
  <c r="BQ52"/>
  <c r="BQ61"/>
  <c r="BQ69" s="1"/>
  <c r="BQ66"/>
  <c r="BQ75"/>
  <c r="BQ76" s="1"/>
  <c r="BQ77"/>
  <c r="BP182" i="26"/>
  <c r="BP190" s="1"/>
  <c r="BP173"/>
  <c r="BP198"/>
  <c r="BP187"/>
  <c r="BQ172"/>
  <c r="BR121" i="35" l="1"/>
  <c r="BR137"/>
  <c r="BR135"/>
  <c r="BR136" s="1"/>
  <c r="BR126"/>
  <c r="BR129"/>
  <c r="BR112"/>
  <c r="BS111"/>
  <c r="BR107"/>
  <c r="BR105"/>
  <c r="BR106" s="1"/>
  <c r="BR96"/>
  <c r="BR82"/>
  <c r="BS81"/>
  <c r="BR91"/>
  <c r="BR99" s="1"/>
  <c r="BS51"/>
  <c r="BR61"/>
  <c r="BR69" s="1"/>
  <c r="BR52"/>
  <c r="BR66"/>
  <c r="BR75"/>
  <c r="BR76" s="1"/>
  <c r="BR77"/>
  <c r="BQ182" i="26"/>
  <c r="BQ190" s="1"/>
  <c r="BQ173"/>
  <c r="BQ198"/>
  <c r="BQ187"/>
  <c r="BR172"/>
  <c r="BS121" i="35" l="1"/>
  <c r="BS137"/>
  <c r="BS135"/>
  <c r="BS136" s="1"/>
  <c r="BS126"/>
  <c r="BS112"/>
  <c r="BT111"/>
  <c r="BS107"/>
  <c r="BS105"/>
  <c r="BS106" s="1"/>
  <c r="BS96"/>
  <c r="BS91"/>
  <c r="BS99" s="1"/>
  <c r="BS82"/>
  <c r="BT81"/>
  <c r="BT51"/>
  <c r="BS52"/>
  <c r="BS61"/>
  <c r="BS69" s="1"/>
  <c r="BS66"/>
  <c r="BS75"/>
  <c r="BS76" s="1"/>
  <c r="BS77"/>
  <c r="BR182" i="26"/>
  <c r="BR190" s="1"/>
  <c r="BR173"/>
  <c r="BR198"/>
  <c r="BR187"/>
  <c r="BS172"/>
  <c r="BT121" i="35" l="1"/>
  <c r="BT137"/>
  <c r="BT135"/>
  <c r="BT136" s="1"/>
  <c r="BT126"/>
  <c r="BT129"/>
  <c r="BT112"/>
  <c r="BU111"/>
  <c r="BT107"/>
  <c r="BT105"/>
  <c r="BT106" s="1"/>
  <c r="BT96"/>
  <c r="BT82"/>
  <c r="BU81"/>
  <c r="BT91"/>
  <c r="BT99" s="1"/>
  <c r="BT52"/>
  <c r="BT61"/>
  <c r="BT69" s="1"/>
  <c r="BU51"/>
  <c r="BT66"/>
  <c r="BT75"/>
  <c r="BT76" s="1"/>
  <c r="BT77"/>
  <c r="BS182" i="26"/>
  <c r="BS190" s="1"/>
  <c r="BS173"/>
  <c r="BS198"/>
  <c r="BS187"/>
  <c r="BT172"/>
  <c r="BU121" i="35" l="1"/>
  <c r="BU137"/>
  <c r="BU135"/>
  <c r="BU136" s="1"/>
  <c r="BU126"/>
  <c r="BU112"/>
  <c r="BV111"/>
  <c r="BU129"/>
  <c r="BU107"/>
  <c r="BU105"/>
  <c r="BU106" s="1"/>
  <c r="BU96"/>
  <c r="BU91"/>
  <c r="BU99" s="1"/>
  <c r="BU82"/>
  <c r="BV81"/>
  <c r="BV51"/>
  <c r="BU52"/>
  <c r="BU61"/>
  <c r="BU69" s="1"/>
  <c r="BU66"/>
  <c r="BU75"/>
  <c r="BU76" s="1"/>
  <c r="BU77"/>
  <c r="BT182" i="26"/>
  <c r="BT190" s="1"/>
  <c r="BT173"/>
  <c r="BT198"/>
  <c r="BT187"/>
  <c r="BU172"/>
  <c r="BV121" i="35" l="1"/>
  <c r="BV137"/>
  <c r="BV135"/>
  <c r="BV136" s="1"/>
  <c r="BV126"/>
  <c r="BV129"/>
  <c r="BW111"/>
  <c r="BV112"/>
  <c r="BV107"/>
  <c r="BV105"/>
  <c r="BV106" s="1"/>
  <c r="BV96"/>
  <c r="BV82"/>
  <c r="BW81"/>
  <c r="BV91"/>
  <c r="BV99" s="1"/>
  <c r="BW51"/>
  <c r="BV61"/>
  <c r="BV69" s="1"/>
  <c r="BV52"/>
  <c r="BV66"/>
  <c r="BV75"/>
  <c r="BV76" s="1"/>
  <c r="BV77"/>
  <c r="BU182" i="26"/>
  <c r="BU190" s="1"/>
  <c r="BU173"/>
  <c r="BU198"/>
  <c r="BU187"/>
  <c r="BV172"/>
  <c r="BW121" i="35" l="1"/>
  <c r="BW137"/>
  <c r="BW135"/>
  <c r="BW136" s="1"/>
  <c r="BW126"/>
  <c r="BW112"/>
  <c r="BX111"/>
  <c r="BW129"/>
  <c r="BW107"/>
  <c r="BW105"/>
  <c r="BW106" s="1"/>
  <c r="BW96"/>
  <c r="BW91"/>
  <c r="BW99" s="1"/>
  <c r="BW82"/>
  <c r="BX81"/>
  <c r="BX51"/>
  <c r="BW52"/>
  <c r="BW61"/>
  <c r="BW69" s="1"/>
  <c r="BW66"/>
  <c r="BW75"/>
  <c r="BW76" s="1"/>
  <c r="BW77"/>
  <c r="BV182" i="26"/>
  <c r="BV190" s="1"/>
  <c r="BV173"/>
  <c r="BV198"/>
  <c r="BV187"/>
  <c r="BW172"/>
  <c r="BX121" i="35" l="1"/>
  <c r="BX137"/>
  <c r="BX135"/>
  <c r="BX136" s="1"/>
  <c r="BX126"/>
  <c r="BX129"/>
  <c r="BX112"/>
  <c r="BY111"/>
  <c r="BX107"/>
  <c r="BX105"/>
  <c r="BX106" s="1"/>
  <c r="BX96"/>
  <c r="BX82"/>
  <c r="BY81"/>
  <c r="BX91"/>
  <c r="BX99" s="1"/>
  <c r="BX52"/>
  <c r="BX61"/>
  <c r="BX69" s="1"/>
  <c r="BY51"/>
  <c r="BX66"/>
  <c r="BX75"/>
  <c r="BX76" s="1"/>
  <c r="BX77"/>
  <c r="BW182" i="26"/>
  <c r="BW190" s="1"/>
  <c r="BW173"/>
  <c r="BW198"/>
  <c r="BW187"/>
  <c r="BX172"/>
  <c r="BY121" i="35" l="1"/>
  <c r="BY137"/>
  <c r="BY135"/>
  <c r="BY136" s="1"/>
  <c r="BY126"/>
  <c r="BY112"/>
  <c r="BZ111"/>
  <c r="BY107"/>
  <c r="BY105"/>
  <c r="BY106" s="1"/>
  <c r="BY96"/>
  <c r="BY91"/>
  <c r="BY99" s="1"/>
  <c r="BY82"/>
  <c r="BZ81"/>
  <c r="BZ51"/>
  <c r="BY52"/>
  <c r="BY61"/>
  <c r="BY69" s="1"/>
  <c r="BY66"/>
  <c r="BY75"/>
  <c r="BY76" s="1"/>
  <c r="BY77"/>
  <c r="BX182" i="26"/>
  <c r="BX190" s="1"/>
  <c r="BX173"/>
  <c r="BX198"/>
  <c r="BX187"/>
  <c r="BY172"/>
  <c r="BZ121" i="35" l="1"/>
  <c r="BZ137"/>
  <c r="BZ135"/>
  <c r="BZ136" s="1"/>
  <c r="BZ126"/>
  <c r="BZ129"/>
  <c r="BZ112"/>
  <c r="CA111"/>
  <c r="BZ107"/>
  <c r="BZ105"/>
  <c r="BZ106" s="1"/>
  <c r="BZ96"/>
  <c r="BZ82"/>
  <c r="CA81"/>
  <c r="BZ91"/>
  <c r="BZ99" s="1"/>
  <c r="CA51"/>
  <c r="BZ61"/>
  <c r="BZ69" s="1"/>
  <c r="BZ52"/>
  <c r="BZ66"/>
  <c r="BZ75"/>
  <c r="BZ76" s="1"/>
  <c r="BZ77"/>
  <c r="BY182" i="26"/>
  <c r="BY173"/>
  <c r="BY198"/>
  <c r="BY187"/>
  <c r="BZ172"/>
  <c r="CA137" i="35" l="1"/>
  <c r="CA135"/>
  <c r="CA136" s="1"/>
  <c r="CA126"/>
  <c r="CA112"/>
  <c r="CB111"/>
  <c r="CA121"/>
  <c r="CA129" s="1"/>
  <c r="CA107"/>
  <c r="CA105"/>
  <c r="CA106" s="1"/>
  <c r="CA96"/>
  <c r="CA91"/>
  <c r="CA99" s="1"/>
  <c r="CA82"/>
  <c r="CB81"/>
  <c r="CB51"/>
  <c r="CA52"/>
  <c r="CA61"/>
  <c r="CA69" s="1"/>
  <c r="CA66"/>
  <c r="CA75"/>
  <c r="CA76" s="1"/>
  <c r="CA77"/>
  <c r="BZ182" i="26"/>
  <c r="BZ190" s="1"/>
  <c r="BZ173"/>
  <c r="BZ198"/>
  <c r="BZ187"/>
  <c r="CA172"/>
  <c r="CB137" i="35" l="1"/>
  <c r="CB135"/>
  <c r="CB136" s="1"/>
  <c r="CB126"/>
  <c r="CB121"/>
  <c r="CB129" s="1"/>
  <c r="CB112"/>
  <c r="CC111"/>
  <c r="CB107"/>
  <c r="CB105"/>
  <c r="CB106" s="1"/>
  <c r="CB96"/>
  <c r="CB82"/>
  <c r="CC81"/>
  <c r="CB91"/>
  <c r="CB99" s="1"/>
  <c r="CB52"/>
  <c r="CB61"/>
  <c r="CB69" s="1"/>
  <c r="CC51"/>
  <c r="CB66"/>
  <c r="CB75"/>
  <c r="CB76" s="1"/>
  <c r="CB77"/>
  <c r="CA182" i="26"/>
  <c r="CA190" s="1"/>
  <c r="CA173"/>
  <c r="CA198"/>
  <c r="CA187"/>
  <c r="CB172"/>
  <c r="CC137" i="35" l="1"/>
  <c r="CC135"/>
  <c r="CC136" s="1"/>
  <c r="CC126"/>
  <c r="CC112"/>
  <c r="CD111"/>
  <c r="CC121"/>
  <c r="CC129" s="1"/>
  <c r="CC107"/>
  <c r="CC105"/>
  <c r="CC106" s="1"/>
  <c r="CC96"/>
  <c r="CC91"/>
  <c r="CC99" s="1"/>
  <c r="CC82"/>
  <c r="CD81"/>
  <c r="CD51"/>
  <c r="CC52"/>
  <c r="CC61"/>
  <c r="CC69" s="1"/>
  <c r="CC66"/>
  <c r="CC75"/>
  <c r="CC76" s="1"/>
  <c r="CC77"/>
  <c r="CB182" i="26"/>
  <c r="CB190" s="1"/>
  <c r="CB173"/>
  <c r="CB198"/>
  <c r="CB187"/>
  <c r="CC172"/>
  <c r="CD137" i="35" l="1"/>
  <c r="CD135"/>
  <c r="CD136" s="1"/>
  <c r="CD126"/>
  <c r="CD121"/>
  <c r="CD129" s="1"/>
  <c r="CE111"/>
  <c r="CD112"/>
  <c r="CD107"/>
  <c r="CD105"/>
  <c r="CD106" s="1"/>
  <c r="CD96"/>
  <c r="CD82"/>
  <c r="CE81"/>
  <c r="CD91"/>
  <c r="CD99" s="1"/>
  <c r="CE51"/>
  <c r="CD61"/>
  <c r="CD69" s="1"/>
  <c r="CD52"/>
  <c r="CD66"/>
  <c r="CD75"/>
  <c r="CD76" s="1"/>
  <c r="CD77"/>
  <c r="CC182" i="26"/>
  <c r="CC190" s="1"/>
  <c r="CC173"/>
  <c r="CC198"/>
  <c r="CC187"/>
  <c r="CD172"/>
  <c r="CE137" i="35" l="1"/>
  <c r="CE135"/>
  <c r="CE136" s="1"/>
  <c r="CE126"/>
  <c r="CE112"/>
  <c r="CF111"/>
  <c r="CE121"/>
  <c r="CE129" s="1"/>
  <c r="CE107"/>
  <c r="CE105"/>
  <c r="CE106" s="1"/>
  <c r="CE96"/>
  <c r="CE91"/>
  <c r="CE99" s="1"/>
  <c r="CE82"/>
  <c r="CF81"/>
  <c r="CF51"/>
  <c r="CE52"/>
  <c r="CE61"/>
  <c r="CE69" s="1"/>
  <c r="CE66"/>
  <c r="CE75"/>
  <c r="CE76" s="1"/>
  <c r="CE77"/>
  <c r="CD182" i="26"/>
  <c r="CD190" s="1"/>
  <c r="CD173"/>
  <c r="CD198"/>
  <c r="CD187"/>
  <c r="CE172"/>
  <c r="CF137" i="35" l="1"/>
  <c r="CF135"/>
  <c r="CF136" s="1"/>
  <c r="CF126"/>
  <c r="CF121"/>
  <c r="CF129" s="1"/>
  <c r="CF112"/>
  <c r="CG111"/>
  <c r="CF107"/>
  <c r="CF105"/>
  <c r="CF106" s="1"/>
  <c r="CF96"/>
  <c r="CF82"/>
  <c r="CG81"/>
  <c r="CF91"/>
  <c r="CF99" s="1"/>
  <c r="CF52"/>
  <c r="CF61"/>
  <c r="CF69" s="1"/>
  <c r="CG51"/>
  <c r="CF66"/>
  <c r="CF75"/>
  <c r="CF76" s="1"/>
  <c r="CF77"/>
  <c r="CE182" i="26"/>
  <c r="CE190" s="1"/>
  <c r="CE173"/>
  <c r="CE198"/>
  <c r="CE187"/>
  <c r="CF172"/>
  <c r="CG137" i="35" l="1"/>
  <c r="CG135"/>
  <c r="CG136" s="1"/>
  <c r="CG126"/>
  <c r="CG112"/>
  <c r="CH111"/>
  <c r="CG121"/>
  <c r="CG129" s="1"/>
  <c r="CG107"/>
  <c r="CG105"/>
  <c r="CG106" s="1"/>
  <c r="CG96"/>
  <c r="CG91"/>
  <c r="CG99" s="1"/>
  <c r="CG82"/>
  <c r="CH81"/>
  <c r="CH51"/>
  <c r="CG52"/>
  <c r="CG61"/>
  <c r="CG69" s="1"/>
  <c r="CG66"/>
  <c r="CG75"/>
  <c r="CG76" s="1"/>
  <c r="CG77"/>
  <c r="CF182" i="26"/>
  <c r="CF190" s="1"/>
  <c r="CF173"/>
  <c r="CF198"/>
  <c r="CF187"/>
  <c r="CG172"/>
  <c r="CH137" i="35" l="1"/>
  <c r="CH135"/>
  <c r="CH136" s="1"/>
  <c r="CH126"/>
  <c r="CH121"/>
  <c r="CH129" s="1"/>
  <c r="CH112"/>
  <c r="CI111"/>
  <c r="CH107"/>
  <c r="CH105"/>
  <c r="CH106" s="1"/>
  <c r="CH96"/>
  <c r="CH82"/>
  <c r="CI81"/>
  <c r="CH91"/>
  <c r="CH99" s="1"/>
  <c r="CI51"/>
  <c r="CH61"/>
  <c r="CH69" s="1"/>
  <c r="CH52"/>
  <c r="CH66"/>
  <c r="CH75"/>
  <c r="CH76" s="1"/>
  <c r="CH77"/>
  <c r="CG182" i="26"/>
  <c r="CG190" s="1"/>
  <c r="CG173"/>
  <c r="CG198"/>
  <c r="CG187"/>
  <c r="CH172"/>
  <c r="CI137" i="35" l="1"/>
  <c r="CI135"/>
  <c r="CI136" s="1"/>
  <c r="CI126"/>
  <c r="CI112"/>
  <c r="CJ111"/>
  <c r="CI121"/>
  <c r="CI129" s="1"/>
  <c r="CI107"/>
  <c r="CI105"/>
  <c r="CI106" s="1"/>
  <c r="CI96"/>
  <c r="CI91"/>
  <c r="CI99" s="1"/>
  <c r="CI82"/>
  <c r="CJ81"/>
  <c r="CJ51"/>
  <c r="CI52"/>
  <c r="CI61"/>
  <c r="CI69" s="1"/>
  <c r="CI66"/>
  <c r="CI75"/>
  <c r="CI76" s="1"/>
  <c r="CI77"/>
  <c r="CH182" i="26"/>
  <c r="CH190" s="1"/>
  <c r="CH173"/>
  <c r="CH198"/>
  <c r="CH187"/>
  <c r="CI172"/>
  <c r="CJ137" i="35" l="1"/>
  <c r="CJ135"/>
  <c r="CJ136" s="1"/>
  <c r="CJ126"/>
  <c r="CJ121"/>
  <c r="CJ129" s="1"/>
  <c r="CJ112"/>
  <c r="CK111"/>
  <c r="CJ107"/>
  <c r="CJ105"/>
  <c r="CJ106" s="1"/>
  <c r="CJ96"/>
  <c r="CJ82"/>
  <c r="CK81"/>
  <c r="CJ91"/>
  <c r="CJ99" s="1"/>
  <c r="CJ52"/>
  <c r="CJ61"/>
  <c r="CJ69" s="1"/>
  <c r="CK51"/>
  <c r="CJ66"/>
  <c r="CJ75"/>
  <c r="CJ76" s="1"/>
  <c r="CJ77"/>
  <c r="CI182" i="26"/>
  <c r="CI190" s="1"/>
  <c r="CI173"/>
  <c r="CI198"/>
  <c r="CI187"/>
  <c r="CJ172"/>
  <c r="CK137" i="35" l="1"/>
  <c r="CK135"/>
  <c r="CK136" s="1"/>
  <c r="CK126"/>
  <c r="CK112"/>
  <c r="CL111"/>
  <c r="CK121"/>
  <c r="CK129" s="1"/>
  <c r="CK107"/>
  <c r="CK105"/>
  <c r="CK106" s="1"/>
  <c r="CK96"/>
  <c r="CK91"/>
  <c r="CK99" s="1"/>
  <c r="CK82"/>
  <c r="CL81"/>
  <c r="CL51"/>
  <c r="CK52"/>
  <c r="CK61"/>
  <c r="CK69" s="1"/>
  <c r="CK66"/>
  <c r="CK75"/>
  <c r="CK76" s="1"/>
  <c r="CK77"/>
  <c r="CJ182" i="26"/>
  <c r="CJ190" s="1"/>
  <c r="CJ173"/>
  <c r="CJ198"/>
  <c r="CJ187"/>
  <c r="CK172"/>
  <c r="CL137" i="35" l="1"/>
  <c r="CL135"/>
  <c r="CL136" s="1"/>
  <c r="CL126"/>
  <c r="CL121"/>
  <c r="CL129" s="1"/>
  <c r="CM111"/>
  <c r="CL112"/>
  <c r="CL107"/>
  <c r="CL105"/>
  <c r="CL106" s="1"/>
  <c r="CL96"/>
  <c r="CL82"/>
  <c r="CM81"/>
  <c r="CL91"/>
  <c r="CL99" s="1"/>
  <c r="CM51"/>
  <c r="CL61"/>
  <c r="CL69" s="1"/>
  <c r="CL52"/>
  <c r="CL66"/>
  <c r="CL75"/>
  <c r="CL76" s="1"/>
  <c r="CL77"/>
  <c r="CK182" i="26"/>
  <c r="CK173"/>
  <c r="CK198"/>
  <c r="CK187"/>
  <c r="CL172"/>
  <c r="CM137" i="35" l="1"/>
  <c r="CM135"/>
  <c r="CM136" s="1"/>
  <c r="CM126"/>
  <c r="CM112"/>
  <c r="CN111"/>
  <c r="CM121"/>
  <c r="CM129" s="1"/>
  <c r="CM107"/>
  <c r="CM105"/>
  <c r="CM106" s="1"/>
  <c r="CM96"/>
  <c r="CM91"/>
  <c r="CM99" s="1"/>
  <c r="CM82"/>
  <c r="CN81"/>
  <c r="CN51"/>
  <c r="CM52"/>
  <c r="CM61"/>
  <c r="CM69" s="1"/>
  <c r="CM66"/>
  <c r="CM75"/>
  <c r="CM76" s="1"/>
  <c r="CM77"/>
  <c r="CL182" i="26"/>
  <c r="CL190" s="1"/>
  <c r="CL173"/>
  <c r="CL198"/>
  <c r="CL187"/>
  <c r="CM172"/>
  <c r="CN137" i="35" l="1"/>
  <c r="CN135"/>
  <c r="CN136" s="1"/>
  <c r="CN126"/>
  <c r="CN121"/>
  <c r="CN129" s="1"/>
  <c r="CN112"/>
  <c r="CO111"/>
  <c r="CN107"/>
  <c r="CN105"/>
  <c r="CN106" s="1"/>
  <c r="CN96"/>
  <c r="CN82"/>
  <c r="CO81"/>
  <c r="CN91"/>
  <c r="CN99" s="1"/>
  <c r="CN52"/>
  <c r="CN61"/>
  <c r="CN69" s="1"/>
  <c r="CO51"/>
  <c r="CN66"/>
  <c r="CN75"/>
  <c r="CN77"/>
  <c r="CN76"/>
  <c r="CM182" i="26"/>
  <c r="CM190" s="1"/>
  <c r="CM173"/>
  <c r="CM198"/>
  <c r="CM187"/>
  <c r="CN172"/>
  <c r="CO137" i="35" l="1"/>
  <c r="CO135"/>
  <c r="CO136" s="1"/>
  <c r="CO126"/>
  <c r="CO112"/>
  <c r="CP111"/>
  <c r="CO121"/>
  <c r="CO129" s="1"/>
  <c r="CO107"/>
  <c r="CO105"/>
  <c r="CO106" s="1"/>
  <c r="CO96"/>
  <c r="CO91"/>
  <c r="CO99" s="1"/>
  <c r="CO82"/>
  <c r="CP81"/>
  <c r="CP51"/>
  <c r="CO52"/>
  <c r="CO61"/>
  <c r="CO69" s="1"/>
  <c r="CO66"/>
  <c r="CO75"/>
  <c r="CO77"/>
  <c r="CO76"/>
  <c r="CN182" i="26"/>
  <c r="CN190" s="1"/>
  <c r="CN173"/>
  <c r="CN198"/>
  <c r="CN187"/>
  <c r="CO172"/>
  <c r="CP137" i="35" l="1"/>
  <c r="CP135"/>
  <c r="CP136" s="1"/>
  <c r="CP126"/>
  <c r="CP121"/>
  <c r="CP129" s="1"/>
  <c r="CP112"/>
  <c r="CQ111"/>
  <c r="CP107"/>
  <c r="CP105"/>
  <c r="CP106" s="1"/>
  <c r="CP96"/>
  <c r="CP82"/>
  <c r="CQ81"/>
  <c r="CP91"/>
  <c r="CP99" s="1"/>
  <c r="CQ51"/>
  <c r="CP61"/>
  <c r="CP69" s="1"/>
  <c r="CP52"/>
  <c r="CP66"/>
  <c r="CP75"/>
  <c r="CP77"/>
  <c r="CP76"/>
  <c r="CO182" i="26"/>
  <c r="CO190" s="1"/>
  <c r="CO173"/>
  <c r="CO198"/>
  <c r="CO187"/>
  <c r="CP172"/>
  <c r="CQ137" i="35" l="1"/>
  <c r="CQ135"/>
  <c r="CQ136" s="1"/>
  <c r="CQ126"/>
  <c r="CQ112"/>
  <c r="CR111"/>
  <c r="CQ121"/>
  <c r="CQ129" s="1"/>
  <c r="CQ107"/>
  <c r="CQ105"/>
  <c r="CQ106" s="1"/>
  <c r="CQ96"/>
  <c r="CQ91"/>
  <c r="CQ99" s="1"/>
  <c r="CQ82"/>
  <c r="CR81"/>
  <c r="CR51"/>
  <c r="CQ52"/>
  <c r="CQ61"/>
  <c r="CQ69" s="1"/>
  <c r="CQ66"/>
  <c r="CQ75"/>
  <c r="CQ76" s="1"/>
  <c r="CQ77"/>
  <c r="CP182" i="26"/>
  <c r="CP190" s="1"/>
  <c r="CP173"/>
  <c r="CP198"/>
  <c r="CP187"/>
  <c r="CQ172"/>
  <c r="CR137" i="35" l="1"/>
  <c r="CR135"/>
  <c r="CR136" s="1"/>
  <c r="CR126"/>
  <c r="CR121"/>
  <c r="CR129" s="1"/>
  <c r="CR112"/>
  <c r="CS111"/>
  <c r="CR107"/>
  <c r="CR105"/>
  <c r="CR106" s="1"/>
  <c r="CR96"/>
  <c r="CR82"/>
  <c r="CS81"/>
  <c r="CR91"/>
  <c r="CR99" s="1"/>
  <c r="CR52"/>
  <c r="CR61"/>
  <c r="CR69" s="1"/>
  <c r="CS51"/>
  <c r="CR66"/>
  <c r="CR75"/>
  <c r="CR77"/>
  <c r="CR76"/>
  <c r="CQ182" i="26"/>
  <c r="CQ190" s="1"/>
  <c r="CQ173"/>
  <c r="CQ198"/>
  <c r="CQ187"/>
  <c r="CR172"/>
  <c r="CS137" i="35" l="1"/>
  <c r="CS135"/>
  <c r="CS136" s="1"/>
  <c r="CS126"/>
  <c r="CS112"/>
  <c r="CT111"/>
  <c r="CS121"/>
  <c r="CS129" s="1"/>
  <c r="CS107"/>
  <c r="CS105"/>
  <c r="CS106" s="1"/>
  <c r="CS96"/>
  <c r="CS91"/>
  <c r="CS99" s="1"/>
  <c r="CS82"/>
  <c r="CT81"/>
  <c r="CT51"/>
  <c r="CS52"/>
  <c r="CS61"/>
  <c r="CS69" s="1"/>
  <c r="CS66"/>
  <c r="CS75"/>
  <c r="CS76" s="1"/>
  <c r="CS77"/>
  <c r="CR182" i="26"/>
  <c r="CR190" s="1"/>
  <c r="CR173"/>
  <c r="CR198"/>
  <c r="CR187"/>
  <c r="CS172"/>
  <c r="CT137" i="35" l="1"/>
  <c r="CT135"/>
  <c r="CT136" s="1"/>
  <c r="CT126"/>
  <c r="CT121"/>
  <c r="CT129" s="1"/>
  <c r="CU111"/>
  <c r="CT112"/>
  <c r="CT107"/>
  <c r="CT105"/>
  <c r="CT106" s="1"/>
  <c r="CT96"/>
  <c r="CT82"/>
  <c r="CU81"/>
  <c r="CT91"/>
  <c r="CT99" s="1"/>
  <c r="CU51"/>
  <c r="CT61"/>
  <c r="CT69" s="1"/>
  <c r="CT52"/>
  <c r="CT66"/>
  <c r="CT75"/>
  <c r="CT76" s="1"/>
  <c r="CT77"/>
  <c r="CS182" i="26"/>
  <c r="CS190" s="1"/>
  <c r="CS173"/>
  <c r="CS198"/>
  <c r="CS187"/>
  <c r="CT172"/>
  <c r="CU137" i="35" l="1"/>
  <c r="CU135"/>
  <c r="CU136" s="1"/>
  <c r="CU126"/>
  <c r="CU112"/>
  <c r="CV111"/>
  <c r="CU121"/>
  <c r="CU129" s="1"/>
  <c r="CU107"/>
  <c r="CU105"/>
  <c r="CU106" s="1"/>
  <c r="CU96"/>
  <c r="CU91"/>
  <c r="CU99" s="1"/>
  <c r="CU82"/>
  <c r="CV81"/>
  <c r="CV51"/>
  <c r="CU52"/>
  <c r="CU61"/>
  <c r="CU69" s="1"/>
  <c r="CU66"/>
  <c r="CU75"/>
  <c r="CU76" s="1"/>
  <c r="CU77"/>
  <c r="CT182" i="26"/>
  <c r="CT190" s="1"/>
  <c r="CT173"/>
  <c r="CT198"/>
  <c r="CT187"/>
  <c r="CU172"/>
  <c r="CV137" i="35" l="1"/>
  <c r="CV135"/>
  <c r="CV136" s="1"/>
  <c r="CV126"/>
  <c r="CV121"/>
  <c r="CV129" s="1"/>
  <c r="CV112"/>
  <c r="CW111"/>
  <c r="CV107"/>
  <c r="CV105"/>
  <c r="CV106" s="1"/>
  <c r="CV96"/>
  <c r="CV82"/>
  <c r="CW81"/>
  <c r="CV91"/>
  <c r="CV99" s="1"/>
  <c r="CV52"/>
  <c r="CV61"/>
  <c r="CV69" s="1"/>
  <c r="CW51"/>
  <c r="CV66"/>
  <c r="CV75"/>
  <c r="CV76" s="1"/>
  <c r="CV77"/>
  <c r="CU182" i="26"/>
  <c r="CU190" s="1"/>
  <c r="CU173"/>
  <c r="CU198"/>
  <c r="CU187"/>
  <c r="CV172"/>
  <c r="CW137" i="35" l="1"/>
  <c r="CW135"/>
  <c r="CW136" s="1"/>
  <c r="CW126"/>
  <c r="CW112"/>
  <c r="CX111"/>
  <c r="CW121"/>
  <c r="CW129" s="1"/>
  <c r="CW107"/>
  <c r="CW105"/>
  <c r="CW106" s="1"/>
  <c r="CW96"/>
  <c r="CW91"/>
  <c r="CW99" s="1"/>
  <c r="CW82"/>
  <c r="CX81"/>
  <c r="CX51"/>
  <c r="CW52"/>
  <c r="CW61"/>
  <c r="CW69" s="1"/>
  <c r="CW66"/>
  <c r="CW75"/>
  <c r="CW76" s="1"/>
  <c r="CW77"/>
  <c r="CV182" i="26"/>
  <c r="CV190" s="1"/>
  <c r="CV173"/>
  <c r="CV198"/>
  <c r="CV187"/>
  <c r="CW172"/>
  <c r="U70" i="35" l="1"/>
  <c r="Q130"/>
  <c r="S130"/>
  <c r="U130"/>
  <c r="W130"/>
  <c r="Y130"/>
  <c r="AA130"/>
  <c r="R130"/>
  <c r="T130"/>
  <c r="V130"/>
  <c r="X130"/>
  <c r="Z130"/>
  <c r="AB130"/>
  <c r="U100"/>
  <c r="W100"/>
  <c r="W104" s="1"/>
  <c r="V100"/>
  <c r="V104" s="1"/>
  <c r="X100"/>
  <c r="X104" s="1"/>
  <c r="CX137"/>
  <c r="CX135"/>
  <c r="GP130"/>
  <c r="GN130"/>
  <c r="GL130"/>
  <c r="GJ130"/>
  <c r="GH130"/>
  <c r="GF130"/>
  <c r="GD130"/>
  <c r="GB130"/>
  <c r="FZ130"/>
  <c r="FX130"/>
  <c r="FV130"/>
  <c r="FT130"/>
  <c r="FR130"/>
  <c r="FP130"/>
  <c r="FN130"/>
  <c r="FL130"/>
  <c r="FJ130"/>
  <c r="FH130"/>
  <c r="FF130"/>
  <c r="FD130"/>
  <c r="FB130"/>
  <c r="EZ130"/>
  <c r="EX130"/>
  <c r="EV130"/>
  <c r="ET130"/>
  <c r="ER130"/>
  <c r="EP130"/>
  <c r="EN130"/>
  <c r="EL130"/>
  <c r="EJ130"/>
  <c r="EH130"/>
  <c r="EF130"/>
  <c r="ED130"/>
  <c r="EB130"/>
  <c r="DZ130"/>
  <c r="DX130"/>
  <c r="DV130"/>
  <c r="DT130"/>
  <c r="DR130"/>
  <c r="DP130"/>
  <c r="DN130"/>
  <c r="DL130"/>
  <c r="DJ130"/>
  <c r="DH130"/>
  <c r="DF130"/>
  <c r="DD130"/>
  <c r="DB130"/>
  <c r="CZ130"/>
  <c r="CX130"/>
  <c r="CV130"/>
  <c r="CV134" s="1"/>
  <c r="CT130"/>
  <c r="CT134" s="1"/>
  <c r="CR130"/>
  <c r="CR134" s="1"/>
  <c r="CP130"/>
  <c r="CP134" s="1"/>
  <c r="CN130"/>
  <c r="CL130"/>
  <c r="CL134" s="1"/>
  <c r="CJ130"/>
  <c r="CJ134" s="1"/>
  <c r="CH130"/>
  <c r="CH134" s="1"/>
  <c r="CF130"/>
  <c r="CF134" s="1"/>
  <c r="CD130"/>
  <c r="CD134" s="1"/>
  <c r="CB130"/>
  <c r="BZ130"/>
  <c r="BZ134" s="1"/>
  <c r="BX130"/>
  <c r="BX134" s="1"/>
  <c r="BV130"/>
  <c r="BV134" s="1"/>
  <c r="BT130"/>
  <c r="BT134" s="1"/>
  <c r="BR130"/>
  <c r="BR134" s="1"/>
  <c r="BP130"/>
  <c r="BN130"/>
  <c r="BN134" s="1"/>
  <c r="BL130"/>
  <c r="BL134" s="1"/>
  <c r="BJ130"/>
  <c r="BJ134" s="1"/>
  <c r="BH130"/>
  <c r="BH134" s="1"/>
  <c r="BF130"/>
  <c r="BF134" s="1"/>
  <c r="BD130"/>
  <c r="BB130"/>
  <c r="BB134" s="1"/>
  <c r="AZ130"/>
  <c r="AZ134" s="1"/>
  <c r="AX130"/>
  <c r="AX134" s="1"/>
  <c r="AV130"/>
  <c r="AV134" s="1"/>
  <c r="AT130"/>
  <c r="AT134" s="1"/>
  <c r="AR130"/>
  <c r="AP130"/>
  <c r="AP134" s="1"/>
  <c r="AN130"/>
  <c r="AN134" s="1"/>
  <c r="AL130"/>
  <c r="AL134" s="1"/>
  <c r="AJ130"/>
  <c r="AJ134" s="1"/>
  <c r="AH130"/>
  <c r="AH134" s="1"/>
  <c r="AF130"/>
  <c r="AD130"/>
  <c r="AD134" s="1"/>
  <c r="AB134"/>
  <c r="Z134"/>
  <c r="X134"/>
  <c r="V134"/>
  <c r="T134"/>
  <c r="R134"/>
  <c r="P130"/>
  <c r="P134" s="1"/>
  <c r="N130"/>
  <c r="N134" s="1"/>
  <c r="L130"/>
  <c r="L134" s="1"/>
  <c r="J130"/>
  <c r="J134" s="1"/>
  <c r="H130"/>
  <c r="F130"/>
  <c r="GQ130"/>
  <c r="GO130"/>
  <c r="GM130"/>
  <c r="GK130"/>
  <c r="GI130"/>
  <c r="GG130"/>
  <c r="GE130"/>
  <c r="GC130"/>
  <c r="GA130"/>
  <c r="FY130"/>
  <c r="FW130"/>
  <c r="FU130"/>
  <c r="FS130"/>
  <c r="FQ130"/>
  <c r="FO130"/>
  <c r="FM130"/>
  <c r="FK130"/>
  <c r="FI130"/>
  <c r="FG130"/>
  <c r="FE130"/>
  <c r="FC130"/>
  <c r="FA130"/>
  <c r="EY130"/>
  <c r="EW130"/>
  <c r="EU130"/>
  <c r="ES130"/>
  <c r="EQ130"/>
  <c r="EO130"/>
  <c r="EM130"/>
  <c r="EK130"/>
  <c r="EI130"/>
  <c r="EG130"/>
  <c r="EE130"/>
  <c r="EC130"/>
  <c r="EA130"/>
  <c r="DY130"/>
  <c r="DW130"/>
  <c r="DU130"/>
  <c r="DS130"/>
  <c r="DQ130"/>
  <c r="DO130"/>
  <c r="DM130"/>
  <c r="DK130"/>
  <c r="DI130"/>
  <c r="DG130"/>
  <c r="DE130"/>
  <c r="DC130"/>
  <c r="DA130"/>
  <c r="CY130"/>
  <c r="CW130"/>
  <c r="CW134" s="1"/>
  <c r="CU130"/>
  <c r="CU134" s="1"/>
  <c r="CS130"/>
  <c r="CS134" s="1"/>
  <c r="CQ130"/>
  <c r="CQ134" s="1"/>
  <c r="CO130"/>
  <c r="CO134" s="1"/>
  <c r="CM130"/>
  <c r="CM134" s="1"/>
  <c r="CK130"/>
  <c r="CK134" s="1"/>
  <c r="CI130"/>
  <c r="CI134" s="1"/>
  <c r="CG130"/>
  <c r="CG134" s="1"/>
  <c r="CE130"/>
  <c r="CE134" s="1"/>
  <c r="CC130"/>
  <c r="CC134" s="1"/>
  <c r="CA130"/>
  <c r="CA134" s="1"/>
  <c r="BY130"/>
  <c r="BW130"/>
  <c r="BW134" s="1"/>
  <c r="BU130"/>
  <c r="BU134" s="1"/>
  <c r="BS130"/>
  <c r="BQ130"/>
  <c r="BQ134" s="1"/>
  <c r="BO130"/>
  <c r="BO134" s="1"/>
  <c r="BM130"/>
  <c r="BK130"/>
  <c r="BK134" s="1"/>
  <c r="BI130"/>
  <c r="BI134" s="1"/>
  <c r="BG130"/>
  <c r="BE130"/>
  <c r="BE134" s="1"/>
  <c r="BC130"/>
  <c r="BC134" s="1"/>
  <c r="BA130"/>
  <c r="AY130"/>
  <c r="AY134" s="1"/>
  <c r="AW130"/>
  <c r="AW134" s="1"/>
  <c r="AU130"/>
  <c r="AS130"/>
  <c r="AS134" s="1"/>
  <c r="AQ130"/>
  <c r="AQ134" s="1"/>
  <c r="AO130"/>
  <c r="AM130"/>
  <c r="AM134" s="1"/>
  <c r="AK130"/>
  <c r="AI130"/>
  <c r="AG130"/>
  <c r="AG134" s="1"/>
  <c r="AE130"/>
  <c r="AC130"/>
  <c r="AA134"/>
  <c r="O130"/>
  <c r="O134" s="1"/>
  <c r="M130"/>
  <c r="K130"/>
  <c r="I130"/>
  <c r="I134" s="1"/>
  <c r="G130"/>
  <c r="G134" s="1"/>
  <c r="E130"/>
  <c r="E134" s="1"/>
  <c r="CX126"/>
  <c r="CX121"/>
  <c r="CX129" s="1"/>
  <c r="CX112"/>
  <c r="CY111"/>
  <c r="CX136"/>
  <c r="CX107"/>
  <c r="GP100"/>
  <c r="GN100"/>
  <c r="GL100"/>
  <c r="GJ100"/>
  <c r="GH100"/>
  <c r="GF100"/>
  <c r="GD100"/>
  <c r="GB100"/>
  <c r="FZ100"/>
  <c r="FX100"/>
  <c r="FV100"/>
  <c r="FT100"/>
  <c r="FR100"/>
  <c r="FP100"/>
  <c r="FN100"/>
  <c r="FL100"/>
  <c r="FJ100"/>
  <c r="FH100"/>
  <c r="FF100"/>
  <c r="FD100"/>
  <c r="FB100"/>
  <c r="EZ100"/>
  <c r="EX100"/>
  <c r="EV100"/>
  <c r="ET100"/>
  <c r="ER100"/>
  <c r="EP100"/>
  <c r="EN100"/>
  <c r="EL100"/>
  <c r="EJ100"/>
  <c r="EH100"/>
  <c r="EF100"/>
  <c r="ED100"/>
  <c r="EB100"/>
  <c r="DZ100"/>
  <c r="DX100"/>
  <c r="DV100"/>
  <c r="DT100"/>
  <c r="DR100"/>
  <c r="DP100"/>
  <c r="DN100"/>
  <c r="DL100"/>
  <c r="DJ100"/>
  <c r="DH100"/>
  <c r="DF100"/>
  <c r="DD100"/>
  <c r="DB100"/>
  <c r="CZ100"/>
  <c r="CX100"/>
  <c r="CV100"/>
  <c r="CV104" s="1"/>
  <c r="CT100"/>
  <c r="CT104" s="1"/>
  <c r="CR100"/>
  <c r="CR104" s="1"/>
  <c r="CP100"/>
  <c r="CP104" s="1"/>
  <c r="CN100"/>
  <c r="CN104" s="1"/>
  <c r="CL100"/>
  <c r="CL104" s="1"/>
  <c r="CJ100"/>
  <c r="CJ104" s="1"/>
  <c r="CH100"/>
  <c r="CH104" s="1"/>
  <c r="CF100"/>
  <c r="CF104" s="1"/>
  <c r="CD100"/>
  <c r="CD104" s="1"/>
  <c r="CB100"/>
  <c r="CB104" s="1"/>
  <c r="BZ100"/>
  <c r="BZ104" s="1"/>
  <c r="BX100"/>
  <c r="BX104" s="1"/>
  <c r="BV100"/>
  <c r="BV104" s="1"/>
  <c r="BT100"/>
  <c r="BT104" s="1"/>
  <c r="BR100"/>
  <c r="BR104" s="1"/>
  <c r="BP100"/>
  <c r="BP104" s="1"/>
  <c r="BN100"/>
  <c r="BN104" s="1"/>
  <c r="BL100"/>
  <c r="BL104" s="1"/>
  <c r="BJ100"/>
  <c r="BJ104" s="1"/>
  <c r="BH100"/>
  <c r="BH104" s="1"/>
  <c r="BF100"/>
  <c r="BF104" s="1"/>
  <c r="BD100"/>
  <c r="BD104" s="1"/>
  <c r="BB100"/>
  <c r="BB104" s="1"/>
  <c r="AZ100"/>
  <c r="AZ104" s="1"/>
  <c r="AX100"/>
  <c r="AX104" s="1"/>
  <c r="AV100"/>
  <c r="AV104" s="1"/>
  <c r="AT100"/>
  <c r="AT104" s="1"/>
  <c r="AR100"/>
  <c r="AR104" s="1"/>
  <c r="AP100"/>
  <c r="AP104" s="1"/>
  <c r="CX105"/>
  <c r="CX106" s="1"/>
  <c r="GQ100"/>
  <c r="GO100"/>
  <c r="GM100"/>
  <c r="GK100"/>
  <c r="GI100"/>
  <c r="GG100"/>
  <c r="GE100"/>
  <c r="GC100"/>
  <c r="GA100"/>
  <c r="FY100"/>
  <c r="FW100"/>
  <c r="FU100"/>
  <c r="FS100"/>
  <c r="FQ100"/>
  <c r="FO100"/>
  <c r="FM100"/>
  <c r="FK100"/>
  <c r="FI100"/>
  <c r="FG100"/>
  <c r="FE100"/>
  <c r="FC100"/>
  <c r="FA100"/>
  <c r="EY100"/>
  <c r="EW100"/>
  <c r="EU100"/>
  <c r="ES100"/>
  <c r="EQ100"/>
  <c r="EO100"/>
  <c r="EM100"/>
  <c r="EK100"/>
  <c r="EI100"/>
  <c r="EG100"/>
  <c r="EE100"/>
  <c r="EC100"/>
  <c r="EA100"/>
  <c r="DY100"/>
  <c r="DW100"/>
  <c r="DU100"/>
  <c r="DS100"/>
  <c r="DQ100"/>
  <c r="DO100"/>
  <c r="DM100"/>
  <c r="DK100"/>
  <c r="DI100"/>
  <c r="DG100"/>
  <c r="DE100"/>
  <c r="DC100"/>
  <c r="DA100"/>
  <c r="CY100"/>
  <c r="CW100"/>
  <c r="CW104" s="1"/>
  <c r="CU100"/>
  <c r="CU104" s="1"/>
  <c r="CS100"/>
  <c r="CS104" s="1"/>
  <c r="CQ100"/>
  <c r="CQ104" s="1"/>
  <c r="CO100"/>
  <c r="CO104" s="1"/>
  <c r="CM100"/>
  <c r="CM104" s="1"/>
  <c r="CK100"/>
  <c r="CK104" s="1"/>
  <c r="CI100"/>
  <c r="CI104" s="1"/>
  <c r="CG100"/>
  <c r="CG104" s="1"/>
  <c r="CE100"/>
  <c r="CE104" s="1"/>
  <c r="CC100"/>
  <c r="CC104" s="1"/>
  <c r="CA100"/>
  <c r="CA104" s="1"/>
  <c r="BY100"/>
  <c r="BY104" s="1"/>
  <c r="BW100"/>
  <c r="BW104" s="1"/>
  <c r="BU100"/>
  <c r="BU104" s="1"/>
  <c r="BS100"/>
  <c r="BS104" s="1"/>
  <c r="BQ100"/>
  <c r="BQ104" s="1"/>
  <c r="BO100"/>
  <c r="BO104" s="1"/>
  <c r="BM100"/>
  <c r="BM104" s="1"/>
  <c r="BK100"/>
  <c r="BK104" s="1"/>
  <c r="BI100"/>
  <c r="BI104" s="1"/>
  <c r="BG100"/>
  <c r="BG104" s="1"/>
  <c r="BE100"/>
  <c r="BE104" s="1"/>
  <c r="BC100"/>
  <c r="BC104" s="1"/>
  <c r="BA100"/>
  <c r="AY100"/>
  <c r="AY104" s="1"/>
  <c r="AW100"/>
  <c r="AW104" s="1"/>
  <c r="AU100"/>
  <c r="AU104" s="1"/>
  <c r="AS100"/>
  <c r="AS104" s="1"/>
  <c r="AQ100"/>
  <c r="AQ104" s="1"/>
  <c r="AO100"/>
  <c r="AM100"/>
  <c r="AM104" s="1"/>
  <c r="AK100"/>
  <c r="AK104" s="1"/>
  <c r="AI100"/>
  <c r="AI104" s="1"/>
  <c r="AG100"/>
  <c r="AG104" s="1"/>
  <c r="AE100"/>
  <c r="AE104" s="1"/>
  <c r="AC100"/>
  <c r="AL100"/>
  <c r="AL104" s="1"/>
  <c r="AH100"/>
  <c r="AH104" s="1"/>
  <c r="AD100"/>
  <c r="AD104" s="1"/>
  <c r="AA100"/>
  <c r="AA104" s="1"/>
  <c r="Y100"/>
  <c r="Y104" s="1"/>
  <c r="S100"/>
  <c r="S104" s="1"/>
  <c r="Q100"/>
  <c r="O100"/>
  <c r="O104" s="1"/>
  <c r="M100"/>
  <c r="M104" s="1"/>
  <c r="K100"/>
  <c r="I100"/>
  <c r="I104" s="1"/>
  <c r="G100"/>
  <c r="G104" s="1"/>
  <c r="E100"/>
  <c r="E104" s="1"/>
  <c r="AN100"/>
  <c r="AN104" s="1"/>
  <c r="AJ100"/>
  <c r="AJ104" s="1"/>
  <c r="AF100"/>
  <c r="AF104" s="1"/>
  <c r="AB100"/>
  <c r="AB104" s="1"/>
  <c r="Z100"/>
  <c r="Z104" s="1"/>
  <c r="T100"/>
  <c r="T104" s="1"/>
  <c r="R100"/>
  <c r="R104" s="1"/>
  <c r="P100"/>
  <c r="P104" s="1"/>
  <c r="N100"/>
  <c r="N104" s="1"/>
  <c r="L100"/>
  <c r="L104" s="1"/>
  <c r="J100"/>
  <c r="J104" s="1"/>
  <c r="H100"/>
  <c r="H104" s="1"/>
  <c r="F100"/>
  <c r="CX96"/>
  <c r="CX82"/>
  <c r="CY81"/>
  <c r="CX91"/>
  <c r="CX99" s="1"/>
  <c r="CY51"/>
  <c r="CX61"/>
  <c r="CX69" s="1"/>
  <c r="CX52"/>
  <c r="CX66"/>
  <c r="F70"/>
  <c r="F74" s="1"/>
  <c r="H70"/>
  <c r="H74" s="1"/>
  <c r="J70"/>
  <c r="J74" s="1"/>
  <c r="L70"/>
  <c r="L74" s="1"/>
  <c r="N70"/>
  <c r="N74" s="1"/>
  <c r="P70"/>
  <c r="P74" s="1"/>
  <c r="R70"/>
  <c r="R74" s="1"/>
  <c r="T70"/>
  <c r="T74" s="1"/>
  <c r="V70"/>
  <c r="V74" s="1"/>
  <c r="X70"/>
  <c r="X74" s="1"/>
  <c r="Z70"/>
  <c r="Z74" s="1"/>
  <c r="AB70"/>
  <c r="AB74" s="1"/>
  <c r="AD70"/>
  <c r="AD74" s="1"/>
  <c r="AF70"/>
  <c r="AF74" s="1"/>
  <c r="AH70"/>
  <c r="AH74" s="1"/>
  <c r="AJ70"/>
  <c r="AJ74" s="1"/>
  <c r="AL70"/>
  <c r="AL74" s="1"/>
  <c r="AN70"/>
  <c r="AN74" s="1"/>
  <c r="AP70"/>
  <c r="AP74" s="1"/>
  <c r="AR70"/>
  <c r="AR74" s="1"/>
  <c r="AT70"/>
  <c r="AT74" s="1"/>
  <c r="AV70"/>
  <c r="AV74" s="1"/>
  <c r="AX70"/>
  <c r="AX74" s="1"/>
  <c r="AZ70"/>
  <c r="AZ74" s="1"/>
  <c r="BB70"/>
  <c r="BB74" s="1"/>
  <c r="BD70"/>
  <c r="BD74" s="1"/>
  <c r="BF70"/>
  <c r="BF74" s="1"/>
  <c r="BH70"/>
  <c r="BH74" s="1"/>
  <c r="BJ70"/>
  <c r="BJ74" s="1"/>
  <c r="BL70"/>
  <c r="BL74" s="1"/>
  <c r="BN70"/>
  <c r="BN74" s="1"/>
  <c r="BP70"/>
  <c r="BP74" s="1"/>
  <c r="BR70"/>
  <c r="BR74" s="1"/>
  <c r="BT70"/>
  <c r="BT74" s="1"/>
  <c r="BV70"/>
  <c r="BV74" s="1"/>
  <c r="BX70"/>
  <c r="BX74" s="1"/>
  <c r="BZ70"/>
  <c r="BZ74" s="1"/>
  <c r="CB70"/>
  <c r="CB74" s="1"/>
  <c r="CD70"/>
  <c r="CD74" s="1"/>
  <c r="CF70"/>
  <c r="CF74" s="1"/>
  <c r="CH70"/>
  <c r="CH74" s="1"/>
  <c r="CJ70"/>
  <c r="CJ74" s="1"/>
  <c r="CL70"/>
  <c r="CL74" s="1"/>
  <c r="CN70"/>
  <c r="CN74" s="1"/>
  <c r="CP70"/>
  <c r="CP74" s="1"/>
  <c r="CR70"/>
  <c r="CR74" s="1"/>
  <c r="CT70"/>
  <c r="CT74" s="1"/>
  <c r="CV70"/>
  <c r="CV74" s="1"/>
  <c r="CX70"/>
  <c r="CZ70"/>
  <c r="DB70"/>
  <c r="DD70"/>
  <c r="DF70"/>
  <c r="DH70"/>
  <c r="DJ70"/>
  <c r="DL70"/>
  <c r="DN70"/>
  <c r="DP70"/>
  <c r="DR70"/>
  <c r="DT70"/>
  <c r="DV70"/>
  <c r="DX70"/>
  <c r="DZ70"/>
  <c r="EB70"/>
  <c r="ED70"/>
  <c r="EF70"/>
  <c r="EH70"/>
  <c r="EJ70"/>
  <c r="EL70"/>
  <c r="EN70"/>
  <c r="EP70"/>
  <c r="ER70"/>
  <c r="ET70"/>
  <c r="EV70"/>
  <c r="EX70"/>
  <c r="EZ70"/>
  <c r="FB70"/>
  <c r="FD70"/>
  <c r="FF70"/>
  <c r="FH70"/>
  <c r="FJ70"/>
  <c r="FL70"/>
  <c r="FN70"/>
  <c r="FP70"/>
  <c r="FR70"/>
  <c r="FT70"/>
  <c r="FV70"/>
  <c r="FX70"/>
  <c r="FZ70"/>
  <c r="GB70"/>
  <c r="GD70"/>
  <c r="GF70"/>
  <c r="GH70"/>
  <c r="GJ70"/>
  <c r="GL70"/>
  <c r="GN70"/>
  <c r="GP70"/>
  <c r="E70"/>
  <c r="G70"/>
  <c r="G74" s="1"/>
  <c r="I70"/>
  <c r="I74" s="1"/>
  <c r="K70"/>
  <c r="M70"/>
  <c r="M74" s="1"/>
  <c r="O70"/>
  <c r="O74" s="1"/>
  <c r="Q70"/>
  <c r="S70"/>
  <c r="S74" s="1"/>
  <c r="W70"/>
  <c r="W74" s="1"/>
  <c r="Y70"/>
  <c r="Y74" s="1"/>
  <c r="AA70"/>
  <c r="AA74" s="1"/>
  <c r="AC70"/>
  <c r="AE70"/>
  <c r="AE74" s="1"/>
  <c r="AG70"/>
  <c r="AG74" s="1"/>
  <c r="AI70"/>
  <c r="AI74" s="1"/>
  <c r="AK70"/>
  <c r="AK74" s="1"/>
  <c r="AM70"/>
  <c r="AM74" s="1"/>
  <c r="AO70"/>
  <c r="AQ70"/>
  <c r="AQ74" s="1"/>
  <c r="AS70"/>
  <c r="AS74" s="1"/>
  <c r="AU70"/>
  <c r="AU74" s="1"/>
  <c r="AW70"/>
  <c r="AW74" s="1"/>
  <c r="AY70"/>
  <c r="AY74" s="1"/>
  <c r="BA70"/>
  <c r="BC70"/>
  <c r="BC74" s="1"/>
  <c r="BE70"/>
  <c r="BE74" s="1"/>
  <c r="BG70"/>
  <c r="BG74" s="1"/>
  <c r="BI70"/>
  <c r="BI74" s="1"/>
  <c r="BK70"/>
  <c r="BK74" s="1"/>
  <c r="BM70"/>
  <c r="BO70"/>
  <c r="BO74" s="1"/>
  <c r="BQ70"/>
  <c r="BQ74" s="1"/>
  <c r="BS70"/>
  <c r="BS74" s="1"/>
  <c r="BU70"/>
  <c r="BU74" s="1"/>
  <c r="BW70"/>
  <c r="BW74" s="1"/>
  <c r="BY70"/>
  <c r="BY74" s="1"/>
  <c r="CA70"/>
  <c r="CA74" s="1"/>
  <c r="CC70"/>
  <c r="CC74" s="1"/>
  <c r="CE70"/>
  <c r="CE74" s="1"/>
  <c r="CG70"/>
  <c r="CG74" s="1"/>
  <c r="CI70"/>
  <c r="CI74" s="1"/>
  <c r="CK70"/>
  <c r="CK74" s="1"/>
  <c r="CM70"/>
  <c r="CM74" s="1"/>
  <c r="CO70"/>
  <c r="CO74" s="1"/>
  <c r="CQ70"/>
  <c r="CQ74" s="1"/>
  <c r="CS70"/>
  <c r="CS74" s="1"/>
  <c r="CU70"/>
  <c r="CU74" s="1"/>
  <c r="CW70"/>
  <c r="CW74" s="1"/>
  <c r="CY70"/>
  <c r="DA70"/>
  <c r="DC70"/>
  <c r="DE70"/>
  <c r="DG70"/>
  <c r="DI70"/>
  <c r="DK70"/>
  <c r="DM70"/>
  <c r="DO70"/>
  <c r="DQ70"/>
  <c r="DS70"/>
  <c r="DU70"/>
  <c r="DW70"/>
  <c r="DY70"/>
  <c r="EA70"/>
  <c r="EC70"/>
  <c r="EE70"/>
  <c r="EG70"/>
  <c r="EI70"/>
  <c r="EK70"/>
  <c r="EM70"/>
  <c r="EO70"/>
  <c r="EQ70"/>
  <c r="ES70"/>
  <c r="EU70"/>
  <c r="EW70"/>
  <c r="EY70"/>
  <c r="FA70"/>
  <c r="FC70"/>
  <c r="FE70"/>
  <c r="FG70"/>
  <c r="FI70"/>
  <c r="FK70"/>
  <c r="FM70"/>
  <c r="FO70"/>
  <c r="FQ70"/>
  <c r="FS70"/>
  <c r="FU70"/>
  <c r="FW70"/>
  <c r="FY70"/>
  <c r="GA70"/>
  <c r="GC70"/>
  <c r="GE70"/>
  <c r="GG70"/>
  <c r="GI70"/>
  <c r="GK70"/>
  <c r="GM70"/>
  <c r="GO70"/>
  <c r="GQ70"/>
  <c r="CX75"/>
  <c r="CX76" s="1"/>
  <c r="CX77"/>
  <c r="CW182" i="26"/>
  <c r="CW173"/>
  <c r="CW198"/>
  <c r="CW187"/>
  <c r="CX172"/>
  <c r="H134" i="35" l="1"/>
  <c r="AF134"/>
  <c r="AR134"/>
  <c r="BD134"/>
  <c r="BP134"/>
  <c r="CB134"/>
  <c r="CN134"/>
  <c r="CY137"/>
  <c r="CY135"/>
  <c r="CY136" s="1"/>
  <c r="CY126"/>
  <c r="CY112"/>
  <c r="CZ111"/>
  <c r="CY121"/>
  <c r="CY129" s="1"/>
  <c r="CY134" s="1"/>
  <c r="F134"/>
  <c r="CX134"/>
  <c r="F104"/>
  <c r="CX104"/>
  <c r="CY107"/>
  <c r="CY105"/>
  <c r="CY106" s="1"/>
  <c r="CY96"/>
  <c r="CY91"/>
  <c r="CY99" s="1"/>
  <c r="CY104" s="1"/>
  <c r="CY82"/>
  <c r="CZ81"/>
  <c r="CX74"/>
  <c r="E74"/>
  <c r="G20"/>
  <c r="CZ51"/>
  <c r="CY52"/>
  <c r="CY61"/>
  <c r="CY69" s="1"/>
  <c r="CY74" s="1"/>
  <c r="CY66"/>
  <c r="CY75"/>
  <c r="CY76" s="1"/>
  <c r="CY77"/>
  <c r="CX182" i="26"/>
  <c r="CX190" s="1"/>
  <c r="CX173"/>
  <c r="CX187"/>
  <c r="CY172"/>
  <c r="CZ137" i="35" l="1"/>
  <c r="CZ135"/>
  <c r="CZ136" s="1"/>
  <c r="CZ126"/>
  <c r="CZ121"/>
  <c r="CZ129" s="1"/>
  <c r="CZ112"/>
  <c r="DA111"/>
  <c r="CZ107"/>
  <c r="CZ105"/>
  <c r="CZ106" s="1"/>
  <c r="CZ96"/>
  <c r="CZ82"/>
  <c r="DA81"/>
  <c r="CZ91"/>
  <c r="CZ99" s="1"/>
  <c r="CZ104" s="1"/>
  <c r="F65"/>
  <c r="CZ52"/>
  <c r="CZ61"/>
  <c r="CZ69" s="1"/>
  <c r="CZ74" s="1"/>
  <c r="DA51"/>
  <c r="CZ66"/>
  <c r="CZ75"/>
  <c r="CZ76" s="1"/>
  <c r="CZ77"/>
  <c r="F67"/>
  <c r="CY182" i="26"/>
  <c r="CY190" s="1"/>
  <c r="CY173"/>
  <c r="CY187"/>
  <c r="CZ172"/>
  <c r="CZ134" i="35" l="1"/>
  <c r="DA137"/>
  <c r="DA135"/>
  <c r="DA136" s="1"/>
  <c r="DA126"/>
  <c r="DA112"/>
  <c r="DB111"/>
  <c r="DA121"/>
  <c r="DA129" s="1"/>
  <c r="DA134" s="1"/>
  <c r="DA107"/>
  <c r="DA105"/>
  <c r="DA106" s="1"/>
  <c r="DA96"/>
  <c r="DA91"/>
  <c r="DA99" s="1"/>
  <c r="DA104" s="1"/>
  <c r="DA82"/>
  <c r="DB81"/>
  <c r="DB51"/>
  <c r="DA52"/>
  <c r="DA61"/>
  <c r="DA69" s="1"/>
  <c r="DA74" s="1"/>
  <c r="DA66"/>
  <c r="DA75"/>
  <c r="DA76" s="1"/>
  <c r="DA77"/>
  <c r="CZ182" i="26"/>
  <c r="CZ190" s="1"/>
  <c r="CZ173"/>
  <c r="CZ187"/>
  <c r="DA172"/>
  <c r="H125" i="35" l="1"/>
  <c r="DB137"/>
  <c r="DB135"/>
  <c r="DB126"/>
  <c r="DB121"/>
  <c r="DB129" s="1"/>
  <c r="DB134" s="1"/>
  <c r="DC111"/>
  <c r="DB112"/>
  <c r="DB136"/>
  <c r="DB107"/>
  <c r="DB105"/>
  <c r="DB106" s="1"/>
  <c r="DB96"/>
  <c r="DB82"/>
  <c r="DC81"/>
  <c r="DB91"/>
  <c r="DB99" s="1"/>
  <c r="DB104" s="1"/>
  <c r="DC51"/>
  <c r="DB61"/>
  <c r="DB69" s="1"/>
  <c r="DB74" s="1"/>
  <c r="DB52"/>
  <c r="DB66"/>
  <c r="DB75"/>
  <c r="DB76" s="1"/>
  <c r="DB77"/>
  <c r="DA182" i="26"/>
  <c r="DA190" s="1"/>
  <c r="DA173"/>
  <c r="DA187"/>
  <c r="DB172"/>
  <c r="DC137" i="35" l="1"/>
  <c r="DC135"/>
  <c r="DC136" s="1"/>
  <c r="DC126"/>
  <c r="DC112"/>
  <c r="DD111"/>
  <c r="DC121"/>
  <c r="DC129" s="1"/>
  <c r="DC134" s="1"/>
  <c r="DC107"/>
  <c r="DC105"/>
  <c r="DC106" s="1"/>
  <c r="DC96"/>
  <c r="DC91"/>
  <c r="DC99" s="1"/>
  <c r="DC104" s="1"/>
  <c r="DC82"/>
  <c r="DD81"/>
  <c r="DD51"/>
  <c r="DC52"/>
  <c r="DC61"/>
  <c r="DC69" s="1"/>
  <c r="DC74" s="1"/>
  <c r="DC66"/>
  <c r="DC75"/>
  <c r="DC76" s="1"/>
  <c r="DC77"/>
  <c r="DB182" i="26"/>
  <c r="DB190" s="1"/>
  <c r="DB173"/>
  <c r="DB187"/>
  <c r="DC172"/>
  <c r="DD137" i="35" l="1"/>
  <c r="DD135"/>
  <c r="DD136" s="1"/>
  <c r="DD126"/>
  <c r="DD121"/>
  <c r="DD129" s="1"/>
  <c r="DD112"/>
  <c r="DE111"/>
  <c r="DD107"/>
  <c r="DD105"/>
  <c r="DD106" s="1"/>
  <c r="DD96"/>
  <c r="DD82"/>
  <c r="DE81"/>
  <c r="DD91"/>
  <c r="DD99" s="1"/>
  <c r="DD104" s="1"/>
  <c r="DD52"/>
  <c r="DD61"/>
  <c r="DD69" s="1"/>
  <c r="DD74" s="1"/>
  <c r="DE51"/>
  <c r="DD66"/>
  <c r="DD75"/>
  <c r="DD76" s="1"/>
  <c r="DD77"/>
  <c r="DC182" i="26"/>
  <c r="DC190" s="1"/>
  <c r="DC173"/>
  <c r="DC187"/>
  <c r="DD172"/>
  <c r="DD134" i="35" l="1"/>
  <c r="DE137"/>
  <c r="DE135"/>
  <c r="DE136" s="1"/>
  <c r="DE126"/>
  <c r="DE112"/>
  <c r="DF111"/>
  <c r="DE121"/>
  <c r="DE129" s="1"/>
  <c r="DE134" s="1"/>
  <c r="DE107"/>
  <c r="DE105"/>
  <c r="DE106" s="1"/>
  <c r="DE96"/>
  <c r="DE91"/>
  <c r="DE99" s="1"/>
  <c r="DE104" s="1"/>
  <c r="DE82"/>
  <c r="DF81"/>
  <c r="DF51"/>
  <c r="DE52"/>
  <c r="DE61"/>
  <c r="DE69" s="1"/>
  <c r="DE74" s="1"/>
  <c r="DE66"/>
  <c r="DE75"/>
  <c r="DE76" s="1"/>
  <c r="DE77"/>
  <c r="DD182" i="26"/>
  <c r="DD190" s="1"/>
  <c r="DD173"/>
  <c r="DD187"/>
  <c r="DE172"/>
  <c r="DF137" i="35" l="1"/>
  <c r="DF135"/>
  <c r="DF136" s="1"/>
  <c r="DF126"/>
  <c r="DF121"/>
  <c r="DF129" s="1"/>
  <c r="DF134" s="1"/>
  <c r="DF112"/>
  <c r="DG111"/>
  <c r="DF107"/>
  <c r="DF105"/>
  <c r="DF106" s="1"/>
  <c r="DF96"/>
  <c r="DF82"/>
  <c r="DG81"/>
  <c r="DF91"/>
  <c r="DF99" s="1"/>
  <c r="DF104" s="1"/>
  <c r="DG51"/>
  <c r="DF61"/>
  <c r="DF69" s="1"/>
  <c r="DF74" s="1"/>
  <c r="DF52"/>
  <c r="DF66"/>
  <c r="DF75"/>
  <c r="DF76" s="1"/>
  <c r="DF77"/>
  <c r="DE182" i="26"/>
  <c r="DE190" s="1"/>
  <c r="DE173"/>
  <c r="DE187"/>
  <c r="DF172"/>
  <c r="DG137" i="35" l="1"/>
  <c r="DG135"/>
  <c r="DG136" s="1"/>
  <c r="DG126"/>
  <c r="DG112"/>
  <c r="DH111"/>
  <c r="DG121"/>
  <c r="DG129" s="1"/>
  <c r="DG134" s="1"/>
  <c r="DG107"/>
  <c r="DG105"/>
  <c r="DG106" s="1"/>
  <c r="DG96"/>
  <c r="DG91"/>
  <c r="DG99" s="1"/>
  <c r="DG104" s="1"/>
  <c r="DG82"/>
  <c r="DH81"/>
  <c r="DH51"/>
  <c r="DG52"/>
  <c r="DG61"/>
  <c r="DG69" s="1"/>
  <c r="DG74" s="1"/>
  <c r="DG66"/>
  <c r="DG75"/>
  <c r="DG76" s="1"/>
  <c r="DG77"/>
  <c r="DF182" i="26"/>
  <c r="DF190" s="1"/>
  <c r="DF173"/>
  <c r="DF187"/>
  <c r="DG172"/>
  <c r="DH137" i="35" l="1"/>
  <c r="DH135"/>
  <c r="DH136" s="1"/>
  <c r="DH126"/>
  <c r="DH121"/>
  <c r="DH129" s="1"/>
  <c r="DH134" s="1"/>
  <c r="DH112"/>
  <c r="DI111"/>
  <c r="DH107"/>
  <c r="DH105"/>
  <c r="DH106" s="1"/>
  <c r="DH96"/>
  <c r="DH82"/>
  <c r="DI81"/>
  <c r="DH91"/>
  <c r="DH99" s="1"/>
  <c r="DH104" s="1"/>
  <c r="DH52"/>
  <c r="DH61"/>
  <c r="DH69" s="1"/>
  <c r="DH74" s="1"/>
  <c r="DI51"/>
  <c r="DH66"/>
  <c r="DH75"/>
  <c r="DH76" s="1"/>
  <c r="DH77"/>
  <c r="DG182" i="26"/>
  <c r="DG190" s="1"/>
  <c r="DG173"/>
  <c r="DG187"/>
  <c r="DH172"/>
  <c r="DI137" i="35" l="1"/>
  <c r="DI135"/>
  <c r="DI136" s="1"/>
  <c r="DI126"/>
  <c r="DI112"/>
  <c r="DJ111"/>
  <c r="DI121"/>
  <c r="DI129" s="1"/>
  <c r="DI134" s="1"/>
  <c r="DI107"/>
  <c r="DI105"/>
  <c r="DI106" s="1"/>
  <c r="DI96"/>
  <c r="DI91"/>
  <c r="DI99" s="1"/>
  <c r="DI104" s="1"/>
  <c r="DI82"/>
  <c r="DJ81"/>
  <c r="DJ51"/>
  <c r="DI52"/>
  <c r="DI61"/>
  <c r="DI69" s="1"/>
  <c r="DI74" s="1"/>
  <c r="DI66"/>
  <c r="DI75"/>
  <c r="DI77"/>
  <c r="DI76"/>
  <c r="DH182" i="26"/>
  <c r="DH190" s="1"/>
  <c r="DH173"/>
  <c r="DH187"/>
  <c r="DI172"/>
  <c r="DJ137" i="35" l="1"/>
  <c r="DJ135"/>
  <c r="DJ136" s="1"/>
  <c r="DJ126"/>
  <c r="DJ121"/>
  <c r="DJ129" s="1"/>
  <c r="DJ134" s="1"/>
  <c r="DK111"/>
  <c r="DJ112"/>
  <c r="DJ107"/>
  <c r="DJ105"/>
  <c r="DJ106" s="1"/>
  <c r="DJ96"/>
  <c r="DJ82"/>
  <c r="DK81"/>
  <c r="DJ91"/>
  <c r="DJ99" s="1"/>
  <c r="DJ104" s="1"/>
  <c r="K69"/>
  <c r="K74" s="1"/>
  <c r="DK51"/>
  <c r="DJ61"/>
  <c r="DJ69" s="1"/>
  <c r="DJ74" s="1"/>
  <c r="DJ52"/>
  <c r="DJ66"/>
  <c r="DJ75"/>
  <c r="DJ77"/>
  <c r="DJ76"/>
  <c r="DI182" i="26"/>
  <c r="DI173"/>
  <c r="DI187"/>
  <c r="DJ172"/>
  <c r="DK137" i="35" l="1"/>
  <c r="DK135"/>
  <c r="DK136" s="1"/>
  <c r="DK126"/>
  <c r="DK112"/>
  <c r="DL111"/>
  <c r="DK121"/>
  <c r="DK129" s="1"/>
  <c r="DK134" s="1"/>
  <c r="DK107"/>
  <c r="DK105"/>
  <c r="DK106" s="1"/>
  <c r="DK96"/>
  <c r="DK91"/>
  <c r="DK99" s="1"/>
  <c r="DK104" s="1"/>
  <c r="DK82"/>
  <c r="DL81"/>
  <c r="DL51"/>
  <c r="DK52"/>
  <c r="DK61"/>
  <c r="DK69" s="1"/>
  <c r="DK74" s="1"/>
  <c r="DK66"/>
  <c r="DK75"/>
  <c r="DK76" s="1"/>
  <c r="DK77"/>
  <c r="DJ182" i="26"/>
  <c r="DJ190" s="1"/>
  <c r="DJ173"/>
  <c r="DJ187"/>
  <c r="DK172"/>
  <c r="DL137" i="35" l="1"/>
  <c r="DL135"/>
  <c r="DL136" s="1"/>
  <c r="DL126"/>
  <c r="DL121"/>
  <c r="DL129" s="1"/>
  <c r="DL112"/>
  <c r="DM111"/>
  <c r="DL107"/>
  <c r="DL105"/>
  <c r="DL106" s="1"/>
  <c r="DL96"/>
  <c r="DL82"/>
  <c r="DM81"/>
  <c r="DL91"/>
  <c r="DL99" s="1"/>
  <c r="DL104" s="1"/>
  <c r="DL52"/>
  <c r="DL61"/>
  <c r="DL69" s="1"/>
  <c r="DL74" s="1"/>
  <c r="DM51"/>
  <c r="DL66"/>
  <c r="DL75"/>
  <c r="DL76" s="1"/>
  <c r="DL77"/>
  <c r="DK182" i="26"/>
  <c r="DK190" s="1"/>
  <c r="DK173"/>
  <c r="DK187"/>
  <c r="DL172"/>
  <c r="DL134" i="35" l="1"/>
  <c r="K99"/>
  <c r="K104" s="1"/>
  <c r="DM137"/>
  <c r="DM135"/>
  <c r="DM136" s="1"/>
  <c r="DM126"/>
  <c r="DM112"/>
  <c r="DN111"/>
  <c r="DM121"/>
  <c r="DM129" s="1"/>
  <c r="DM134" s="1"/>
  <c r="DM107"/>
  <c r="DM105"/>
  <c r="DM106" s="1"/>
  <c r="DM96"/>
  <c r="DM91"/>
  <c r="DM99" s="1"/>
  <c r="DM104" s="1"/>
  <c r="DM82"/>
  <c r="DN81"/>
  <c r="DN51"/>
  <c r="DM52"/>
  <c r="DM61"/>
  <c r="DM69" s="1"/>
  <c r="DM74" s="1"/>
  <c r="DM66"/>
  <c r="DM75"/>
  <c r="DM77"/>
  <c r="DM76"/>
  <c r="DL182" i="26"/>
  <c r="DL190" s="1"/>
  <c r="DL173"/>
  <c r="DL187"/>
  <c r="DM172"/>
  <c r="DN137" i="35" l="1"/>
  <c r="DN135"/>
  <c r="DN136" s="1"/>
  <c r="DN126"/>
  <c r="DN121"/>
  <c r="DN129" s="1"/>
  <c r="DN134" s="1"/>
  <c r="DN112"/>
  <c r="DO111"/>
  <c r="DN107"/>
  <c r="DN105"/>
  <c r="DN106" s="1"/>
  <c r="DN96"/>
  <c r="DN82"/>
  <c r="DO81"/>
  <c r="DN91"/>
  <c r="DN99" s="1"/>
  <c r="DN104" s="1"/>
  <c r="DO51"/>
  <c r="DN61"/>
  <c r="DN69" s="1"/>
  <c r="DN74" s="1"/>
  <c r="DN52"/>
  <c r="DN66"/>
  <c r="DN75"/>
  <c r="DN76" s="1"/>
  <c r="DN77"/>
  <c r="DM182" i="26"/>
  <c r="DM190" s="1"/>
  <c r="DM173"/>
  <c r="DM187"/>
  <c r="DN172"/>
  <c r="DO137" i="35" l="1"/>
  <c r="DO135"/>
  <c r="DO136" s="1"/>
  <c r="DO126"/>
  <c r="DO112"/>
  <c r="DP111"/>
  <c r="DO121"/>
  <c r="DO129" s="1"/>
  <c r="DO134" s="1"/>
  <c r="DO107"/>
  <c r="DO105"/>
  <c r="DO106" s="1"/>
  <c r="DO96"/>
  <c r="DO91"/>
  <c r="DO99" s="1"/>
  <c r="DO104" s="1"/>
  <c r="DO82"/>
  <c r="DP81"/>
  <c r="DP51"/>
  <c r="DO52"/>
  <c r="DO61"/>
  <c r="DO69" s="1"/>
  <c r="DO74" s="1"/>
  <c r="DO66"/>
  <c r="DO75"/>
  <c r="DO76" s="1"/>
  <c r="DO77"/>
  <c r="DN182" i="26"/>
  <c r="DN190" s="1"/>
  <c r="DN173"/>
  <c r="DN187"/>
  <c r="DO172"/>
  <c r="M129" i="35" l="1"/>
  <c r="M134" s="1"/>
  <c r="DP137"/>
  <c r="DP135"/>
  <c r="DP136" s="1"/>
  <c r="DP126"/>
  <c r="DP121"/>
  <c r="DP129" s="1"/>
  <c r="DP134" s="1"/>
  <c r="DP112"/>
  <c r="DQ111"/>
  <c r="DP107"/>
  <c r="DP105"/>
  <c r="DP106" s="1"/>
  <c r="DP96"/>
  <c r="DP82"/>
  <c r="DQ81"/>
  <c r="DP91"/>
  <c r="DP99" s="1"/>
  <c r="DP104" s="1"/>
  <c r="DP52"/>
  <c r="DP61"/>
  <c r="DP69" s="1"/>
  <c r="DP74" s="1"/>
  <c r="DQ51"/>
  <c r="DP66"/>
  <c r="DP75"/>
  <c r="DP76" s="1"/>
  <c r="DP77"/>
  <c r="DO182" i="26"/>
  <c r="DO190" s="1"/>
  <c r="DO173"/>
  <c r="DO187"/>
  <c r="DP172"/>
  <c r="DQ137" i="35" l="1"/>
  <c r="DQ135"/>
  <c r="DQ136" s="1"/>
  <c r="DQ126"/>
  <c r="DQ112"/>
  <c r="DR111"/>
  <c r="DQ121"/>
  <c r="DQ129" s="1"/>
  <c r="DQ134" s="1"/>
  <c r="DQ107"/>
  <c r="DQ105"/>
  <c r="DQ106" s="1"/>
  <c r="DQ96"/>
  <c r="DQ91"/>
  <c r="DQ99" s="1"/>
  <c r="DQ104" s="1"/>
  <c r="DQ82"/>
  <c r="DR81"/>
  <c r="DR51"/>
  <c r="DQ52"/>
  <c r="DQ61"/>
  <c r="DQ69" s="1"/>
  <c r="DQ74" s="1"/>
  <c r="DQ66"/>
  <c r="DQ75"/>
  <c r="DQ76" s="1"/>
  <c r="DQ77"/>
  <c r="DP182" i="26"/>
  <c r="DP190" s="1"/>
  <c r="DP173"/>
  <c r="DP187"/>
  <c r="DQ172"/>
  <c r="DR137" i="35" l="1"/>
  <c r="DR135"/>
  <c r="DR136" s="1"/>
  <c r="DR126"/>
  <c r="DR121"/>
  <c r="DR129" s="1"/>
  <c r="DR134" s="1"/>
  <c r="DS111"/>
  <c r="DR112"/>
  <c r="DR107"/>
  <c r="DR105"/>
  <c r="DR106" s="1"/>
  <c r="DR96"/>
  <c r="DR82"/>
  <c r="DS81"/>
  <c r="DR91"/>
  <c r="DR99" s="1"/>
  <c r="DR104" s="1"/>
  <c r="DS51"/>
  <c r="DR61"/>
  <c r="DR69" s="1"/>
  <c r="DR74" s="1"/>
  <c r="DR52"/>
  <c r="DR66"/>
  <c r="DR75"/>
  <c r="DR77"/>
  <c r="DR76"/>
  <c r="DQ182" i="26"/>
  <c r="DQ190" s="1"/>
  <c r="DQ173"/>
  <c r="DQ187"/>
  <c r="DR172"/>
  <c r="DS137" i="35" l="1"/>
  <c r="DS135"/>
  <c r="DS136" s="1"/>
  <c r="DS126"/>
  <c r="DS112"/>
  <c r="DT111"/>
  <c r="DS121"/>
  <c r="DS129" s="1"/>
  <c r="DS134" s="1"/>
  <c r="DS107"/>
  <c r="DS105"/>
  <c r="DS106" s="1"/>
  <c r="DS96"/>
  <c r="DS91"/>
  <c r="DS99" s="1"/>
  <c r="DS104" s="1"/>
  <c r="DS82"/>
  <c r="DT81"/>
  <c r="DT51"/>
  <c r="DS52"/>
  <c r="DS61"/>
  <c r="DS69" s="1"/>
  <c r="DS74" s="1"/>
  <c r="DS66"/>
  <c r="DS75"/>
  <c r="DS77"/>
  <c r="DS76"/>
  <c r="DR182" i="26"/>
  <c r="DR190" s="1"/>
  <c r="DR173"/>
  <c r="DR187"/>
  <c r="DS172"/>
  <c r="DT137" i="35" l="1"/>
  <c r="DT135"/>
  <c r="DT136" s="1"/>
  <c r="DT126"/>
  <c r="DT121"/>
  <c r="DT129" s="1"/>
  <c r="DT134" s="1"/>
  <c r="DT112"/>
  <c r="DU111"/>
  <c r="DT107"/>
  <c r="DT105"/>
  <c r="DT106" s="1"/>
  <c r="DT96"/>
  <c r="DT82"/>
  <c r="DU81"/>
  <c r="DT91"/>
  <c r="DT99" s="1"/>
  <c r="DT104" s="1"/>
  <c r="DT52"/>
  <c r="DT61"/>
  <c r="DT69" s="1"/>
  <c r="DT74" s="1"/>
  <c r="DU51"/>
  <c r="DT66"/>
  <c r="DT75"/>
  <c r="DT77"/>
  <c r="DT76"/>
  <c r="DS182" i="26"/>
  <c r="DS190" s="1"/>
  <c r="DS173"/>
  <c r="DS187"/>
  <c r="DT172"/>
  <c r="DU137" i="35" l="1"/>
  <c r="DU135"/>
  <c r="DU136" s="1"/>
  <c r="DU126"/>
  <c r="DU112"/>
  <c r="DV111"/>
  <c r="DU121"/>
  <c r="DU129" s="1"/>
  <c r="DU134" s="1"/>
  <c r="DU107"/>
  <c r="DU105"/>
  <c r="DU106" s="1"/>
  <c r="DU96"/>
  <c r="DU91"/>
  <c r="DU99" s="1"/>
  <c r="DU104" s="1"/>
  <c r="DU82"/>
  <c r="DV81"/>
  <c r="DV51"/>
  <c r="DU52"/>
  <c r="DU61"/>
  <c r="DU69" s="1"/>
  <c r="DU74" s="1"/>
  <c r="DU66"/>
  <c r="DU75"/>
  <c r="DU76" s="1"/>
  <c r="DU77"/>
  <c r="DT182" i="26"/>
  <c r="DT190" s="1"/>
  <c r="DT173"/>
  <c r="DT187"/>
  <c r="DU172"/>
  <c r="DV137" i="35" l="1"/>
  <c r="DV135"/>
  <c r="DV136" s="1"/>
  <c r="DV126"/>
  <c r="DV121"/>
  <c r="DV129" s="1"/>
  <c r="DV134" s="1"/>
  <c r="DV112"/>
  <c r="DW111"/>
  <c r="DV107"/>
  <c r="DV105"/>
  <c r="DV106" s="1"/>
  <c r="DV96"/>
  <c r="DV82"/>
  <c r="DW81"/>
  <c r="DV91"/>
  <c r="DV99" s="1"/>
  <c r="DV104" s="1"/>
  <c r="DW51"/>
  <c r="DV61"/>
  <c r="DV69" s="1"/>
  <c r="DV74" s="1"/>
  <c r="DV52"/>
  <c r="DV66"/>
  <c r="DV75"/>
  <c r="DV76" s="1"/>
  <c r="DV77"/>
  <c r="Q69"/>
  <c r="DU182" i="26"/>
  <c r="DU173"/>
  <c r="DU187"/>
  <c r="DV172"/>
  <c r="DW137" i="35" l="1"/>
  <c r="DW135"/>
  <c r="DW136" s="1"/>
  <c r="DW126"/>
  <c r="DW112"/>
  <c r="DX111"/>
  <c r="DW121"/>
  <c r="DW129" s="1"/>
  <c r="DW134" s="1"/>
  <c r="DW107"/>
  <c r="DW105"/>
  <c r="DW106" s="1"/>
  <c r="DW96"/>
  <c r="DW91"/>
  <c r="DW99" s="1"/>
  <c r="DW104" s="1"/>
  <c r="DW82"/>
  <c r="DX81"/>
  <c r="Q74"/>
  <c r="DX51"/>
  <c r="DW52"/>
  <c r="DW61"/>
  <c r="DW69" s="1"/>
  <c r="DW74" s="1"/>
  <c r="DW66"/>
  <c r="DW75"/>
  <c r="DW77"/>
  <c r="DW76"/>
  <c r="DV182" i="26"/>
  <c r="DV190" s="1"/>
  <c r="DV173"/>
  <c r="DV187"/>
  <c r="DW172"/>
  <c r="DX137" i="35" l="1"/>
  <c r="DX135"/>
  <c r="DX136" s="1"/>
  <c r="DX126"/>
  <c r="DX121"/>
  <c r="DX129" s="1"/>
  <c r="DX112"/>
  <c r="DY111"/>
  <c r="DX107"/>
  <c r="DX105"/>
  <c r="DX106" s="1"/>
  <c r="DX96"/>
  <c r="DX82"/>
  <c r="DY81"/>
  <c r="DX91"/>
  <c r="DX99" s="1"/>
  <c r="DX104" s="1"/>
  <c r="DX52"/>
  <c r="DX61"/>
  <c r="DX69" s="1"/>
  <c r="DX74" s="1"/>
  <c r="DY51"/>
  <c r="DX66"/>
  <c r="DX75"/>
  <c r="DX76" s="1"/>
  <c r="DX77"/>
  <c r="DW182" i="26"/>
  <c r="DW190" s="1"/>
  <c r="DW173"/>
  <c r="DW187"/>
  <c r="DX172"/>
  <c r="DX134" i="35" l="1"/>
  <c r="DY137"/>
  <c r="DY135"/>
  <c r="DY136" s="1"/>
  <c r="DY126"/>
  <c r="DY112"/>
  <c r="DZ111"/>
  <c r="DY121"/>
  <c r="DY129" s="1"/>
  <c r="DY134" s="1"/>
  <c r="DY107"/>
  <c r="DY105"/>
  <c r="DY106" s="1"/>
  <c r="DY96"/>
  <c r="DY91"/>
  <c r="DY99" s="1"/>
  <c r="DY104" s="1"/>
  <c r="DY82"/>
  <c r="DZ81"/>
  <c r="DZ51"/>
  <c r="DY52"/>
  <c r="DY61"/>
  <c r="DY69" s="1"/>
  <c r="DY74" s="1"/>
  <c r="DY66"/>
  <c r="DY75"/>
  <c r="DY77"/>
  <c r="DY76"/>
  <c r="DX182" i="26"/>
  <c r="DX190" s="1"/>
  <c r="DX173"/>
  <c r="DX187"/>
  <c r="DY172"/>
  <c r="DZ137" i="35" l="1"/>
  <c r="DZ135"/>
  <c r="DZ136" s="1"/>
  <c r="DZ126"/>
  <c r="DZ121"/>
  <c r="DZ129" s="1"/>
  <c r="DZ134" s="1"/>
  <c r="EA111"/>
  <c r="DZ112"/>
  <c r="DZ107"/>
  <c r="DZ105"/>
  <c r="DZ106" s="1"/>
  <c r="DZ96"/>
  <c r="DZ82"/>
  <c r="EA81"/>
  <c r="DZ91"/>
  <c r="DZ99" s="1"/>
  <c r="DZ104" s="1"/>
  <c r="EA51"/>
  <c r="DZ61"/>
  <c r="DZ69" s="1"/>
  <c r="DZ74" s="1"/>
  <c r="DZ52"/>
  <c r="DZ66"/>
  <c r="DZ75"/>
  <c r="DZ76" s="1"/>
  <c r="DZ77"/>
  <c r="DY182" i="26"/>
  <c r="DY190" s="1"/>
  <c r="DY173"/>
  <c r="DY187"/>
  <c r="DZ172"/>
  <c r="EA137" i="35" l="1"/>
  <c r="EA135"/>
  <c r="EA136" s="1"/>
  <c r="EA126"/>
  <c r="EA112"/>
  <c r="EB111"/>
  <c r="EA121"/>
  <c r="EA129" s="1"/>
  <c r="EA134" s="1"/>
  <c r="EA107"/>
  <c r="EA105"/>
  <c r="EA106" s="1"/>
  <c r="EA96"/>
  <c r="EA91"/>
  <c r="EA99" s="1"/>
  <c r="EA104" s="1"/>
  <c r="EA82"/>
  <c r="EB81"/>
  <c r="EB51"/>
  <c r="EA52"/>
  <c r="EA61"/>
  <c r="EA69" s="1"/>
  <c r="EA74" s="1"/>
  <c r="EA66"/>
  <c r="EA75"/>
  <c r="EA76" s="1"/>
  <c r="EA77"/>
  <c r="DZ182" i="26"/>
  <c r="DZ190" s="1"/>
  <c r="DZ173"/>
  <c r="DZ187"/>
  <c r="EA172"/>
  <c r="EB137" i="35" l="1"/>
  <c r="EB135"/>
  <c r="EB136" s="1"/>
  <c r="EB126"/>
  <c r="EB121"/>
  <c r="EB129" s="1"/>
  <c r="EB134" s="1"/>
  <c r="EB112"/>
  <c r="EC111"/>
  <c r="EB107"/>
  <c r="EB105"/>
  <c r="EB106" s="1"/>
  <c r="EB96"/>
  <c r="EB82"/>
  <c r="EC81"/>
  <c r="EB91"/>
  <c r="EB99" s="1"/>
  <c r="EB104" s="1"/>
  <c r="EB52"/>
  <c r="EB61"/>
  <c r="EB69" s="1"/>
  <c r="EB74" s="1"/>
  <c r="EC51"/>
  <c r="EB66"/>
  <c r="EB75"/>
  <c r="EB76" s="1"/>
  <c r="EB77"/>
  <c r="EA182" i="26"/>
  <c r="EA190" s="1"/>
  <c r="EA173"/>
  <c r="EA187"/>
  <c r="EB172"/>
  <c r="EC137" i="35" l="1"/>
  <c r="EC135"/>
  <c r="EC136" s="1"/>
  <c r="EC126"/>
  <c r="EC112"/>
  <c r="ED111"/>
  <c r="EC121"/>
  <c r="EC129" s="1"/>
  <c r="EC134" s="1"/>
  <c r="EC107"/>
  <c r="EC105"/>
  <c r="EC106" s="1"/>
  <c r="EC96"/>
  <c r="EC91"/>
  <c r="EC99" s="1"/>
  <c r="EC104" s="1"/>
  <c r="EC82"/>
  <c r="ED81"/>
  <c r="ED51"/>
  <c r="EC52"/>
  <c r="EC61"/>
  <c r="EC69" s="1"/>
  <c r="EC74" s="1"/>
  <c r="EC66"/>
  <c r="EC75"/>
  <c r="EC76" s="1"/>
  <c r="EC77"/>
  <c r="EB182" i="26"/>
  <c r="EB190" s="1"/>
  <c r="EB173"/>
  <c r="EB187"/>
  <c r="EC172"/>
  <c r="ED137" i="35" l="1"/>
  <c r="ED135"/>
  <c r="ED136" s="1"/>
  <c r="ED126"/>
  <c r="ED121"/>
  <c r="ED129" s="1"/>
  <c r="ED134" s="1"/>
  <c r="ED112"/>
  <c r="EE111"/>
  <c r="ED107"/>
  <c r="ED105"/>
  <c r="ED106" s="1"/>
  <c r="ED96"/>
  <c r="ED82"/>
  <c r="EE81"/>
  <c r="ED91"/>
  <c r="ED99" s="1"/>
  <c r="ED104" s="1"/>
  <c r="EE51"/>
  <c r="ED61"/>
  <c r="ED69" s="1"/>
  <c r="ED74" s="1"/>
  <c r="ED52"/>
  <c r="ED66"/>
  <c r="ED75"/>
  <c r="ED76" s="1"/>
  <c r="ED77"/>
  <c r="EC182" i="26"/>
  <c r="EC190" s="1"/>
  <c r="EC173"/>
  <c r="EC187"/>
  <c r="ED172"/>
  <c r="EE137" i="35" l="1"/>
  <c r="EE135"/>
  <c r="EE136" s="1"/>
  <c r="EE126"/>
  <c r="EE112"/>
  <c r="EF111"/>
  <c r="EE121"/>
  <c r="EE129" s="1"/>
  <c r="EE134" s="1"/>
  <c r="EE107"/>
  <c r="EE105"/>
  <c r="EE106" s="1"/>
  <c r="EE96"/>
  <c r="EE91"/>
  <c r="EE99" s="1"/>
  <c r="EE104" s="1"/>
  <c r="EE82"/>
  <c r="EF81"/>
  <c r="EF51"/>
  <c r="EE52"/>
  <c r="EE61"/>
  <c r="EE69" s="1"/>
  <c r="EE74" s="1"/>
  <c r="EE66"/>
  <c r="EE75"/>
  <c r="EE76" s="1"/>
  <c r="EE77"/>
  <c r="ED182" i="26"/>
  <c r="ED190" s="1"/>
  <c r="ED173"/>
  <c r="ED187"/>
  <c r="EE172"/>
  <c r="S134" i="35" l="1"/>
  <c r="EF137"/>
  <c r="EF135"/>
  <c r="EF136" s="1"/>
  <c r="EF126"/>
  <c r="EF121"/>
  <c r="EF129" s="1"/>
  <c r="EF134" s="1"/>
  <c r="EF112"/>
  <c r="EG111"/>
  <c r="EF107"/>
  <c r="EF105"/>
  <c r="EF106" s="1"/>
  <c r="EF96"/>
  <c r="EF82"/>
  <c r="EG81"/>
  <c r="EF91"/>
  <c r="EF99" s="1"/>
  <c r="EF104" s="1"/>
  <c r="EF52"/>
  <c r="EF61"/>
  <c r="EF69" s="1"/>
  <c r="EF74" s="1"/>
  <c r="EG51"/>
  <c r="EF66"/>
  <c r="EF75"/>
  <c r="EF76" s="1"/>
  <c r="EF77"/>
  <c r="EE182" i="26"/>
  <c r="EE190" s="1"/>
  <c r="EE173"/>
  <c r="EE187"/>
  <c r="EF172"/>
  <c r="EG137" i="35" l="1"/>
  <c r="EG135"/>
  <c r="EG136" s="1"/>
  <c r="EG126"/>
  <c r="EG112"/>
  <c r="EH111"/>
  <c r="EG121"/>
  <c r="EG129" s="1"/>
  <c r="EG134" s="1"/>
  <c r="EG107"/>
  <c r="EG105"/>
  <c r="EG106" s="1"/>
  <c r="EG96"/>
  <c r="EG91"/>
  <c r="EG99" s="1"/>
  <c r="EG104" s="1"/>
  <c r="EG82"/>
  <c r="EH81"/>
  <c r="EH51"/>
  <c r="EG52"/>
  <c r="EG61"/>
  <c r="EG69" s="1"/>
  <c r="EG74" s="1"/>
  <c r="EG66"/>
  <c r="EG75"/>
  <c r="EG76" s="1"/>
  <c r="EG77"/>
  <c r="EF182" i="26"/>
  <c r="EF190" s="1"/>
  <c r="EF173"/>
  <c r="EF187"/>
  <c r="EG172"/>
  <c r="EH137" i="35" l="1"/>
  <c r="EH135"/>
  <c r="EH136" s="1"/>
  <c r="EH126"/>
  <c r="EH121"/>
  <c r="EH129" s="1"/>
  <c r="EH134" s="1"/>
  <c r="EI111"/>
  <c r="EH112"/>
  <c r="EH107"/>
  <c r="EH105"/>
  <c r="EH106" s="1"/>
  <c r="EH96"/>
  <c r="EH82"/>
  <c r="EI81"/>
  <c r="EH91"/>
  <c r="EH99" s="1"/>
  <c r="EH104" s="1"/>
  <c r="EI51"/>
  <c r="EH61"/>
  <c r="EH69" s="1"/>
  <c r="EH74" s="1"/>
  <c r="EH52"/>
  <c r="EH66"/>
  <c r="EH75"/>
  <c r="EH76" s="1"/>
  <c r="EH77"/>
  <c r="EG182" i="26"/>
  <c r="EG190" s="1"/>
  <c r="EG173"/>
  <c r="EG187"/>
  <c r="EH172"/>
  <c r="EI137" i="35" l="1"/>
  <c r="EI135"/>
  <c r="EI136" s="1"/>
  <c r="EI126"/>
  <c r="EI112"/>
  <c r="EJ111"/>
  <c r="EI121"/>
  <c r="EI129" s="1"/>
  <c r="EI134" s="1"/>
  <c r="EI107"/>
  <c r="EI105"/>
  <c r="EI106" s="1"/>
  <c r="EI96"/>
  <c r="EI91"/>
  <c r="EI99" s="1"/>
  <c r="EI104" s="1"/>
  <c r="EI82"/>
  <c r="EJ81"/>
  <c r="EJ51"/>
  <c r="EI52"/>
  <c r="EI61"/>
  <c r="EI69" s="1"/>
  <c r="EI74" s="1"/>
  <c r="EI66"/>
  <c r="EI75"/>
  <c r="EI76" s="1"/>
  <c r="EI77"/>
  <c r="EH182" i="26"/>
  <c r="EH190" s="1"/>
  <c r="EH173"/>
  <c r="EH187"/>
  <c r="EI172"/>
  <c r="EJ137" i="35" l="1"/>
  <c r="EJ135"/>
  <c r="EJ136" s="1"/>
  <c r="EJ126"/>
  <c r="EJ121"/>
  <c r="EJ129" s="1"/>
  <c r="EJ112"/>
  <c r="EK111"/>
  <c r="EJ107"/>
  <c r="EJ105"/>
  <c r="EJ106" s="1"/>
  <c r="EJ96"/>
  <c r="EJ82"/>
  <c r="EK81"/>
  <c r="EJ91"/>
  <c r="EJ99" s="1"/>
  <c r="EJ104" s="1"/>
  <c r="EJ52"/>
  <c r="EJ61"/>
  <c r="EJ69" s="1"/>
  <c r="EJ74" s="1"/>
  <c r="EK51"/>
  <c r="EJ66"/>
  <c r="EJ75"/>
  <c r="EJ76" s="1"/>
  <c r="EJ77"/>
  <c r="EI182" i="26"/>
  <c r="EI190" s="1"/>
  <c r="EI173"/>
  <c r="EI187"/>
  <c r="EJ172"/>
  <c r="EJ134" i="35" l="1"/>
  <c r="EK137"/>
  <c r="EK135"/>
  <c r="EK136" s="1"/>
  <c r="EK126"/>
  <c r="EK112"/>
  <c r="EL111"/>
  <c r="EK121"/>
  <c r="EK129" s="1"/>
  <c r="EK134" s="1"/>
  <c r="EK107"/>
  <c r="EK105"/>
  <c r="EK106" s="1"/>
  <c r="EK96"/>
  <c r="EK91"/>
  <c r="EK99" s="1"/>
  <c r="EK104" s="1"/>
  <c r="EK82"/>
  <c r="EL81"/>
  <c r="EL51"/>
  <c r="EK52"/>
  <c r="EK61"/>
  <c r="EK69" s="1"/>
  <c r="EK74" s="1"/>
  <c r="EK66"/>
  <c r="EK75"/>
  <c r="EK76" s="1"/>
  <c r="EK77"/>
  <c r="EJ182" i="26"/>
  <c r="EJ190" s="1"/>
  <c r="EJ173"/>
  <c r="EJ187"/>
  <c r="EK172"/>
  <c r="U99" i="35" l="1"/>
  <c r="EL137"/>
  <c r="EL135"/>
  <c r="EL136" s="1"/>
  <c r="EL126"/>
  <c r="EL121"/>
  <c r="EL129" s="1"/>
  <c r="EL134" s="1"/>
  <c r="EL112"/>
  <c r="EM111"/>
  <c r="EL107"/>
  <c r="EL105"/>
  <c r="EL106" s="1"/>
  <c r="EL96"/>
  <c r="EL82"/>
  <c r="EM81"/>
  <c r="EL91"/>
  <c r="EL99" s="1"/>
  <c r="EL104" s="1"/>
  <c r="EM51"/>
  <c r="EL61"/>
  <c r="EL69" s="1"/>
  <c r="EL74" s="1"/>
  <c r="EL52"/>
  <c r="EL66"/>
  <c r="EL75"/>
  <c r="EL76" s="1"/>
  <c r="EL77"/>
  <c r="EK182" i="26"/>
  <c r="EK190" s="1"/>
  <c r="EK173"/>
  <c r="EK187"/>
  <c r="EL172"/>
  <c r="EM137" i="35" l="1"/>
  <c r="EM135"/>
  <c r="EM136" s="1"/>
  <c r="EM126"/>
  <c r="EM112"/>
  <c r="EN111"/>
  <c r="EM121"/>
  <c r="EM129" s="1"/>
  <c r="EM134" s="1"/>
  <c r="EM107"/>
  <c r="EM105"/>
  <c r="EM106" s="1"/>
  <c r="EM96"/>
  <c r="EM91"/>
  <c r="EM99" s="1"/>
  <c r="EM104" s="1"/>
  <c r="EM82"/>
  <c r="EN81"/>
  <c r="EN51"/>
  <c r="EM52"/>
  <c r="EM61"/>
  <c r="EM69" s="1"/>
  <c r="EM74" s="1"/>
  <c r="EM66"/>
  <c r="EM75"/>
  <c r="EM76" s="1"/>
  <c r="EM77"/>
  <c r="EL182" i="26"/>
  <c r="EL190" s="1"/>
  <c r="EL173"/>
  <c r="EL187"/>
  <c r="EM172"/>
  <c r="EN137" i="35" l="1"/>
  <c r="EN135"/>
  <c r="EN136" s="1"/>
  <c r="EN126"/>
  <c r="EN121"/>
  <c r="EN129" s="1"/>
  <c r="EN134" s="1"/>
  <c r="EN112"/>
  <c r="EO111"/>
  <c r="EN107"/>
  <c r="EN105"/>
  <c r="EN106" s="1"/>
  <c r="EN96"/>
  <c r="EN82"/>
  <c r="EO81"/>
  <c r="EN91"/>
  <c r="EN99" s="1"/>
  <c r="EN104" s="1"/>
  <c r="EN52"/>
  <c r="EN61"/>
  <c r="EN69" s="1"/>
  <c r="EN74" s="1"/>
  <c r="EO51"/>
  <c r="EN66"/>
  <c r="EN75"/>
  <c r="EN76" s="1"/>
  <c r="EN77"/>
  <c r="EM182" i="26"/>
  <c r="EM190" s="1"/>
  <c r="EM173"/>
  <c r="EM187"/>
  <c r="EN172"/>
  <c r="EO137" i="35" l="1"/>
  <c r="EO135"/>
  <c r="EO136" s="1"/>
  <c r="EO126"/>
  <c r="EO121"/>
  <c r="EO129" s="1"/>
  <c r="EO134" s="1"/>
  <c r="EO112"/>
  <c r="EP111"/>
  <c r="EO107"/>
  <c r="EO105"/>
  <c r="EO106" s="1"/>
  <c r="EO96"/>
  <c r="EO91"/>
  <c r="EO99" s="1"/>
  <c r="EO104" s="1"/>
  <c r="EO82"/>
  <c r="EP81"/>
  <c r="EP51"/>
  <c r="EO52"/>
  <c r="EO61"/>
  <c r="EO69" s="1"/>
  <c r="EO74" s="1"/>
  <c r="EO66"/>
  <c r="EO75"/>
  <c r="EO76" s="1"/>
  <c r="EO77"/>
  <c r="EN182" i="26"/>
  <c r="EN190" s="1"/>
  <c r="EN173"/>
  <c r="EN187"/>
  <c r="EO172"/>
  <c r="EP137" i="35" l="1"/>
  <c r="EP135"/>
  <c r="EP136" s="1"/>
  <c r="EP126"/>
  <c r="EP121"/>
  <c r="EP129" s="1"/>
  <c r="EP134" s="1"/>
  <c r="EQ111"/>
  <c r="EP112"/>
  <c r="EP107"/>
  <c r="EP105"/>
  <c r="EP106" s="1"/>
  <c r="EP96"/>
  <c r="EP82"/>
  <c r="EQ81"/>
  <c r="EP91"/>
  <c r="EP99" s="1"/>
  <c r="EP104" s="1"/>
  <c r="EQ51"/>
  <c r="EP61"/>
  <c r="EP69" s="1"/>
  <c r="EP74" s="1"/>
  <c r="EP52"/>
  <c r="EP66"/>
  <c r="EP75"/>
  <c r="EP76" s="1"/>
  <c r="EP77"/>
  <c r="EO182" i="26"/>
  <c r="EO190" s="1"/>
  <c r="EO173"/>
  <c r="EO187"/>
  <c r="EP172"/>
  <c r="EQ137" i="35" l="1"/>
  <c r="EQ135"/>
  <c r="EQ136" s="1"/>
  <c r="EQ126"/>
  <c r="EQ112"/>
  <c r="ER111"/>
  <c r="EQ121"/>
  <c r="EQ129" s="1"/>
  <c r="EQ134" s="1"/>
  <c r="EQ107"/>
  <c r="EQ105"/>
  <c r="EQ106" s="1"/>
  <c r="EQ96"/>
  <c r="EQ91"/>
  <c r="EQ99" s="1"/>
  <c r="EQ104" s="1"/>
  <c r="EQ82"/>
  <c r="ER81"/>
  <c r="ER51"/>
  <c r="EQ52"/>
  <c r="EQ61"/>
  <c r="EQ69" s="1"/>
  <c r="EQ74" s="1"/>
  <c r="EQ66"/>
  <c r="EQ75"/>
  <c r="EQ76" s="1"/>
  <c r="EQ77"/>
  <c r="EP182" i="26"/>
  <c r="EP190" s="1"/>
  <c r="EP173"/>
  <c r="EP187"/>
  <c r="EQ172"/>
  <c r="Y134" i="35" l="1"/>
  <c r="ER137"/>
  <c r="ER135"/>
  <c r="ER136" s="1"/>
  <c r="ER126"/>
  <c r="ER121"/>
  <c r="ER129" s="1"/>
  <c r="ER134" s="1"/>
  <c r="ER112"/>
  <c r="ES111"/>
  <c r="ER107"/>
  <c r="ER105"/>
  <c r="ER106" s="1"/>
  <c r="ER96"/>
  <c r="ER82"/>
  <c r="ES81"/>
  <c r="ER91"/>
  <c r="ER99" s="1"/>
  <c r="ER104" s="1"/>
  <c r="ER52"/>
  <c r="ER61"/>
  <c r="ER69" s="1"/>
  <c r="ER74" s="1"/>
  <c r="ES51"/>
  <c r="ER66"/>
  <c r="ER75"/>
  <c r="ER76" s="1"/>
  <c r="ER77"/>
  <c r="EQ182" i="26"/>
  <c r="EQ190" s="1"/>
  <c r="EQ173"/>
  <c r="EQ187"/>
  <c r="ER172"/>
  <c r="ES137" i="35" l="1"/>
  <c r="ES135"/>
  <c r="ES136" s="1"/>
  <c r="ES126"/>
  <c r="ES121"/>
  <c r="ES129" s="1"/>
  <c r="ES134" s="1"/>
  <c r="ES112"/>
  <c r="ET111"/>
  <c r="ES107"/>
  <c r="ES105"/>
  <c r="ES106" s="1"/>
  <c r="ES96"/>
  <c r="ES91"/>
  <c r="ES99" s="1"/>
  <c r="ES104" s="1"/>
  <c r="ES82"/>
  <c r="ET81"/>
  <c r="ET51"/>
  <c r="ES52"/>
  <c r="ES61"/>
  <c r="ES69" s="1"/>
  <c r="ES74" s="1"/>
  <c r="ES66"/>
  <c r="ES75"/>
  <c r="ES76" s="1"/>
  <c r="ES77"/>
  <c r="ER182" i="26"/>
  <c r="ER190" s="1"/>
  <c r="ER173"/>
  <c r="ER187"/>
  <c r="ES172"/>
  <c r="ET137" i="35" l="1"/>
  <c r="ET135"/>
  <c r="ET136" s="1"/>
  <c r="ET126"/>
  <c r="ET121"/>
  <c r="ET129" s="1"/>
  <c r="ET134" s="1"/>
  <c r="ET112"/>
  <c r="EU111"/>
  <c r="ET107"/>
  <c r="ET105"/>
  <c r="ET106" s="1"/>
  <c r="ET96"/>
  <c r="ET82"/>
  <c r="EU81"/>
  <c r="ET91"/>
  <c r="ET99" s="1"/>
  <c r="ET104" s="1"/>
  <c r="EU51"/>
  <c r="ET61"/>
  <c r="ET69" s="1"/>
  <c r="ET74" s="1"/>
  <c r="ET52"/>
  <c r="ET66"/>
  <c r="ET75"/>
  <c r="ET76" s="1"/>
  <c r="ET77"/>
  <c r="ES182" i="26"/>
  <c r="ES190" s="1"/>
  <c r="ES173"/>
  <c r="ES187"/>
  <c r="ET172"/>
  <c r="EU137" i="35" l="1"/>
  <c r="EU135"/>
  <c r="EU136" s="1"/>
  <c r="EU126"/>
  <c r="EU112"/>
  <c r="EV111"/>
  <c r="EU121"/>
  <c r="EU129" s="1"/>
  <c r="EU134" s="1"/>
  <c r="EU107"/>
  <c r="EU105"/>
  <c r="EU106" s="1"/>
  <c r="EU96"/>
  <c r="EU91"/>
  <c r="EU99" s="1"/>
  <c r="EU104" s="1"/>
  <c r="EU82"/>
  <c r="EV81"/>
  <c r="EV51"/>
  <c r="EU52"/>
  <c r="EU61"/>
  <c r="EU69" s="1"/>
  <c r="EU74" s="1"/>
  <c r="EU66"/>
  <c r="EU75"/>
  <c r="EU76" s="1"/>
  <c r="EU77"/>
  <c r="ET182" i="26"/>
  <c r="ET190" s="1"/>
  <c r="ET173"/>
  <c r="ET187"/>
  <c r="EU172"/>
  <c r="EV137" i="35" l="1"/>
  <c r="EV135"/>
  <c r="EV136" s="1"/>
  <c r="EV126"/>
  <c r="EV121"/>
  <c r="EV129" s="1"/>
  <c r="EV112"/>
  <c r="EW111"/>
  <c r="EV107"/>
  <c r="EV105"/>
  <c r="EV106" s="1"/>
  <c r="EV96"/>
  <c r="EV82"/>
  <c r="EW81"/>
  <c r="EV91"/>
  <c r="EV99" s="1"/>
  <c r="EV104" s="1"/>
  <c r="EV52"/>
  <c r="EV61"/>
  <c r="EV69" s="1"/>
  <c r="EV74" s="1"/>
  <c r="EW51"/>
  <c r="EV66"/>
  <c r="EV75"/>
  <c r="EV76" s="1"/>
  <c r="EV77"/>
  <c r="EU182" i="26"/>
  <c r="EU190" s="1"/>
  <c r="EU173"/>
  <c r="EU187"/>
  <c r="EV172"/>
  <c r="EV134" i="35" l="1"/>
  <c r="EW137"/>
  <c r="EW135"/>
  <c r="EW126"/>
  <c r="EW121"/>
  <c r="EW129" s="1"/>
  <c r="EW134" s="1"/>
  <c r="EW112"/>
  <c r="EX111"/>
  <c r="EW136"/>
  <c r="EW107"/>
  <c r="EW105"/>
  <c r="EW106" s="1"/>
  <c r="EW96"/>
  <c r="EW91"/>
  <c r="EW99" s="1"/>
  <c r="EW104" s="1"/>
  <c r="EW82"/>
  <c r="EX81"/>
  <c r="EX51"/>
  <c r="EW52"/>
  <c r="EW61"/>
  <c r="EW69" s="1"/>
  <c r="EW74" s="1"/>
  <c r="EW66"/>
  <c r="EW75"/>
  <c r="EW76" s="1"/>
  <c r="EW77"/>
  <c r="EV182" i="26"/>
  <c r="EV190" s="1"/>
  <c r="EV173"/>
  <c r="EV187"/>
  <c r="EW172"/>
  <c r="EX137" i="35" l="1"/>
  <c r="EX135"/>
  <c r="EX136" s="1"/>
  <c r="EX126"/>
  <c r="EX121"/>
  <c r="EX129" s="1"/>
  <c r="EY111"/>
  <c r="EX112"/>
  <c r="EX107"/>
  <c r="EX105"/>
  <c r="EX106" s="1"/>
  <c r="EX96"/>
  <c r="EX82"/>
  <c r="EY81"/>
  <c r="EX91"/>
  <c r="EX99" s="1"/>
  <c r="EX104" s="1"/>
  <c r="EY51"/>
  <c r="EX61"/>
  <c r="EX69" s="1"/>
  <c r="EX74" s="1"/>
  <c r="EX52"/>
  <c r="EX66"/>
  <c r="EX75"/>
  <c r="EX76" s="1"/>
  <c r="EX77"/>
  <c r="AC69"/>
  <c r="EW182" i="26"/>
  <c r="EW190" s="1"/>
  <c r="EW173"/>
  <c r="EW187"/>
  <c r="EX172"/>
  <c r="EX134" i="35" l="1"/>
  <c r="EY137"/>
  <c r="EY135"/>
  <c r="EY136" s="1"/>
  <c r="EY126"/>
  <c r="EY112"/>
  <c r="EZ111"/>
  <c r="EY121"/>
  <c r="EY129" s="1"/>
  <c r="EY134" s="1"/>
  <c r="EY107"/>
  <c r="EY105"/>
  <c r="EY106" s="1"/>
  <c r="EY96"/>
  <c r="EY91"/>
  <c r="EY99" s="1"/>
  <c r="EY104" s="1"/>
  <c r="EY82"/>
  <c r="EZ81"/>
  <c r="AC74"/>
  <c r="EZ51"/>
  <c r="EY52"/>
  <c r="EY61"/>
  <c r="EY69" s="1"/>
  <c r="EY74" s="1"/>
  <c r="EY66"/>
  <c r="EY75"/>
  <c r="EY77"/>
  <c r="EY76"/>
  <c r="EX182" i="26"/>
  <c r="EX190" s="1"/>
  <c r="EX173"/>
  <c r="EX187"/>
  <c r="EY172"/>
  <c r="EZ137" i="35" l="1"/>
  <c r="EZ135"/>
  <c r="EZ126"/>
  <c r="EZ121"/>
  <c r="EZ129" s="1"/>
  <c r="EZ112"/>
  <c r="FA111"/>
  <c r="EZ136"/>
  <c r="EZ107"/>
  <c r="EZ105"/>
  <c r="EZ106" s="1"/>
  <c r="EZ96"/>
  <c r="EZ82"/>
  <c r="FA81"/>
  <c r="EZ91"/>
  <c r="EZ99" s="1"/>
  <c r="EZ104" s="1"/>
  <c r="EZ52"/>
  <c r="EZ61"/>
  <c r="EZ69" s="1"/>
  <c r="EZ74" s="1"/>
  <c r="FA51"/>
  <c r="EZ66"/>
  <c r="EZ75"/>
  <c r="EZ76" s="1"/>
  <c r="EZ77"/>
  <c r="EY182" i="26"/>
  <c r="EY190" s="1"/>
  <c r="EY173"/>
  <c r="EY187"/>
  <c r="EZ172"/>
  <c r="EZ134" i="35" l="1"/>
  <c r="FA137"/>
  <c r="FA135"/>
  <c r="FA126"/>
  <c r="FA121"/>
  <c r="FA129" s="1"/>
  <c r="FA134" s="1"/>
  <c r="FA112"/>
  <c r="FB111"/>
  <c r="FA136"/>
  <c r="FA107"/>
  <c r="FA105"/>
  <c r="FA106" s="1"/>
  <c r="FA96"/>
  <c r="FA91"/>
  <c r="FA99" s="1"/>
  <c r="FA104" s="1"/>
  <c r="FA82"/>
  <c r="FB81"/>
  <c r="FB51"/>
  <c r="FA52"/>
  <c r="FA61"/>
  <c r="FA69" s="1"/>
  <c r="FA74" s="1"/>
  <c r="FA66"/>
  <c r="FA75"/>
  <c r="FA76" s="1"/>
  <c r="FA77"/>
  <c r="EZ182" i="26"/>
  <c r="EZ190" s="1"/>
  <c r="EZ173"/>
  <c r="EZ187"/>
  <c r="FA172"/>
  <c r="FB137" i="35" l="1"/>
  <c r="FB135"/>
  <c r="FB136" s="1"/>
  <c r="FB126"/>
  <c r="FB121"/>
  <c r="FB129" s="1"/>
  <c r="FB112"/>
  <c r="FC111"/>
  <c r="FB107"/>
  <c r="FB105"/>
  <c r="FB106" s="1"/>
  <c r="FB96"/>
  <c r="FB82"/>
  <c r="FC81"/>
  <c r="FB91"/>
  <c r="FB99" s="1"/>
  <c r="FB104" s="1"/>
  <c r="FC51"/>
  <c r="FB61"/>
  <c r="FB69" s="1"/>
  <c r="FB74" s="1"/>
  <c r="FB52"/>
  <c r="FB66"/>
  <c r="FB75"/>
  <c r="FB76" s="1"/>
  <c r="FB77"/>
  <c r="FA182" i="26"/>
  <c r="FA190" s="1"/>
  <c r="FA173"/>
  <c r="FA187"/>
  <c r="FB172"/>
  <c r="FB134" i="35" l="1"/>
  <c r="FC137"/>
  <c r="FC135"/>
  <c r="FC136" s="1"/>
  <c r="FC126"/>
  <c r="FC112"/>
  <c r="FD111"/>
  <c r="FC121"/>
  <c r="FC129" s="1"/>
  <c r="FC134" s="1"/>
  <c r="FC107"/>
  <c r="FC105"/>
  <c r="FC106" s="1"/>
  <c r="FC96"/>
  <c r="FC91"/>
  <c r="FC99" s="1"/>
  <c r="FC104" s="1"/>
  <c r="FC82"/>
  <c r="FD81"/>
  <c r="FD51"/>
  <c r="FC52"/>
  <c r="FC61"/>
  <c r="FC69" s="1"/>
  <c r="FC74" s="1"/>
  <c r="FC66"/>
  <c r="FC75"/>
  <c r="FC76" s="1"/>
  <c r="FC77"/>
  <c r="FB182" i="26"/>
  <c r="FB190" s="1"/>
  <c r="FB173"/>
  <c r="FB187"/>
  <c r="FC172"/>
  <c r="FD137" i="35" l="1"/>
  <c r="FD135"/>
  <c r="FD136" s="1"/>
  <c r="FD126"/>
  <c r="FD121"/>
  <c r="FD129" s="1"/>
  <c r="FD134" s="1"/>
  <c r="FD112"/>
  <c r="FE111"/>
  <c r="FD107"/>
  <c r="FD105"/>
  <c r="FD106" s="1"/>
  <c r="FD96"/>
  <c r="FD82"/>
  <c r="FE81"/>
  <c r="FD91"/>
  <c r="FD99" s="1"/>
  <c r="FD104" s="1"/>
  <c r="FD52"/>
  <c r="FD61"/>
  <c r="FD69" s="1"/>
  <c r="FD74" s="1"/>
  <c r="FE51"/>
  <c r="FD66"/>
  <c r="FD75"/>
  <c r="FD76" s="1"/>
  <c r="FD77"/>
  <c r="FC182" i="26"/>
  <c r="FC190" s="1"/>
  <c r="FC173"/>
  <c r="FC187"/>
  <c r="FD172"/>
  <c r="FE137" i="35" l="1"/>
  <c r="FE135"/>
  <c r="FE136" s="1"/>
  <c r="FE126"/>
  <c r="FE121"/>
  <c r="FE129" s="1"/>
  <c r="FE134" s="1"/>
  <c r="FE112"/>
  <c r="FF111"/>
  <c r="FE107"/>
  <c r="FE105"/>
  <c r="FE106" s="1"/>
  <c r="FE96"/>
  <c r="FE91"/>
  <c r="FE99" s="1"/>
  <c r="FE104" s="1"/>
  <c r="FE82"/>
  <c r="FF81"/>
  <c r="FF51"/>
  <c r="FE52"/>
  <c r="FE61"/>
  <c r="FE69" s="1"/>
  <c r="FE74" s="1"/>
  <c r="FE66"/>
  <c r="FE75"/>
  <c r="FE76" s="1"/>
  <c r="FE77"/>
  <c r="FD182" i="26"/>
  <c r="FD190" s="1"/>
  <c r="FD173"/>
  <c r="FD187"/>
  <c r="FE172"/>
  <c r="FF137" i="35" l="1"/>
  <c r="FF135"/>
  <c r="FF136" s="1"/>
  <c r="FF126"/>
  <c r="FF121"/>
  <c r="FF129" s="1"/>
  <c r="FF134" s="1"/>
  <c r="FG111"/>
  <c r="FF112"/>
  <c r="FF107"/>
  <c r="FF105"/>
  <c r="FF106" s="1"/>
  <c r="FF96"/>
  <c r="FF82"/>
  <c r="FG81"/>
  <c r="FF91"/>
  <c r="FF99" s="1"/>
  <c r="FF104" s="1"/>
  <c r="FG51"/>
  <c r="FF61"/>
  <c r="FF69" s="1"/>
  <c r="FF74" s="1"/>
  <c r="FF52"/>
  <c r="FF66"/>
  <c r="FF75"/>
  <c r="FF76" s="1"/>
  <c r="FF77"/>
  <c r="FE182" i="26"/>
  <c r="FE190" s="1"/>
  <c r="FE173"/>
  <c r="FE187"/>
  <c r="FF172"/>
  <c r="AE129" i="35" l="1"/>
  <c r="AE134" s="1"/>
  <c r="FG137"/>
  <c r="FG135"/>
  <c r="FG136" s="1"/>
  <c r="FG126"/>
  <c r="FG112"/>
  <c r="FH111"/>
  <c r="FG121"/>
  <c r="FG129" s="1"/>
  <c r="FG134" s="1"/>
  <c r="FG107"/>
  <c r="FG105"/>
  <c r="FG106" s="1"/>
  <c r="FG96"/>
  <c r="FG91"/>
  <c r="FG99" s="1"/>
  <c r="FG104" s="1"/>
  <c r="FG82"/>
  <c r="FH81"/>
  <c r="FH51"/>
  <c r="FG52"/>
  <c r="FG61"/>
  <c r="FG69" s="1"/>
  <c r="FG74" s="1"/>
  <c r="FG66"/>
  <c r="FG75"/>
  <c r="FG76" s="1"/>
  <c r="FG77"/>
  <c r="FF182" i="26"/>
  <c r="FF190" s="1"/>
  <c r="FF173"/>
  <c r="FF187"/>
  <c r="FG172"/>
  <c r="FH137" i="35" l="1"/>
  <c r="FH135"/>
  <c r="FH136" s="1"/>
  <c r="FH126"/>
  <c r="FH121"/>
  <c r="FH129" s="1"/>
  <c r="FH112"/>
  <c r="FI111"/>
  <c r="FH107"/>
  <c r="FH105"/>
  <c r="FH106" s="1"/>
  <c r="FH96"/>
  <c r="FH82"/>
  <c r="FI81"/>
  <c r="FH91"/>
  <c r="FH99" s="1"/>
  <c r="FH104" s="1"/>
  <c r="FH52"/>
  <c r="FH61"/>
  <c r="FH69" s="1"/>
  <c r="FH74" s="1"/>
  <c r="FI51"/>
  <c r="FH66"/>
  <c r="FH75"/>
  <c r="FH76" s="1"/>
  <c r="FH77"/>
  <c r="FG182" i="26"/>
  <c r="FG190" s="1"/>
  <c r="FG173"/>
  <c r="FG187"/>
  <c r="FH172"/>
  <c r="FH134" i="35" l="1"/>
  <c r="FI137"/>
  <c r="FI135"/>
  <c r="FI136" s="1"/>
  <c r="FI126"/>
  <c r="FI121"/>
  <c r="FI129" s="1"/>
  <c r="FI134" s="1"/>
  <c r="FI112"/>
  <c r="FJ111"/>
  <c r="FI107"/>
  <c r="FI105"/>
  <c r="FI106" s="1"/>
  <c r="FI96"/>
  <c r="FI91"/>
  <c r="FI99" s="1"/>
  <c r="FI104" s="1"/>
  <c r="FI82"/>
  <c r="FJ81"/>
  <c r="FJ51"/>
  <c r="FI52"/>
  <c r="FI61"/>
  <c r="FI69" s="1"/>
  <c r="FI74" s="1"/>
  <c r="FI66"/>
  <c r="FI75"/>
  <c r="FI76" s="1"/>
  <c r="FI77"/>
  <c r="FH182" i="26"/>
  <c r="FH190" s="1"/>
  <c r="FH173"/>
  <c r="FH187"/>
  <c r="FI172"/>
  <c r="FJ137" i="35" l="1"/>
  <c r="FJ135"/>
  <c r="FJ136" s="1"/>
  <c r="FJ126"/>
  <c r="FJ121"/>
  <c r="FJ129" s="1"/>
  <c r="FJ134" s="1"/>
  <c r="FJ112"/>
  <c r="FK111"/>
  <c r="FJ107"/>
  <c r="FJ105"/>
  <c r="FJ106" s="1"/>
  <c r="FJ96"/>
  <c r="FJ82"/>
  <c r="FK81"/>
  <c r="FJ91"/>
  <c r="FJ99" s="1"/>
  <c r="FJ104" s="1"/>
  <c r="FK51"/>
  <c r="FJ61"/>
  <c r="FJ69" s="1"/>
  <c r="FJ74" s="1"/>
  <c r="FJ52"/>
  <c r="FJ66"/>
  <c r="FJ75"/>
  <c r="FJ76" s="1"/>
  <c r="FJ77"/>
  <c r="FI182" i="26"/>
  <c r="FI190" s="1"/>
  <c r="FI173"/>
  <c r="FI187"/>
  <c r="FJ172"/>
  <c r="FK137" i="35" l="1"/>
  <c r="FK135"/>
  <c r="FK136" s="1"/>
  <c r="FK126"/>
  <c r="FK112"/>
  <c r="FL111"/>
  <c r="FK121"/>
  <c r="FK129" s="1"/>
  <c r="FK134" s="1"/>
  <c r="FK107"/>
  <c r="FK105"/>
  <c r="FK106" s="1"/>
  <c r="FK96"/>
  <c r="FK91"/>
  <c r="FK99" s="1"/>
  <c r="FK104" s="1"/>
  <c r="FK82"/>
  <c r="FL81"/>
  <c r="FL51"/>
  <c r="FK52"/>
  <c r="FK61"/>
  <c r="FK69" s="1"/>
  <c r="FK74" s="1"/>
  <c r="FK66"/>
  <c r="FK75"/>
  <c r="FK76" s="1"/>
  <c r="FK77"/>
  <c r="FJ182" i="26"/>
  <c r="FJ190" s="1"/>
  <c r="FJ173"/>
  <c r="FJ187"/>
  <c r="FK172"/>
  <c r="FL137" i="35" l="1"/>
  <c r="FL135"/>
  <c r="FL136" s="1"/>
  <c r="FL126"/>
  <c r="FL121"/>
  <c r="FL129" s="1"/>
  <c r="FL112"/>
  <c r="FM111"/>
  <c r="FL107"/>
  <c r="FL105"/>
  <c r="FL106" s="1"/>
  <c r="FL96"/>
  <c r="FL82"/>
  <c r="FM81"/>
  <c r="FL91"/>
  <c r="FL99" s="1"/>
  <c r="FL104" s="1"/>
  <c r="FL52"/>
  <c r="FL61"/>
  <c r="FL69" s="1"/>
  <c r="FL74" s="1"/>
  <c r="FM51"/>
  <c r="FL66"/>
  <c r="FL75"/>
  <c r="FL76" s="1"/>
  <c r="FL77"/>
  <c r="FK182" i="26"/>
  <c r="FK190" s="1"/>
  <c r="FK173"/>
  <c r="FK187"/>
  <c r="FL172"/>
  <c r="FL134" i="35" l="1"/>
  <c r="FM137"/>
  <c r="FM135"/>
  <c r="FM136" s="1"/>
  <c r="FM126"/>
  <c r="FM121"/>
  <c r="FM129" s="1"/>
  <c r="FM134" s="1"/>
  <c r="FM112"/>
  <c r="FN111"/>
  <c r="FM107"/>
  <c r="FM105"/>
  <c r="FM106" s="1"/>
  <c r="FM96"/>
  <c r="FM91"/>
  <c r="FM99" s="1"/>
  <c r="FM104" s="1"/>
  <c r="FM82"/>
  <c r="FN81"/>
  <c r="FN51"/>
  <c r="FM52"/>
  <c r="FM61"/>
  <c r="FM69" s="1"/>
  <c r="FM74" s="1"/>
  <c r="FM66"/>
  <c r="FM75"/>
  <c r="FM76" s="1"/>
  <c r="FM77"/>
  <c r="FL182" i="26"/>
  <c r="FL190" s="1"/>
  <c r="FL173"/>
  <c r="FL187"/>
  <c r="FM172"/>
  <c r="FN137" i="35" l="1"/>
  <c r="FN135"/>
  <c r="FN136" s="1"/>
  <c r="FN126"/>
  <c r="FN121"/>
  <c r="FN129" s="1"/>
  <c r="FN134" s="1"/>
  <c r="FO111"/>
  <c r="FN112"/>
  <c r="FN107"/>
  <c r="FN105"/>
  <c r="FN106" s="1"/>
  <c r="FN96"/>
  <c r="FN82"/>
  <c r="FO81"/>
  <c r="FN91"/>
  <c r="FN99" s="1"/>
  <c r="FN104" s="1"/>
  <c r="FO51"/>
  <c r="FN61"/>
  <c r="FN69" s="1"/>
  <c r="FN74" s="1"/>
  <c r="FN52"/>
  <c r="FN66"/>
  <c r="FN75"/>
  <c r="FN76" s="1"/>
  <c r="FN77"/>
  <c r="FM182" i="26"/>
  <c r="FM190" s="1"/>
  <c r="FM173"/>
  <c r="FM187"/>
  <c r="FN172"/>
  <c r="FO137" i="35" l="1"/>
  <c r="FO135"/>
  <c r="FO136" s="1"/>
  <c r="FO126"/>
  <c r="FO112"/>
  <c r="FP111"/>
  <c r="FO121"/>
  <c r="FO129" s="1"/>
  <c r="FO134" s="1"/>
  <c r="FO107"/>
  <c r="FO105"/>
  <c r="FO106" s="1"/>
  <c r="FO96"/>
  <c r="FO91"/>
  <c r="FO99" s="1"/>
  <c r="FO104" s="1"/>
  <c r="FO82"/>
  <c r="FP81"/>
  <c r="FP51"/>
  <c r="FO52"/>
  <c r="FO61"/>
  <c r="FO69" s="1"/>
  <c r="FO74" s="1"/>
  <c r="FO66"/>
  <c r="FO75"/>
  <c r="FO76" s="1"/>
  <c r="FO77"/>
  <c r="FN182" i="26"/>
  <c r="FN190" s="1"/>
  <c r="FN173"/>
  <c r="FN187"/>
  <c r="FO172"/>
  <c r="FP137" i="35" l="1"/>
  <c r="FP135"/>
  <c r="FP136" s="1"/>
  <c r="FP126"/>
  <c r="FP121"/>
  <c r="FP129" s="1"/>
  <c r="FP134" s="1"/>
  <c r="FP112"/>
  <c r="FQ111"/>
  <c r="FP107"/>
  <c r="FP105"/>
  <c r="FP106" s="1"/>
  <c r="FP96"/>
  <c r="FP82"/>
  <c r="FQ81"/>
  <c r="FP91"/>
  <c r="FP99" s="1"/>
  <c r="FP104" s="1"/>
  <c r="FP52"/>
  <c r="FP61"/>
  <c r="FP69" s="1"/>
  <c r="FP74" s="1"/>
  <c r="FQ51"/>
  <c r="FP66"/>
  <c r="FP75"/>
  <c r="FP76" s="1"/>
  <c r="FP77"/>
  <c r="FO182" i="26"/>
  <c r="FO190" s="1"/>
  <c r="FO173"/>
  <c r="FO187"/>
  <c r="FP172"/>
  <c r="FQ137" i="35" l="1"/>
  <c r="FQ135"/>
  <c r="FQ136" s="1"/>
  <c r="FQ126"/>
  <c r="FQ121"/>
  <c r="FQ129" s="1"/>
  <c r="FQ134" s="1"/>
  <c r="FQ112"/>
  <c r="FR111"/>
  <c r="FQ107"/>
  <c r="FQ105"/>
  <c r="FQ106" s="1"/>
  <c r="FQ96"/>
  <c r="FQ91"/>
  <c r="FQ99" s="1"/>
  <c r="FQ104" s="1"/>
  <c r="FQ82"/>
  <c r="FR81"/>
  <c r="FR51"/>
  <c r="FQ52"/>
  <c r="FQ61"/>
  <c r="FQ69" s="1"/>
  <c r="FQ74" s="1"/>
  <c r="FQ66"/>
  <c r="FQ75"/>
  <c r="FQ76" s="1"/>
  <c r="FQ77"/>
  <c r="FP182" i="26"/>
  <c r="FP190" s="1"/>
  <c r="FP173"/>
  <c r="FP187"/>
  <c r="FQ172"/>
  <c r="FR137" i="35" l="1"/>
  <c r="FR135"/>
  <c r="FR136" s="1"/>
  <c r="FR126"/>
  <c r="FR121"/>
  <c r="FR129" s="1"/>
  <c r="FR134" s="1"/>
  <c r="FR112"/>
  <c r="FS111"/>
  <c r="FR107"/>
  <c r="FR105"/>
  <c r="FR106" s="1"/>
  <c r="FR96"/>
  <c r="FR82"/>
  <c r="FS81"/>
  <c r="FR91"/>
  <c r="FR99" s="1"/>
  <c r="FR104" s="1"/>
  <c r="FS51"/>
  <c r="FR61"/>
  <c r="FR69" s="1"/>
  <c r="FR74" s="1"/>
  <c r="FR52"/>
  <c r="FR66"/>
  <c r="FR75"/>
  <c r="FR77"/>
  <c r="FR76"/>
  <c r="FQ182" i="26"/>
  <c r="FQ190" s="1"/>
  <c r="FQ173"/>
  <c r="FQ187"/>
  <c r="FR172"/>
  <c r="FS137" i="35" l="1"/>
  <c r="FS135"/>
  <c r="FS136" s="1"/>
  <c r="FS126"/>
  <c r="FS112"/>
  <c r="FT111"/>
  <c r="FS121"/>
  <c r="FS129" s="1"/>
  <c r="FS134" s="1"/>
  <c r="FS107"/>
  <c r="FS105"/>
  <c r="FS106" s="1"/>
  <c r="FS96"/>
  <c r="FS91"/>
  <c r="FS99" s="1"/>
  <c r="FS104" s="1"/>
  <c r="FS82"/>
  <c r="FT81"/>
  <c r="FT51"/>
  <c r="FS52"/>
  <c r="FS61"/>
  <c r="FS69" s="1"/>
  <c r="FS74" s="1"/>
  <c r="FS66"/>
  <c r="FS75"/>
  <c r="FS77"/>
  <c r="FS76"/>
  <c r="FR182" i="26"/>
  <c r="FR190" s="1"/>
  <c r="FR173"/>
  <c r="FR187"/>
  <c r="FS172"/>
  <c r="FT137" i="35" l="1"/>
  <c r="FT135"/>
  <c r="FT136" s="1"/>
  <c r="FT126"/>
  <c r="FT121"/>
  <c r="FT129" s="1"/>
  <c r="FU111"/>
  <c r="FT112"/>
  <c r="FT107"/>
  <c r="FT105"/>
  <c r="FT106" s="1"/>
  <c r="FT96"/>
  <c r="FT82"/>
  <c r="FU81"/>
  <c r="FT91"/>
  <c r="FT99" s="1"/>
  <c r="FT104" s="1"/>
  <c r="FT52"/>
  <c r="FT61"/>
  <c r="FT69" s="1"/>
  <c r="FT74" s="1"/>
  <c r="FU51"/>
  <c r="FT66"/>
  <c r="FT75"/>
  <c r="FT76" s="1"/>
  <c r="FT77"/>
  <c r="FS182" i="26"/>
  <c r="FS190" s="1"/>
  <c r="FS173"/>
  <c r="FS187"/>
  <c r="FT172"/>
  <c r="FT134" i="35" l="1"/>
  <c r="FU137"/>
  <c r="FU135"/>
  <c r="FU136" s="1"/>
  <c r="FU126"/>
  <c r="FU112"/>
  <c r="FV111"/>
  <c r="FU121"/>
  <c r="FU129" s="1"/>
  <c r="FU134" s="1"/>
  <c r="FU107"/>
  <c r="FU105"/>
  <c r="FU106" s="1"/>
  <c r="FU96"/>
  <c r="FU91"/>
  <c r="FU99" s="1"/>
  <c r="FU104" s="1"/>
  <c r="FU82"/>
  <c r="FV81"/>
  <c r="FV51"/>
  <c r="FU52"/>
  <c r="FU61"/>
  <c r="FU69" s="1"/>
  <c r="FU74" s="1"/>
  <c r="FU66"/>
  <c r="FU75"/>
  <c r="FU76" s="1"/>
  <c r="FU77"/>
  <c r="FT182" i="26"/>
  <c r="FT190" s="1"/>
  <c r="FT173"/>
  <c r="FT187"/>
  <c r="FU172"/>
  <c r="AK129" i="35" l="1"/>
  <c r="AK134" s="1"/>
  <c r="FV137"/>
  <c r="FV135"/>
  <c r="FV136" s="1"/>
  <c r="FV126"/>
  <c r="FV121"/>
  <c r="FV129" s="1"/>
  <c r="FW111"/>
  <c r="FV112"/>
  <c r="FV107"/>
  <c r="FV105"/>
  <c r="FV106" s="1"/>
  <c r="FV96"/>
  <c r="FV82"/>
  <c r="FW81"/>
  <c r="FV91"/>
  <c r="FV99" s="1"/>
  <c r="FV104" s="1"/>
  <c r="FW51"/>
  <c r="FV61"/>
  <c r="FV69" s="1"/>
  <c r="FV74" s="1"/>
  <c r="FV52"/>
  <c r="FV66"/>
  <c r="FV75"/>
  <c r="FV76" s="1"/>
  <c r="FV77"/>
  <c r="FU182" i="26"/>
  <c r="FU190" s="1"/>
  <c r="FU173"/>
  <c r="FU187"/>
  <c r="FV172"/>
  <c r="FV134" i="35" l="1"/>
  <c r="FW137"/>
  <c r="FW135"/>
  <c r="FW136" s="1"/>
  <c r="FW126"/>
  <c r="FW121"/>
  <c r="FW129" s="1"/>
  <c r="FW134" s="1"/>
  <c r="FW112"/>
  <c r="FX111"/>
  <c r="FW107"/>
  <c r="FW105"/>
  <c r="FW106" s="1"/>
  <c r="FW96"/>
  <c r="FW91"/>
  <c r="FW99" s="1"/>
  <c r="FW104" s="1"/>
  <c r="FW82"/>
  <c r="FX81"/>
  <c r="FX51"/>
  <c r="FW52"/>
  <c r="FW61"/>
  <c r="FW69" s="1"/>
  <c r="FW74" s="1"/>
  <c r="FW66"/>
  <c r="FW75"/>
  <c r="FW76" s="1"/>
  <c r="FW77"/>
  <c r="FV182" i="26"/>
  <c r="FV190" s="1"/>
  <c r="FV173"/>
  <c r="FV187"/>
  <c r="FW172"/>
  <c r="FX137" i="35" l="1"/>
  <c r="FX135"/>
  <c r="FX126"/>
  <c r="FX121"/>
  <c r="FX129" s="1"/>
  <c r="FX134" s="1"/>
  <c r="FX112"/>
  <c r="FY111"/>
  <c r="FX136"/>
  <c r="FX107"/>
  <c r="FX105"/>
  <c r="FX106" s="1"/>
  <c r="FX96"/>
  <c r="FX82"/>
  <c r="FY81"/>
  <c r="FX91"/>
  <c r="FX99" s="1"/>
  <c r="FX104" s="1"/>
  <c r="FX52"/>
  <c r="FX61"/>
  <c r="FX69" s="1"/>
  <c r="FX74" s="1"/>
  <c r="FY51"/>
  <c r="FX66"/>
  <c r="FX75"/>
  <c r="FX76" s="1"/>
  <c r="FX77"/>
  <c r="FW182" i="26"/>
  <c r="FW190" s="1"/>
  <c r="FW173"/>
  <c r="FW187"/>
  <c r="FX172"/>
  <c r="FY137" i="35" l="1"/>
  <c r="FY135"/>
  <c r="FY136" s="1"/>
  <c r="FY126"/>
  <c r="FY112"/>
  <c r="FZ111"/>
  <c r="FY121"/>
  <c r="FY129" s="1"/>
  <c r="FY107"/>
  <c r="FY105"/>
  <c r="FY106" s="1"/>
  <c r="FY96"/>
  <c r="FY91"/>
  <c r="FY99" s="1"/>
  <c r="FY104" s="1"/>
  <c r="FY82"/>
  <c r="FZ81"/>
  <c r="FZ51"/>
  <c r="FY52"/>
  <c r="FY61"/>
  <c r="FY69" s="1"/>
  <c r="FY74" s="1"/>
  <c r="FY66"/>
  <c r="FY75"/>
  <c r="FY76" s="1"/>
  <c r="FY77"/>
  <c r="FX182" i="26"/>
  <c r="FX190" s="1"/>
  <c r="FX173"/>
  <c r="FX187"/>
  <c r="FY172"/>
  <c r="FY134" i="35" l="1"/>
  <c r="FZ137"/>
  <c r="FZ135"/>
  <c r="FZ136" s="1"/>
  <c r="FZ126"/>
  <c r="FZ121"/>
  <c r="FZ129" s="1"/>
  <c r="FZ134" s="1"/>
  <c r="FZ112"/>
  <c r="GA111"/>
  <c r="FZ107"/>
  <c r="FZ105"/>
  <c r="FZ106" s="1"/>
  <c r="FZ96"/>
  <c r="FZ82"/>
  <c r="GA81"/>
  <c r="FZ91"/>
  <c r="FZ99" s="1"/>
  <c r="FZ104" s="1"/>
  <c r="GA51"/>
  <c r="FZ61"/>
  <c r="FZ69" s="1"/>
  <c r="FZ74" s="1"/>
  <c r="FZ52"/>
  <c r="FZ66"/>
  <c r="FZ75"/>
  <c r="FZ76" s="1"/>
  <c r="FZ77"/>
  <c r="FY182" i="26"/>
  <c r="FY190" s="1"/>
  <c r="FY173"/>
  <c r="FY187"/>
  <c r="FZ172"/>
  <c r="GA137" i="35" l="1"/>
  <c r="GA135"/>
  <c r="GA136" s="1"/>
  <c r="GA126"/>
  <c r="GA121"/>
  <c r="GA129" s="1"/>
  <c r="GA134" s="1"/>
  <c r="GA112"/>
  <c r="GB111"/>
  <c r="GA107"/>
  <c r="GA105"/>
  <c r="GA106" s="1"/>
  <c r="GA96"/>
  <c r="GA91"/>
  <c r="GA99" s="1"/>
  <c r="GA104" s="1"/>
  <c r="GA82"/>
  <c r="GB81"/>
  <c r="GB51"/>
  <c r="GA52"/>
  <c r="GA61"/>
  <c r="GA69" s="1"/>
  <c r="GA74" s="1"/>
  <c r="GA66"/>
  <c r="GA75"/>
  <c r="GA76" s="1"/>
  <c r="GA77"/>
  <c r="FZ182" i="26"/>
  <c r="FZ190" s="1"/>
  <c r="FZ173"/>
  <c r="FZ187"/>
  <c r="GA172"/>
  <c r="GB137" i="35" l="1"/>
  <c r="GB135"/>
  <c r="GB136" s="1"/>
  <c r="GB126"/>
  <c r="GB121"/>
  <c r="GB129" s="1"/>
  <c r="GB134" s="1"/>
  <c r="GB112"/>
  <c r="GC111"/>
  <c r="GB107"/>
  <c r="GB105"/>
  <c r="GB106" s="1"/>
  <c r="GB96"/>
  <c r="GB82"/>
  <c r="GC81"/>
  <c r="GB91"/>
  <c r="GB99" s="1"/>
  <c r="GB104" s="1"/>
  <c r="GB52"/>
  <c r="GB61"/>
  <c r="GB69" s="1"/>
  <c r="GB74" s="1"/>
  <c r="GC51"/>
  <c r="GB66"/>
  <c r="GB75"/>
  <c r="GB76" s="1"/>
  <c r="GB77"/>
  <c r="GA182" i="26"/>
  <c r="GA190" s="1"/>
  <c r="GA173"/>
  <c r="GA187"/>
  <c r="GB172"/>
  <c r="GC137" i="35" l="1"/>
  <c r="GC135"/>
  <c r="GC136" s="1"/>
  <c r="GC126"/>
  <c r="GC121"/>
  <c r="GC129" s="1"/>
  <c r="GC134" s="1"/>
  <c r="GC112"/>
  <c r="GD111"/>
  <c r="GC107"/>
  <c r="GC105"/>
  <c r="GC106" s="1"/>
  <c r="GC96"/>
  <c r="GC91"/>
  <c r="GC99" s="1"/>
  <c r="GC104" s="1"/>
  <c r="GC82"/>
  <c r="GD81"/>
  <c r="GD51"/>
  <c r="GC52"/>
  <c r="GC61"/>
  <c r="GC69" s="1"/>
  <c r="GC74" s="1"/>
  <c r="GC66"/>
  <c r="GC75"/>
  <c r="GC76" s="1"/>
  <c r="GC77"/>
  <c r="GB182" i="26"/>
  <c r="GB190" s="1"/>
  <c r="GB173"/>
  <c r="GB187"/>
  <c r="GC172"/>
  <c r="GD137" i="35" l="1"/>
  <c r="GD135"/>
  <c r="GD136" s="1"/>
  <c r="GD126"/>
  <c r="GD121"/>
  <c r="GD129" s="1"/>
  <c r="GD134" s="1"/>
  <c r="GE111"/>
  <c r="GD112"/>
  <c r="GD107"/>
  <c r="GD105"/>
  <c r="GD106" s="1"/>
  <c r="GD96"/>
  <c r="GD82"/>
  <c r="GE81"/>
  <c r="GD91"/>
  <c r="GD99" s="1"/>
  <c r="GD104" s="1"/>
  <c r="GE51"/>
  <c r="GD61"/>
  <c r="GD69" s="1"/>
  <c r="GD74" s="1"/>
  <c r="GD52"/>
  <c r="GD66"/>
  <c r="GD75"/>
  <c r="GD76" s="1"/>
  <c r="GD77"/>
  <c r="GC182" i="26"/>
  <c r="GC190" s="1"/>
  <c r="GC173"/>
  <c r="GC187"/>
  <c r="GD172"/>
  <c r="GE137" i="35" l="1"/>
  <c r="GE135"/>
  <c r="GE136" s="1"/>
  <c r="GE126"/>
  <c r="GE112"/>
  <c r="GF111"/>
  <c r="GE121"/>
  <c r="GE129" s="1"/>
  <c r="GE134" s="1"/>
  <c r="GE107"/>
  <c r="GE105"/>
  <c r="GE106" s="1"/>
  <c r="GE96"/>
  <c r="GE91"/>
  <c r="GE99" s="1"/>
  <c r="GE104" s="1"/>
  <c r="GE82"/>
  <c r="GF81"/>
  <c r="GF51"/>
  <c r="GE52"/>
  <c r="GE61"/>
  <c r="GE69" s="1"/>
  <c r="GE74" s="1"/>
  <c r="GE66"/>
  <c r="GE75"/>
  <c r="GE76" s="1"/>
  <c r="GE77"/>
  <c r="GD182" i="26"/>
  <c r="GD190" s="1"/>
  <c r="GD173"/>
  <c r="GD187"/>
  <c r="GE172"/>
  <c r="GF137" i="35" l="1"/>
  <c r="GF135"/>
  <c r="GF136" s="1"/>
  <c r="GF126"/>
  <c r="GF121"/>
  <c r="GF129" s="1"/>
  <c r="GF112"/>
  <c r="GG111"/>
  <c r="GF107"/>
  <c r="GF105"/>
  <c r="GF106" s="1"/>
  <c r="GF96"/>
  <c r="GF82"/>
  <c r="GG81"/>
  <c r="GF91"/>
  <c r="GF99" s="1"/>
  <c r="GF104" s="1"/>
  <c r="GF52"/>
  <c r="GF61"/>
  <c r="GF69" s="1"/>
  <c r="GF74" s="1"/>
  <c r="GG51"/>
  <c r="GF66"/>
  <c r="GF75"/>
  <c r="GF76" s="1"/>
  <c r="GF77"/>
  <c r="GE182" i="26"/>
  <c r="GE190" s="1"/>
  <c r="GE173"/>
  <c r="GE187"/>
  <c r="GF172"/>
  <c r="GF134" i="35" l="1"/>
  <c r="GG137"/>
  <c r="GG135"/>
  <c r="GG136" s="1"/>
  <c r="GG126"/>
  <c r="GG121"/>
  <c r="GG129" s="1"/>
  <c r="GG134" s="1"/>
  <c r="GG112"/>
  <c r="GH111"/>
  <c r="GG107"/>
  <c r="GG105"/>
  <c r="GG106" s="1"/>
  <c r="GG96"/>
  <c r="GG91"/>
  <c r="GG99" s="1"/>
  <c r="GG104" s="1"/>
  <c r="GG82"/>
  <c r="GH81"/>
  <c r="GH51"/>
  <c r="GG52"/>
  <c r="GG61"/>
  <c r="GG69" s="1"/>
  <c r="GG74" s="1"/>
  <c r="GG66"/>
  <c r="GG75"/>
  <c r="GG76" s="1"/>
  <c r="GG77"/>
  <c r="GF182" i="26"/>
  <c r="GF190" s="1"/>
  <c r="GF173"/>
  <c r="GF187"/>
  <c r="GG172"/>
  <c r="GH137" i="35" l="1"/>
  <c r="GH135"/>
  <c r="GH136" s="1"/>
  <c r="GH126"/>
  <c r="GH121"/>
  <c r="GH129" s="1"/>
  <c r="GH112"/>
  <c r="GI111"/>
  <c r="GH107"/>
  <c r="GH105"/>
  <c r="GH106" s="1"/>
  <c r="GH96"/>
  <c r="GH82"/>
  <c r="GI81"/>
  <c r="GH91"/>
  <c r="GH99" s="1"/>
  <c r="GH104" s="1"/>
  <c r="GI51"/>
  <c r="GH61"/>
  <c r="GH69" s="1"/>
  <c r="GH74" s="1"/>
  <c r="GH52"/>
  <c r="GH66"/>
  <c r="GH75"/>
  <c r="GH76" s="1"/>
  <c r="GH77"/>
  <c r="GG182" i="26"/>
  <c r="GG190" s="1"/>
  <c r="GG173"/>
  <c r="GG187"/>
  <c r="GH172"/>
  <c r="GH134" i="35" l="1"/>
  <c r="GI137"/>
  <c r="GI135"/>
  <c r="GI136" s="1"/>
  <c r="GI126"/>
  <c r="GI112"/>
  <c r="GJ111"/>
  <c r="GI121"/>
  <c r="GI129" s="1"/>
  <c r="GI134" s="1"/>
  <c r="GI107"/>
  <c r="GI105"/>
  <c r="GI106" s="1"/>
  <c r="GI96"/>
  <c r="GI91"/>
  <c r="GI99" s="1"/>
  <c r="GI104" s="1"/>
  <c r="GI82"/>
  <c r="GJ81"/>
  <c r="GJ51"/>
  <c r="GI52"/>
  <c r="GI61"/>
  <c r="GI69" s="1"/>
  <c r="GI74" s="1"/>
  <c r="GI66"/>
  <c r="GI75"/>
  <c r="GI76" s="1"/>
  <c r="GI77"/>
  <c r="GH182" i="26"/>
  <c r="GH190" s="1"/>
  <c r="GH173"/>
  <c r="GH187"/>
  <c r="GI172"/>
  <c r="GJ137" i="35" l="1"/>
  <c r="GJ135"/>
  <c r="GJ136" s="1"/>
  <c r="GJ126"/>
  <c r="GJ121"/>
  <c r="GJ129" s="1"/>
  <c r="GJ134" s="1"/>
  <c r="GJ112"/>
  <c r="GK111"/>
  <c r="GJ107"/>
  <c r="GJ105"/>
  <c r="GJ106" s="1"/>
  <c r="GJ96"/>
  <c r="GJ82"/>
  <c r="GK81"/>
  <c r="GJ91"/>
  <c r="GJ99" s="1"/>
  <c r="GJ104" s="1"/>
  <c r="GJ52"/>
  <c r="GJ61"/>
  <c r="GJ69" s="1"/>
  <c r="GJ74" s="1"/>
  <c r="GK51"/>
  <c r="GJ66"/>
  <c r="GJ75"/>
  <c r="GJ76" s="1"/>
  <c r="GJ77"/>
  <c r="GI182" i="26"/>
  <c r="GI190" s="1"/>
  <c r="GI173"/>
  <c r="GI187"/>
  <c r="GJ172"/>
  <c r="GK137" i="35" l="1"/>
  <c r="GK135"/>
  <c r="GK136" s="1"/>
  <c r="GK126"/>
  <c r="GK121"/>
  <c r="GK129" s="1"/>
  <c r="GK112"/>
  <c r="GL111"/>
  <c r="GK107"/>
  <c r="GK105"/>
  <c r="GK106" s="1"/>
  <c r="GK96"/>
  <c r="GK91"/>
  <c r="GK99" s="1"/>
  <c r="GK104" s="1"/>
  <c r="GK82"/>
  <c r="GL81"/>
  <c r="GL51"/>
  <c r="GK52"/>
  <c r="GK61"/>
  <c r="GK69" s="1"/>
  <c r="GK74" s="1"/>
  <c r="GK66"/>
  <c r="GK75"/>
  <c r="GK76" s="1"/>
  <c r="GK77"/>
  <c r="GJ182" i="26"/>
  <c r="GJ190" s="1"/>
  <c r="GJ173"/>
  <c r="GJ187"/>
  <c r="GK172"/>
  <c r="GK134" i="35" l="1"/>
  <c r="AU129"/>
  <c r="GL137"/>
  <c r="GL135"/>
  <c r="GL136" s="1"/>
  <c r="GL126"/>
  <c r="GL121"/>
  <c r="GL129" s="1"/>
  <c r="GL134" s="1"/>
  <c r="GM111"/>
  <c r="GL112"/>
  <c r="GL107"/>
  <c r="GL105"/>
  <c r="GL106" s="1"/>
  <c r="GL96"/>
  <c r="GL82"/>
  <c r="GM81"/>
  <c r="GL91"/>
  <c r="GL99" s="1"/>
  <c r="GL104" s="1"/>
  <c r="GM51"/>
  <c r="GL61"/>
  <c r="GL69" s="1"/>
  <c r="GL74" s="1"/>
  <c r="GL52"/>
  <c r="GL66"/>
  <c r="GL75"/>
  <c r="GL76" s="1"/>
  <c r="GL77"/>
  <c r="GK182" i="26"/>
  <c r="GK190" s="1"/>
  <c r="GK173"/>
  <c r="GK187"/>
  <c r="GL172"/>
  <c r="AU134" i="35" l="1"/>
  <c r="GM137"/>
  <c r="GM135"/>
  <c r="GM136" s="1"/>
  <c r="GM126"/>
  <c r="GM112"/>
  <c r="GN111"/>
  <c r="GM121"/>
  <c r="GM129" s="1"/>
  <c r="GM107"/>
  <c r="GM105"/>
  <c r="GM106" s="1"/>
  <c r="GM96"/>
  <c r="GM91"/>
  <c r="GM99" s="1"/>
  <c r="GM104" s="1"/>
  <c r="GM82"/>
  <c r="GN81"/>
  <c r="GN51"/>
  <c r="GM52"/>
  <c r="GM61"/>
  <c r="GM69" s="1"/>
  <c r="GM74" s="1"/>
  <c r="GM66"/>
  <c r="GM75"/>
  <c r="GM76" s="1"/>
  <c r="GM77"/>
  <c r="GL182" i="26"/>
  <c r="GL190" s="1"/>
  <c r="GL173"/>
  <c r="GL187"/>
  <c r="GM172"/>
  <c r="GM134" i="35" l="1"/>
  <c r="GN137"/>
  <c r="GN135"/>
  <c r="GN136" s="1"/>
  <c r="GN126"/>
  <c r="GN121"/>
  <c r="GN129" s="1"/>
  <c r="GN134" s="1"/>
  <c r="GN112"/>
  <c r="GO111"/>
  <c r="GN107"/>
  <c r="GN105"/>
  <c r="GN106" s="1"/>
  <c r="GN96"/>
  <c r="GN82"/>
  <c r="GO81"/>
  <c r="GN91"/>
  <c r="GN99" s="1"/>
  <c r="GN104" s="1"/>
  <c r="GN52"/>
  <c r="GO51"/>
  <c r="GN66"/>
  <c r="GN61"/>
  <c r="GN69" s="1"/>
  <c r="GN74" s="1"/>
  <c r="GN75"/>
  <c r="GN76" s="1"/>
  <c r="GN77"/>
  <c r="GM182" i="26"/>
  <c r="GM190" s="1"/>
  <c r="GM173"/>
  <c r="GM187"/>
  <c r="GN172"/>
  <c r="GO137" i="35" l="1"/>
  <c r="GO135"/>
  <c r="GO136" s="1"/>
  <c r="GO126"/>
  <c r="GO121"/>
  <c r="GO129" s="1"/>
  <c r="GO134" s="1"/>
  <c r="GO112"/>
  <c r="GP111"/>
  <c r="GO107"/>
  <c r="GO105"/>
  <c r="GO106" s="1"/>
  <c r="GO96"/>
  <c r="GO91"/>
  <c r="GO99" s="1"/>
  <c r="GO104" s="1"/>
  <c r="GO82"/>
  <c r="GP81"/>
  <c r="GP51"/>
  <c r="GO52"/>
  <c r="GO61"/>
  <c r="GO69" s="1"/>
  <c r="GO74" s="1"/>
  <c r="GO66"/>
  <c r="GO75"/>
  <c r="GO76" s="1"/>
  <c r="GO77"/>
  <c r="GN182" i="26"/>
  <c r="GN190" s="1"/>
  <c r="GN173"/>
  <c r="GN187"/>
  <c r="GO172"/>
  <c r="GP137" i="35" l="1"/>
  <c r="GP135"/>
  <c r="GP136" s="1"/>
  <c r="GP126"/>
  <c r="GP121"/>
  <c r="GP129" s="1"/>
  <c r="GP134" s="1"/>
  <c r="GP112"/>
  <c r="GQ111"/>
  <c r="GP107"/>
  <c r="GP105"/>
  <c r="GP106" s="1"/>
  <c r="GP96"/>
  <c r="GP82"/>
  <c r="GQ81"/>
  <c r="GP91"/>
  <c r="GP99" s="1"/>
  <c r="GP104" s="1"/>
  <c r="GQ51"/>
  <c r="GP52"/>
  <c r="GP66"/>
  <c r="GP61"/>
  <c r="GP69" s="1"/>
  <c r="GP75"/>
  <c r="GP76" s="1"/>
  <c r="GP77"/>
  <c r="GO182" i="26"/>
  <c r="GO190" s="1"/>
  <c r="GO173"/>
  <c r="GO187"/>
  <c r="GP172"/>
  <c r="GP74" i="35" l="1"/>
  <c r="GQ137"/>
  <c r="GQ135"/>
  <c r="GQ136" s="1"/>
  <c r="GQ126"/>
  <c r="GQ112"/>
  <c r="GQ121"/>
  <c r="GQ129" s="1"/>
  <c r="GQ107"/>
  <c r="GQ105"/>
  <c r="GQ106" s="1"/>
  <c r="GQ96"/>
  <c r="GQ91"/>
  <c r="GQ99" s="1"/>
  <c r="GQ104" s="1"/>
  <c r="GQ82"/>
  <c r="GQ52"/>
  <c r="GQ61"/>
  <c r="GQ69" s="1"/>
  <c r="GQ74" s="1"/>
  <c r="GQ66"/>
  <c r="GQ75"/>
  <c r="GQ76" s="1"/>
  <c r="GQ77"/>
  <c r="GP182" i="26"/>
  <c r="GP190" s="1"/>
  <c r="GP173"/>
  <c r="GP187"/>
  <c r="GQ172"/>
  <c r="Y24" i="35" l="1"/>
  <c r="P21"/>
  <c r="U21"/>
  <c r="X25"/>
  <c r="R21"/>
  <c r="Y21"/>
  <c r="S21"/>
  <c r="M21"/>
  <c r="W25"/>
  <c r="T21"/>
  <c r="Y23"/>
  <c r="X22"/>
  <c r="Y25"/>
  <c r="X21"/>
  <c r="Y22"/>
  <c r="X24"/>
  <c r="Q21"/>
  <c r="V21"/>
  <c r="X23"/>
  <c r="O21"/>
  <c r="W21"/>
  <c r="N21"/>
  <c r="L21"/>
  <c r="J21"/>
  <c r="G21"/>
  <c r="H21"/>
  <c r="K21"/>
  <c r="I21"/>
  <c r="O25"/>
  <c r="S25"/>
  <c r="Q25"/>
  <c r="H25"/>
  <c r="U25"/>
  <c r="L25"/>
  <c r="J25"/>
  <c r="I25"/>
  <c r="T25"/>
  <c r="G25"/>
  <c r="M25"/>
  <c r="P25"/>
  <c r="V25"/>
  <c r="R25"/>
  <c r="K25"/>
  <c r="N25"/>
  <c r="GQ134"/>
  <c r="M24"/>
  <c r="N24"/>
  <c r="O24"/>
  <c r="P24"/>
  <c r="Q24"/>
  <c r="R24"/>
  <c r="S24"/>
  <c r="T24"/>
  <c r="U24"/>
  <c r="V24"/>
  <c r="W24"/>
  <c r="G30"/>
  <c r="H31"/>
  <c r="I31" s="1"/>
  <c r="J31" s="1"/>
  <c r="K31" s="1"/>
  <c r="L31" s="1"/>
  <c r="M31" s="1"/>
  <c r="N31" s="1"/>
  <c r="O31" s="1"/>
  <c r="P31" s="1"/>
  <c r="Q31" s="1"/>
  <c r="R31" s="1"/>
  <c r="S31" s="1"/>
  <c r="T31" s="1"/>
  <c r="U31" s="1"/>
  <c r="V31" s="1"/>
  <c r="W31" s="1"/>
  <c r="X31" s="1"/>
  <c r="Y31" s="1"/>
  <c r="GQ182" i="26"/>
  <c r="GQ190" s="1"/>
  <c r="GQ173"/>
  <c r="GQ187"/>
  <c r="H30" i="35" l="1"/>
  <c r="E156" i="26"/>
  <c r="GQ153"/>
  <c r="GP153"/>
  <c r="GO153"/>
  <c r="GN153"/>
  <c r="GM153"/>
  <c r="GL153"/>
  <c r="GK153"/>
  <c r="GJ153"/>
  <c r="GI153"/>
  <c r="GH153"/>
  <c r="GG153"/>
  <c r="GF153"/>
  <c r="GE153"/>
  <c r="GD153"/>
  <c r="GC153"/>
  <c r="GB153"/>
  <c r="GA153"/>
  <c r="FZ153"/>
  <c r="FY153"/>
  <c r="FX153"/>
  <c r="FW153"/>
  <c r="FV153"/>
  <c r="FU153"/>
  <c r="FT153"/>
  <c r="FS153"/>
  <c r="FR153"/>
  <c r="FQ153"/>
  <c r="FP153"/>
  <c r="FO153"/>
  <c r="FN153"/>
  <c r="FM153"/>
  <c r="FL153"/>
  <c r="FK153"/>
  <c r="FJ153"/>
  <c r="FI153"/>
  <c r="FH153"/>
  <c r="FG153"/>
  <c r="FF153"/>
  <c r="FE153"/>
  <c r="FD153"/>
  <c r="FC153"/>
  <c r="FB153"/>
  <c r="FA153"/>
  <c r="EZ153"/>
  <c r="EY153"/>
  <c r="EX153"/>
  <c r="EW153"/>
  <c r="EV153"/>
  <c r="EU153"/>
  <c r="ET153"/>
  <c r="ES153"/>
  <c r="ER153"/>
  <c r="EQ153"/>
  <c r="EP153"/>
  <c r="EO153"/>
  <c r="EN153"/>
  <c r="EM153"/>
  <c r="EL153"/>
  <c r="EK153"/>
  <c r="EJ153"/>
  <c r="EI153"/>
  <c r="EH153"/>
  <c r="EG153"/>
  <c r="EF153"/>
  <c r="EE153"/>
  <c r="ED153"/>
  <c r="EC153"/>
  <c r="EB153"/>
  <c r="EA153"/>
  <c r="DZ153"/>
  <c r="DY153"/>
  <c r="DX153"/>
  <c r="DW153"/>
  <c r="DV153"/>
  <c r="DU153"/>
  <c r="DT153"/>
  <c r="DS153"/>
  <c r="DR153"/>
  <c r="DQ153"/>
  <c r="DP153"/>
  <c r="DO153"/>
  <c r="DN153"/>
  <c r="DM153"/>
  <c r="DL153"/>
  <c r="DK153"/>
  <c r="DJ153"/>
  <c r="DI153"/>
  <c r="DH153"/>
  <c r="DG153"/>
  <c r="DF153"/>
  <c r="DE153"/>
  <c r="DD153"/>
  <c r="DC153"/>
  <c r="DB153"/>
  <c r="DA153"/>
  <c r="CZ153"/>
  <c r="CY153"/>
  <c r="CX153"/>
  <c r="CW153"/>
  <c r="CV153"/>
  <c r="CU153"/>
  <c r="CT153"/>
  <c r="CS153"/>
  <c r="CR153"/>
  <c r="CQ153"/>
  <c r="CP153"/>
  <c r="CO153"/>
  <c r="CN153"/>
  <c r="CM153"/>
  <c r="CL153"/>
  <c r="CK153"/>
  <c r="CJ153"/>
  <c r="CI153"/>
  <c r="CH153"/>
  <c r="CG153"/>
  <c r="CF153"/>
  <c r="CE153"/>
  <c r="CD153"/>
  <c r="CC153"/>
  <c r="CB153"/>
  <c r="CA153"/>
  <c r="BZ153"/>
  <c r="BY153"/>
  <c r="BX153"/>
  <c r="BW153"/>
  <c r="BV153"/>
  <c r="BU153"/>
  <c r="BT153"/>
  <c r="BS153"/>
  <c r="BR153"/>
  <c r="BQ153"/>
  <c r="BP153"/>
  <c r="BO153"/>
  <c r="BN153"/>
  <c r="BM153"/>
  <c r="BL153"/>
  <c r="BK153"/>
  <c r="BJ153"/>
  <c r="BI153"/>
  <c r="BH153"/>
  <c r="BG153"/>
  <c r="BF153"/>
  <c r="BE153"/>
  <c r="BD153"/>
  <c r="BC153"/>
  <c r="BB153"/>
  <c r="BA153"/>
  <c r="AZ153"/>
  <c r="AY153"/>
  <c r="AX153"/>
  <c r="AW153"/>
  <c r="AV153"/>
  <c r="AU153"/>
  <c r="AT153"/>
  <c r="AS153"/>
  <c r="AR153"/>
  <c r="AQ153"/>
  <c r="AP153"/>
  <c r="AO153"/>
  <c r="AN153"/>
  <c r="AM153"/>
  <c r="AL153"/>
  <c r="AK153"/>
  <c r="AJ153"/>
  <c r="AI153"/>
  <c r="AH153"/>
  <c r="AG153"/>
  <c r="AF153"/>
  <c r="AE153"/>
  <c r="AD153"/>
  <c r="AC153"/>
  <c r="AB153"/>
  <c r="AA153"/>
  <c r="Z153"/>
  <c r="Y153"/>
  <c r="X153"/>
  <c r="W153"/>
  <c r="V153"/>
  <c r="U153"/>
  <c r="T153"/>
  <c r="S153"/>
  <c r="R153"/>
  <c r="Q153"/>
  <c r="P153"/>
  <c r="O153"/>
  <c r="N153"/>
  <c r="M153"/>
  <c r="L153"/>
  <c r="K153"/>
  <c r="J153"/>
  <c r="I153"/>
  <c r="H153"/>
  <c r="G153"/>
  <c r="F153"/>
  <c r="E153"/>
  <c r="E154" s="1"/>
  <c r="C145"/>
  <c r="E142"/>
  <c r="AD123"/>
  <c r="AE123"/>
  <c r="AF123"/>
  <c r="AG123"/>
  <c r="AH123"/>
  <c r="AI123"/>
  <c r="AJ123"/>
  <c r="AK123"/>
  <c r="AL123"/>
  <c r="AM123"/>
  <c r="AN123"/>
  <c r="AO123"/>
  <c r="AP123"/>
  <c r="AQ123"/>
  <c r="AR123"/>
  <c r="AS123"/>
  <c r="AT123"/>
  <c r="AU123"/>
  <c r="AV123"/>
  <c r="AW123"/>
  <c r="AX123"/>
  <c r="AY123"/>
  <c r="AZ123"/>
  <c r="BA123"/>
  <c r="BB123"/>
  <c r="BC123"/>
  <c r="BD123"/>
  <c r="BE123"/>
  <c r="BF123"/>
  <c r="BG123"/>
  <c r="BH123"/>
  <c r="BI123"/>
  <c r="BJ123"/>
  <c r="BK123"/>
  <c r="BL123"/>
  <c r="BM123"/>
  <c r="BN123"/>
  <c r="BO123"/>
  <c r="BP123"/>
  <c r="BQ123"/>
  <c r="BR123"/>
  <c r="BS123"/>
  <c r="BT123"/>
  <c r="BU123"/>
  <c r="BV123"/>
  <c r="BW123"/>
  <c r="BX123"/>
  <c r="BY123"/>
  <c r="BZ123"/>
  <c r="CA123"/>
  <c r="CB123"/>
  <c r="CC123"/>
  <c r="CD123"/>
  <c r="CE123"/>
  <c r="CF123"/>
  <c r="CG123"/>
  <c r="CH123"/>
  <c r="CI123"/>
  <c r="CJ123"/>
  <c r="CK123"/>
  <c r="CL123"/>
  <c r="CM123"/>
  <c r="CN123"/>
  <c r="CO123"/>
  <c r="CP123"/>
  <c r="CQ123"/>
  <c r="CR123"/>
  <c r="CS123"/>
  <c r="CT123"/>
  <c r="CU123"/>
  <c r="CV123"/>
  <c r="CW123"/>
  <c r="CX123"/>
  <c r="CY123"/>
  <c r="CZ123"/>
  <c r="DA123"/>
  <c r="DB123"/>
  <c r="DC123"/>
  <c r="DD123"/>
  <c r="DE123"/>
  <c r="DF123"/>
  <c r="DG123"/>
  <c r="DH123"/>
  <c r="DI123"/>
  <c r="DJ123"/>
  <c r="DK123"/>
  <c r="DL123"/>
  <c r="DM123"/>
  <c r="DN123"/>
  <c r="DO123"/>
  <c r="DP123"/>
  <c r="DQ123"/>
  <c r="DR123"/>
  <c r="DS123"/>
  <c r="DT123"/>
  <c r="DU123"/>
  <c r="DV123"/>
  <c r="DW123"/>
  <c r="DX123"/>
  <c r="DY123"/>
  <c r="DZ123"/>
  <c r="EA123"/>
  <c r="EB123"/>
  <c r="EC123"/>
  <c r="ED123"/>
  <c r="EE123"/>
  <c r="EF123"/>
  <c r="EG123"/>
  <c r="EH123"/>
  <c r="EI123"/>
  <c r="EJ123"/>
  <c r="EK123"/>
  <c r="EL123"/>
  <c r="EM123"/>
  <c r="EN123"/>
  <c r="EO123"/>
  <c r="EP123"/>
  <c r="EQ123"/>
  <c r="ER123"/>
  <c r="ES123"/>
  <c r="ET123"/>
  <c r="EU123"/>
  <c r="EV123"/>
  <c r="EW123"/>
  <c r="EX123"/>
  <c r="EY123"/>
  <c r="EZ123"/>
  <c r="FA123"/>
  <c r="FB123"/>
  <c r="FC123"/>
  <c r="FD123"/>
  <c r="FE123"/>
  <c r="FF123"/>
  <c r="FG123"/>
  <c r="FH123"/>
  <c r="FI123"/>
  <c r="FJ123"/>
  <c r="FK123"/>
  <c r="FL123"/>
  <c r="FM123"/>
  <c r="FN123"/>
  <c r="FO123"/>
  <c r="FP123"/>
  <c r="FQ123"/>
  <c r="FR123"/>
  <c r="FS123"/>
  <c r="FT123"/>
  <c r="FU123"/>
  <c r="FV123"/>
  <c r="FW123"/>
  <c r="FX123"/>
  <c r="FY123"/>
  <c r="FZ123"/>
  <c r="GA123"/>
  <c r="GB123"/>
  <c r="GC123"/>
  <c r="GD123"/>
  <c r="GE123"/>
  <c r="GF123"/>
  <c r="GG123"/>
  <c r="GH123"/>
  <c r="GI123"/>
  <c r="GJ123"/>
  <c r="GK123"/>
  <c r="GL123"/>
  <c r="GM123"/>
  <c r="GN123"/>
  <c r="GO123"/>
  <c r="GP123"/>
  <c r="GQ123"/>
  <c r="E112"/>
  <c r="H57"/>
  <c r="J57"/>
  <c r="K57"/>
  <c r="L57"/>
  <c r="M57"/>
  <c r="N57"/>
  <c r="O57"/>
  <c r="P57"/>
  <c r="Q57"/>
  <c r="R57"/>
  <c r="S57"/>
  <c r="T57"/>
  <c r="U57"/>
  <c r="V57"/>
  <c r="W57"/>
  <c r="X57"/>
  <c r="Y57"/>
  <c r="I57"/>
  <c r="E82"/>
  <c r="E368" i="33"/>
  <c r="J367"/>
  <c r="E45" i="39" s="1"/>
  <c r="I367" i="33"/>
  <c r="D45" i="39" s="1"/>
  <c r="H367" i="33"/>
  <c r="G367"/>
  <c r="F367"/>
  <c r="E365"/>
  <c r="E367" s="1"/>
  <c r="E351" s="1"/>
  <c r="I363"/>
  <c r="G363"/>
  <c r="E363"/>
  <c r="K312"/>
  <c r="U290"/>
  <c r="T290"/>
  <c r="S290"/>
  <c r="R290"/>
  <c r="Q290"/>
  <c r="P290"/>
  <c r="O290"/>
  <c r="N290"/>
  <c r="M290"/>
  <c r="L290"/>
  <c r="K290"/>
  <c r="J290"/>
  <c r="I290"/>
  <c r="H290"/>
  <c r="G290"/>
  <c r="F290"/>
  <c r="E290"/>
  <c r="J286"/>
  <c r="I286"/>
  <c r="H286"/>
  <c r="G286"/>
  <c r="F286"/>
  <c r="E286"/>
  <c r="L283"/>
  <c r="M283" s="1"/>
  <c r="N283" s="1"/>
  <c r="J283"/>
  <c r="I283"/>
  <c r="H283"/>
  <c r="G283"/>
  <c r="F283"/>
  <c r="E283"/>
  <c r="J282"/>
  <c r="I282"/>
  <c r="H282"/>
  <c r="F282"/>
  <c r="L280"/>
  <c r="M280" s="1"/>
  <c r="J280"/>
  <c r="I280"/>
  <c r="H280"/>
  <c r="G280"/>
  <c r="F280"/>
  <c r="E280"/>
  <c r="J279"/>
  <c r="I279"/>
  <c r="H279"/>
  <c r="G279"/>
  <c r="F279"/>
  <c r="J277"/>
  <c r="I277"/>
  <c r="H277"/>
  <c r="G277"/>
  <c r="F277"/>
  <c r="E277"/>
  <c r="J276"/>
  <c r="I276"/>
  <c r="H276"/>
  <c r="G276"/>
  <c r="F276"/>
  <c r="K274"/>
  <c r="J273"/>
  <c r="J284" s="1"/>
  <c r="I273"/>
  <c r="I284" s="1"/>
  <c r="H273"/>
  <c r="H284" s="1"/>
  <c r="G273"/>
  <c r="G284" s="1"/>
  <c r="F273"/>
  <c r="F284" s="1"/>
  <c r="E273"/>
  <c r="E284" s="1"/>
  <c r="J272"/>
  <c r="I272"/>
  <c r="H272"/>
  <c r="G272"/>
  <c r="F272"/>
  <c r="J270"/>
  <c r="I270"/>
  <c r="H270"/>
  <c r="G270"/>
  <c r="F270"/>
  <c r="E270"/>
  <c r="K269"/>
  <c r="L269" s="1"/>
  <c r="M269" s="1"/>
  <c r="N269" s="1"/>
  <c r="O269" s="1"/>
  <c r="P269" s="1"/>
  <c r="Q269" s="1"/>
  <c r="R269" s="1"/>
  <c r="S269" s="1"/>
  <c r="T269" s="1"/>
  <c r="U269" s="1"/>
  <c r="K268"/>
  <c r="L125"/>
  <c r="L128" s="1"/>
  <c r="G18" i="39" s="1"/>
  <c r="J124" i="33"/>
  <c r="J126" s="1"/>
  <c r="I124"/>
  <c r="L123"/>
  <c r="U122"/>
  <c r="T122"/>
  <c r="S122"/>
  <c r="R122"/>
  <c r="Q122"/>
  <c r="P122"/>
  <c r="O122"/>
  <c r="N122"/>
  <c r="M122"/>
  <c r="K121"/>
  <c r="J121"/>
  <c r="I121"/>
  <c r="L120"/>
  <c r="K120"/>
  <c r="L117"/>
  <c r="M116"/>
  <c r="J116"/>
  <c r="I116"/>
  <c r="I112"/>
  <c r="J107"/>
  <c r="I107"/>
  <c r="L105"/>
  <c r="J105"/>
  <c r="I105"/>
  <c r="J104"/>
  <c r="P102"/>
  <c r="J101"/>
  <c r="I92"/>
  <c r="H92"/>
  <c r="G92"/>
  <c r="L91"/>
  <c r="G15" i="39" s="1"/>
  <c r="I91" i="33"/>
  <c r="D15" i="39" s="1"/>
  <c r="H91" i="33"/>
  <c r="G91"/>
  <c r="J90"/>
  <c r="J92" s="1"/>
  <c r="I89"/>
  <c r="J87"/>
  <c r="J85"/>
  <c r="I80"/>
  <c r="H80"/>
  <c r="H142" s="1"/>
  <c r="G76"/>
  <c r="J75"/>
  <c r="E13" i="39" s="1"/>
  <c r="I75" i="33"/>
  <c r="D13" i="39" s="1"/>
  <c r="H75" i="33"/>
  <c r="J73"/>
  <c r="I73"/>
  <c r="J72"/>
  <c r="I72"/>
  <c r="J69"/>
  <c r="H68"/>
  <c r="H133" s="1"/>
  <c r="G59"/>
  <c r="J57"/>
  <c r="I57"/>
  <c r="H57"/>
  <c r="G57"/>
  <c r="L56"/>
  <c r="J54"/>
  <c r="I54"/>
  <c r="H54"/>
  <c r="G54"/>
  <c r="J53"/>
  <c r="I53"/>
  <c r="H53"/>
  <c r="J50"/>
  <c r="I50"/>
  <c r="H50"/>
  <c r="G50"/>
  <c r="F50"/>
  <c r="J96" l="1"/>
  <c r="J130"/>
  <c r="J142" s="1"/>
  <c r="Q102"/>
  <c r="M105"/>
  <c r="I133"/>
  <c r="I148" s="1"/>
  <c r="M123"/>
  <c r="I134"/>
  <c r="K128"/>
  <c r="F18" i="39" s="1"/>
  <c r="I94" i="33"/>
  <c r="I110"/>
  <c r="D17" i="39"/>
  <c r="J94" i="33"/>
  <c r="G11" i="39"/>
  <c r="J110" i="33"/>
  <c r="E17" i="39"/>
  <c r="F351" i="33"/>
  <c r="F372" s="1"/>
  <c r="H351"/>
  <c r="H372" s="1"/>
  <c r="J351"/>
  <c r="G351"/>
  <c r="I351"/>
  <c r="I142"/>
  <c r="L312"/>
  <c r="L310" s="1"/>
  <c r="K310"/>
  <c r="I136"/>
  <c r="I126"/>
  <c r="J88"/>
  <c r="J136"/>
  <c r="J133"/>
  <c r="J148" s="1"/>
  <c r="J134"/>
  <c r="J138"/>
  <c r="G138"/>
  <c r="H138"/>
  <c r="I138"/>
  <c r="I30" i="35"/>
  <c r="H73" i="33"/>
  <c r="H148"/>
  <c r="I123"/>
  <c r="F364"/>
  <c r="F344" s="1"/>
  <c r="H364"/>
  <c r="H344" s="1"/>
  <c r="J364"/>
  <c r="J344" s="1"/>
  <c r="E33" i="39" s="1"/>
  <c r="K270" i="33"/>
  <c r="E83" i="26"/>
  <c r="E92"/>
  <c r="E100" s="1"/>
  <c r="E127"/>
  <c r="E113"/>
  <c r="E168"/>
  <c r="E152"/>
  <c r="E160" s="1"/>
  <c r="E143"/>
  <c r="J125" i="33"/>
  <c r="L124"/>
  <c r="L126" s="1"/>
  <c r="J117"/>
  <c r="N116"/>
  <c r="M125"/>
  <c r="I120"/>
  <c r="I125"/>
  <c r="K124"/>
  <c r="K126" s="1"/>
  <c r="M56"/>
  <c r="M120"/>
  <c r="L122"/>
  <c r="L268"/>
  <c r="L270" s="1"/>
  <c r="I71" i="26"/>
  <c r="V71"/>
  <c r="T71"/>
  <c r="R71"/>
  <c r="P71"/>
  <c r="Y71"/>
  <c r="W71"/>
  <c r="U71"/>
  <c r="S71"/>
  <c r="Q71"/>
  <c r="O71"/>
  <c r="M71"/>
  <c r="K71"/>
  <c r="H71"/>
  <c r="F154"/>
  <c r="G154" s="1"/>
  <c r="H154" s="1"/>
  <c r="I154" s="1"/>
  <c r="J154" s="1"/>
  <c r="K154" s="1"/>
  <c r="L154" s="1"/>
  <c r="M154" s="1"/>
  <c r="N154" s="1"/>
  <c r="O154" s="1"/>
  <c r="P154" s="1"/>
  <c r="Q154" s="1"/>
  <c r="R154" s="1"/>
  <c r="S154" s="1"/>
  <c r="T154" s="1"/>
  <c r="U154" s="1"/>
  <c r="V154" s="1"/>
  <c r="W154" s="1"/>
  <c r="X154" s="1"/>
  <c r="Y154" s="1"/>
  <c r="Z154" s="1"/>
  <c r="AA154" s="1"/>
  <c r="AB154" s="1"/>
  <c r="AC154" s="1"/>
  <c r="AD154" s="1"/>
  <c r="AE154" s="1"/>
  <c r="AF154" s="1"/>
  <c r="AG154" s="1"/>
  <c r="AH154" s="1"/>
  <c r="AI154" s="1"/>
  <c r="AJ154" s="1"/>
  <c r="AK154" s="1"/>
  <c r="AL154" s="1"/>
  <c r="AM154" s="1"/>
  <c r="AN154" s="1"/>
  <c r="AO154" s="1"/>
  <c r="AP154" s="1"/>
  <c r="AQ154" s="1"/>
  <c r="AR154" s="1"/>
  <c r="AS154" s="1"/>
  <c r="AT154" s="1"/>
  <c r="AU154" s="1"/>
  <c r="AV154" s="1"/>
  <c r="AW154" s="1"/>
  <c r="AX154" s="1"/>
  <c r="AY154" s="1"/>
  <c r="AZ154" s="1"/>
  <c r="BA154" s="1"/>
  <c r="BB154" s="1"/>
  <c r="BC154" s="1"/>
  <c r="BD154" s="1"/>
  <c r="BE154" s="1"/>
  <c r="BF154" s="1"/>
  <c r="BG154" s="1"/>
  <c r="BH154" s="1"/>
  <c r="BI154" s="1"/>
  <c r="BJ154" s="1"/>
  <c r="BK154" s="1"/>
  <c r="BL154" s="1"/>
  <c r="BM154" s="1"/>
  <c r="BN154" s="1"/>
  <c r="BO154" s="1"/>
  <c r="BP154" s="1"/>
  <c r="BQ154" s="1"/>
  <c r="BR154" s="1"/>
  <c r="BS154" s="1"/>
  <c r="BT154" s="1"/>
  <c r="BU154" s="1"/>
  <c r="BV154" s="1"/>
  <c r="BW154" s="1"/>
  <c r="BX154" s="1"/>
  <c r="BY154" s="1"/>
  <c r="BZ154" s="1"/>
  <c r="CA154" s="1"/>
  <c r="CB154" s="1"/>
  <c r="CC154" s="1"/>
  <c r="CD154" s="1"/>
  <c r="CE154" s="1"/>
  <c r="CF154" s="1"/>
  <c r="CG154" s="1"/>
  <c r="CH154" s="1"/>
  <c r="CI154" s="1"/>
  <c r="CJ154" s="1"/>
  <c r="CK154" s="1"/>
  <c r="CL154" s="1"/>
  <c r="CM154" s="1"/>
  <c r="CN154" s="1"/>
  <c r="CO154" s="1"/>
  <c r="CP154" s="1"/>
  <c r="CQ154" s="1"/>
  <c r="CR154" s="1"/>
  <c r="CS154" s="1"/>
  <c r="CT154" s="1"/>
  <c r="CU154" s="1"/>
  <c r="CV154" s="1"/>
  <c r="CW154" s="1"/>
  <c r="CX154" s="1"/>
  <c r="CY154" s="1"/>
  <c r="CZ154" s="1"/>
  <c r="DA154" s="1"/>
  <c r="DB154" s="1"/>
  <c r="DC154" s="1"/>
  <c r="DD154" s="1"/>
  <c r="DE154" s="1"/>
  <c r="DF154" s="1"/>
  <c r="DG154" s="1"/>
  <c r="DH154" s="1"/>
  <c r="DI154" s="1"/>
  <c r="DJ154" s="1"/>
  <c r="DK154" s="1"/>
  <c r="DL154" s="1"/>
  <c r="DM154" s="1"/>
  <c r="DN154" s="1"/>
  <c r="DO154" s="1"/>
  <c r="DP154" s="1"/>
  <c r="DQ154" s="1"/>
  <c r="DR154" s="1"/>
  <c r="DS154" s="1"/>
  <c r="DT154" s="1"/>
  <c r="DU154" s="1"/>
  <c r="DV154" s="1"/>
  <c r="DW154" s="1"/>
  <c r="DX154" s="1"/>
  <c r="DY154" s="1"/>
  <c r="DZ154" s="1"/>
  <c r="EA154" s="1"/>
  <c r="EB154" s="1"/>
  <c r="EC154" s="1"/>
  <c r="ED154" s="1"/>
  <c r="EE154" s="1"/>
  <c r="EF154" s="1"/>
  <c r="EG154" s="1"/>
  <c r="EH154" s="1"/>
  <c r="EI154" s="1"/>
  <c r="EJ154" s="1"/>
  <c r="EK154" s="1"/>
  <c r="EL154" s="1"/>
  <c r="EM154" s="1"/>
  <c r="EN154" s="1"/>
  <c r="EO154" s="1"/>
  <c r="EP154" s="1"/>
  <c r="EQ154" s="1"/>
  <c r="ER154" s="1"/>
  <c r="ES154" s="1"/>
  <c r="ET154" s="1"/>
  <c r="EU154" s="1"/>
  <c r="EV154" s="1"/>
  <c r="EW154" s="1"/>
  <c r="EX154" s="1"/>
  <c r="EY154" s="1"/>
  <c r="EZ154" s="1"/>
  <c r="FA154" s="1"/>
  <c r="FB154" s="1"/>
  <c r="FC154" s="1"/>
  <c r="FD154" s="1"/>
  <c r="FE154" s="1"/>
  <c r="FF154" s="1"/>
  <c r="FG154" s="1"/>
  <c r="FH154" s="1"/>
  <c r="FI154" s="1"/>
  <c r="FJ154" s="1"/>
  <c r="FK154" s="1"/>
  <c r="FL154" s="1"/>
  <c r="FM154" s="1"/>
  <c r="FN154" s="1"/>
  <c r="FO154" s="1"/>
  <c r="FP154" s="1"/>
  <c r="FQ154" s="1"/>
  <c r="FR154" s="1"/>
  <c r="FS154" s="1"/>
  <c r="FT154" s="1"/>
  <c r="FU154" s="1"/>
  <c r="FV154" s="1"/>
  <c r="FW154" s="1"/>
  <c r="FX154" s="1"/>
  <c r="FY154" s="1"/>
  <c r="FZ154" s="1"/>
  <c r="GA154" s="1"/>
  <c r="GB154" s="1"/>
  <c r="GC154" s="1"/>
  <c r="GD154" s="1"/>
  <c r="GE154" s="1"/>
  <c r="GF154" s="1"/>
  <c r="GG154" s="1"/>
  <c r="GH154" s="1"/>
  <c r="GI154" s="1"/>
  <c r="GJ154" s="1"/>
  <c r="GK154" s="1"/>
  <c r="GL154" s="1"/>
  <c r="GM154" s="1"/>
  <c r="GN154" s="1"/>
  <c r="GO154" s="1"/>
  <c r="GP154" s="1"/>
  <c r="GQ154" s="1"/>
  <c r="E157"/>
  <c r="F142"/>
  <c r="E166"/>
  <c r="E167" s="1"/>
  <c r="F112"/>
  <c r="G112" s="1"/>
  <c r="X71"/>
  <c r="N71"/>
  <c r="L71"/>
  <c r="J71"/>
  <c r="F82"/>
  <c r="F92" s="1"/>
  <c r="E289" i="33"/>
  <c r="E293" s="1"/>
  <c r="E352" s="1"/>
  <c r="E354" s="1"/>
  <c r="E285"/>
  <c r="G289"/>
  <c r="G293" s="1"/>
  <c r="G352" s="1"/>
  <c r="G285"/>
  <c r="I289"/>
  <c r="I293" s="1"/>
  <c r="I285"/>
  <c r="O283"/>
  <c r="I69"/>
  <c r="M75"/>
  <c r="J89"/>
  <c r="M91"/>
  <c r="H15" i="39" s="1"/>
  <c r="F289" i="33"/>
  <c r="F293" s="1"/>
  <c r="F352" s="1"/>
  <c r="F354" s="1"/>
  <c r="F285"/>
  <c r="H289"/>
  <c r="H293" s="1"/>
  <c r="H352" s="1"/>
  <c r="H285"/>
  <c r="J289"/>
  <c r="J293" s="1"/>
  <c r="J285"/>
  <c r="N280"/>
  <c r="E369"/>
  <c r="E370"/>
  <c r="E372"/>
  <c r="G369"/>
  <c r="G370"/>
  <c r="I369"/>
  <c r="D46" i="39" s="1"/>
  <c r="I370" i="33"/>
  <c r="D47" i="39" s="1"/>
  <c r="K107" i="33"/>
  <c r="F17" i="39" s="1"/>
  <c r="K117" i="33"/>
  <c r="M117"/>
  <c r="J120"/>
  <c r="K122"/>
  <c r="J123"/>
  <c r="L129"/>
  <c r="L130" s="1"/>
  <c r="L274"/>
  <c r="F370"/>
  <c r="F369"/>
  <c r="H370"/>
  <c r="H369"/>
  <c r="J370"/>
  <c r="E47" i="39" s="1"/>
  <c r="J369" i="33"/>
  <c r="E46" i="39" s="1"/>
  <c r="J122" i="33"/>
  <c r="F363"/>
  <c r="H363"/>
  <c r="J363"/>
  <c r="E364"/>
  <c r="E344" s="1"/>
  <c r="G364"/>
  <c r="G344" s="1"/>
  <c r="I364"/>
  <c r="I344" s="1"/>
  <c r="D33" i="39" s="1"/>
  <c r="N105" i="33" l="1"/>
  <c r="J135"/>
  <c r="R102"/>
  <c r="K89"/>
  <c r="N123"/>
  <c r="H354"/>
  <c r="J352"/>
  <c r="E28" i="39"/>
  <c r="H13"/>
  <c r="I352" i="33"/>
  <c r="D37" i="39" s="1"/>
  <c r="D28"/>
  <c r="D35" s="1"/>
  <c r="N56" i="33"/>
  <c r="I11" i="39" s="1"/>
  <c r="H11"/>
  <c r="I372" i="33"/>
  <c r="D48" i="39" s="1"/>
  <c r="D36"/>
  <c r="J372" i="33"/>
  <c r="E48" i="39" s="1"/>
  <c r="E91" s="1"/>
  <c r="E36"/>
  <c r="I354" i="33"/>
  <c r="G354"/>
  <c r="J341"/>
  <c r="J345" s="1"/>
  <c r="J371" s="1"/>
  <c r="J373" s="1"/>
  <c r="H341"/>
  <c r="H345" s="1"/>
  <c r="H371" s="1"/>
  <c r="H373" s="1"/>
  <c r="F341"/>
  <c r="F345" s="1"/>
  <c r="F371" s="1"/>
  <c r="F373" s="1"/>
  <c r="I341"/>
  <c r="I345" s="1"/>
  <c r="I371" s="1"/>
  <c r="G341"/>
  <c r="G345" s="1"/>
  <c r="G371" s="1"/>
  <c r="E341"/>
  <c r="E345" s="1"/>
  <c r="E371" s="1"/>
  <c r="E373" s="1"/>
  <c r="M312"/>
  <c r="M310" s="1"/>
  <c r="J137"/>
  <c r="H297"/>
  <c r="H299" s="1"/>
  <c r="F297"/>
  <c r="G297"/>
  <c r="G372"/>
  <c r="M268"/>
  <c r="M270" s="1"/>
  <c r="H139"/>
  <c r="J297"/>
  <c r="J299" s="1"/>
  <c r="I297"/>
  <c r="I299" s="1"/>
  <c r="I139"/>
  <c r="J139"/>
  <c r="BA69" i="35"/>
  <c r="J30"/>
  <c r="M124" i="33"/>
  <c r="M126" s="1"/>
  <c r="M128"/>
  <c r="H18" i="39" s="1"/>
  <c r="N120" i="33"/>
  <c r="O116"/>
  <c r="N125"/>
  <c r="N128" s="1"/>
  <c r="I18" i="39" s="1"/>
  <c r="N117" i="33"/>
  <c r="H112" i="26"/>
  <c r="G113"/>
  <c r="F113"/>
  <c r="F152"/>
  <c r="F160" s="1"/>
  <c r="F143"/>
  <c r="F168"/>
  <c r="F166"/>
  <c r="F167" s="1"/>
  <c r="F157"/>
  <c r="G142"/>
  <c r="E158"/>
  <c r="F83"/>
  <c r="G82"/>
  <c r="G92" s="1"/>
  <c r="M129" i="33"/>
  <c r="M130" s="1"/>
  <c r="N91"/>
  <c r="I15" i="39" s="1"/>
  <c r="L89" i="33"/>
  <c r="N75"/>
  <c r="P283"/>
  <c r="I294"/>
  <c r="G294"/>
  <c r="E294"/>
  <c r="M274"/>
  <c r="L107"/>
  <c r="G17" i="39" s="1"/>
  <c r="O280" i="33"/>
  <c r="J294"/>
  <c r="H294"/>
  <c r="F294"/>
  <c r="O105"/>
  <c r="O120" l="1"/>
  <c r="S102"/>
  <c r="O56"/>
  <c r="J11" i="39" s="1"/>
  <c r="I373" i="33"/>
  <c r="D49" i="39"/>
  <c r="D39"/>
  <c r="E35"/>
  <c r="E90" s="1"/>
  <c r="E92" s="1"/>
  <c r="E29"/>
  <c r="I13"/>
  <c r="J354" i="33"/>
  <c r="E37" i="39"/>
  <c r="G373" i="33"/>
  <c r="E356"/>
  <c r="G356"/>
  <c r="I356"/>
  <c r="I359" s="1"/>
  <c r="F356"/>
  <c r="H356"/>
  <c r="J356"/>
  <c r="J359" s="1"/>
  <c r="N268"/>
  <c r="N270" s="1"/>
  <c r="N312"/>
  <c r="N310" s="1"/>
  <c r="G299"/>
  <c r="BA74" i="35"/>
  <c r="K30"/>
  <c r="O117" i="33"/>
  <c r="N124"/>
  <c r="N126" s="1"/>
  <c r="P116"/>
  <c r="O125"/>
  <c r="O123"/>
  <c r="G152" i="26"/>
  <c r="G160" s="1"/>
  <c r="G143"/>
  <c r="I112"/>
  <c r="H113"/>
  <c r="G168"/>
  <c r="G166"/>
  <c r="G167" s="1"/>
  <c r="G157"/>
  <c r="H142"/>
  <c r="H82"/>
  <c r="G83"/>
  <c r="P280" i="33"/>
  <c r="N274"/>
  <c r="M89"/>
  <c r="P105"/>
  <c r="N129"/>
  <c r="N130" s="1"/>
  <c r="M107"/>
  <c r="H17" i="39" s="1"/>
  <c r="Q283" i="33"/>
  <c r="O75"/>
  <c r="O91"/>
  <c r="J15" i="39" s="1"/>
  <c r="P56" i="33" l="1"/>
  <c r="K11" i="39" s="1"/>
  <c r="P117" i="33"/>
  <c r="T102"/>
  <c r="O312"/>
  <c r="O310" s="1"/>
  <c r="J13" i="39"/>
  <c r="E49"/>
  <c r="E39"/>
  <c r="O268" i="33"/>
  <c r="O270" s="1"/>
  <c r="E359"/>
  <c r="F359"/>
  <c r="H359"/>
  <c r="G359"/>
  <c r="P123"/>
  <c r="L30" i="35"/>
  <c r="O124" i="33"/>
  <c r="O126" s="1"/>
  <c r="O128"/>
  <c r="J18" i="39" s="1"/>
  <c r="P125" i="33"/>
  <c r="P128" s="1"/>
  <c r="K18" i="39" s="1"/>
  <c r="P120" i="33"/>
  <c r="Q116"/>
  <c r="H92" i="26"/>
  <c r="H152"/>
  <c r="H160" s="1"/>
  <c r="H143"/>
  <c r="J112"/>
  <c r="I113"/>
  <c r="H168"/>
  <c r="H166"/>
  <c r="H167" s="1"/>
  <c r="H157"/>
  <c r="I142"/>
  <c r="I82"/>
  <c r="I92" s="1"/>
  <c r="H83"/>
  <c r="H97"/>
  <c r="P75" i="33"/>
  <c r="Q56"/>
  <c r="L11" i="39" s="1"/>
  <c r="R283" i="33"/>
  <c r="N107"/>
  <c r="I17" i="39" s="1"/>
  <c r="O129" i="33"/>
  <c r="O130" s="1"/>
  <c r="P91"/>
  <c r="K15" i="39" s="1"/>
  <c r="P312" i="33"/>
  <c r="P310" s="1"/>
  <c r="Q105"/>
  <c r="N89"/>
  <c r="O274"/>
  <c r="Q280"/>
  <c r="U102" l="1"/>
  <c r="R116"/>
  <c r="S116" s="1"/>
  <c r="P268"/>
  <c r="Q268" s="1"/>
  <c r="K13" i="39"/>
  <c r="P124" i="33"/>
  <c r="P126" s="1"/>
  <c r="Q120"/>
  <c r="Q125"/>
  <c r="Q128" s="1"/>
  <c r="L18" i="39" s="1"/>
  <c r="Q117" i="33"/>
  <c r="Q123"/>
  <c r="BA129" i="35"/>
  <c r="M30"/>
  <c r="K112" i="26"/>
  <c r="J113"/>
  <c r="I152"/>
  <c r="I160" s="1"/>
  <c r="I143"/>
  <c r="I168"/>
  <c r="J142"/>
  <c r="I166"/>
  <c r="I167" s="1"/>
  <c r="I157"/>
  <c r="J82"/>
  <c r="J92" s="1"/>
  <c r="I83"/>
  <c r="P129" i="33"/>
  <c r="P130" s="1"/>
  <c r="R280"/>
  <c r="P274"/>
  <c r="Q312"/>
  <c r="Q310" s="1"/>
  <c r="R117"/>
  <c r="O107"/>
  <c r="J17" i="39" s="1"/>
  <c r="O89" i="33"/>
  <c r="R105"/>
  <c r="P270"/>
  <c r="Q91"/>
  <c r="L15" i="39" s="1"/>
  <c r="S283" i="33"/>
  <c r="R56"/>
  <c r="M11" i="39" s="1"/>
  <c r="Q75" i="33"/>
  <c r="R120" l="1"/>
  <c r="R123"/>
  <c r="L13" i="39"/>
  <c r="R125" i="33"/>
  <c r="R128" s="1"/>
  <c r="M18" i="39" s="1"/>
  <c r="Q124" i="33"/>
  <c r="Q126" s="1"/>
  <c r="BA134" i="35"/>
  <c r="N30"/>
  <c r="J152" i="26"/>
  <c r="J160" s="1"/>
  <c r="J143"/>
  <c r="L112"/>
  <c r="K113"/>
  <c r="J168"/>
  <c r="J166"/>
  <c r="J167" s="1"/>
  <c r="J157"/>
  <c r="K142"/>
  <c r="K82"/>
  <c r="K92" s="1"/>
  <c r="J83"/>
  <c r="S105" i="33"/>
  <c r="S120"/>
  <c r="T116"/>
  <c r="S123"/>
  <c r="S117"/>
  <c r="R312"/>
  <c r="R310" s="1"/>
  <c r="S280"/>
  <c r="R75"/>
  <c r="S56"/>
  <c r="N11" i="39" s="1"/>
  <c r="T283" i="33"/>
  <c r="R91"/>
  <c r="M15" i="39" s="1"/>
  <c r="R268" i="33"/>
  <c r="Q270"/>
  <c r="P107"/>
  <c r="K17" i="39" s="1"/>
  <c r="Q129" i="33"/>
  <c r="Q130" s="1"/>
  <c r="P89"/>
  <c r="Q274"/>
  <c r="M13" i="39" l="1"/>
  <c r="S125" i="33"/>
  <c r="S128" s="1"/>
  <c r="N18" i="39" s="1"/>
  <c r="R124" i="33"/>
  <c r="R126" s="1"/>
  <c r="O30" i="35"/>
  <c r="K152" i="26"/>
  <c r="K143"/>
  <c r="M112"/>
  <c r="L113"/>
  <c r="K168"/>
  <c r="K166"/>
  <c r="K167" s="1"/>
  <c r="K157"/>
  <c r="L142"/>
  <c r="L82"/>
  <c r="L92" s="1"/>
  <c r="L100" s="1"/>
  <c r="K97"/>
  <c r="K83"/>
  <c r="Q89" i="33"/>
  <c r="S91"/>
  <c r="N15" i="39" s="1"/>
  <c r="T123" i="33"/>
  <c r="T117"/>
  <c r="T120"/>
  <c r="U116"/>
  <c r="S124"/>
  <c r="S126" s="1"/>
  <c r="R274"/>
  <c r="U283"/>
  <c r="T56"/>
  <c r="O11" i="39" s="1"/>
  <c r="S75" i="33"/>
  <c r="T105"/>
  <c r="R129"/>
  <c r="R130" s="1"/>
  <c r="Q107"/>
  <c r="L17" i="39" s="1"/>
  <c r="R270" i="33"/>
  <c r="S268"/>
  <c r="T280"/>
  <c r="S312"/>
  <c r="S310" s="1"/>
  <c r="N13" i="39" l="1"/>
  <c r="T125" i="33"/>
  <c r="T128" s="1"/>
  <c r="O18" i="39" s="1"/>
  <c r="P30" i="35"/>
  <c r="L152" i="26"/>
  <c r="L160" s="1"/>
  <c r="L143"/>
  <c r="M113"/>
  <c r="L166"/>
  <c r="L167" s="1"/>
  <c r="L157"/>
  <c r="L168"/>
  <c r="M142"/>
  <c r="M82"/>
  <c r="M92" s="1"/>
  <c r="M100" s="1"/>
  <c r="L83"/>
  <c r="U105" i="33"/>
  <c r="T75"/>
  <c r="U56"/>
  <c r="U280"/>
  <c r="R107"/>
  <c r="M17" i="39" s="1"/>
  <c r="S129" i="33"/>
  <c r="S130" s="1"/>
  <c r="U120"/>
  <c r="U123"/>
  <c r="U117"/>
  <c r="T312"/>
  <c r="T310" s="1"/>
  <c r="T268"/>
  <c r="S270"/>
  <c r="S274"/>
  <c r="T91"/>
  <c r="O15" i="39" s="1"/>
  <c r="R89" i="33"/>
  <c r="T124" l="1"/>
  <c r="T126" s="1"/>
  <c r="P11" i="39"/>
  <c r="O13"/>
  <c r="U125" i="33"/>
  <c r="U124" s="1"/>
  <c r="U126" s="1"/>
  <c r="Q30" i="35"/>
  <c r="U128" i="33"/>
  <c r="P18" i="39" s="1"/>
  <c r="M152" i="26"/>
  <c r="M160" s="1"/>
  <c r="M143"/>
  <c r="M168"/>
  <c r="M166"/>
  <c r="M167" s="1"/>
  <c r="N142"/>
  <c r="M157"/>
  <c r="N82"/>
  <c r="N92" s="1"/>
  <c r="N100" s="1"/>
  <c r="M83"/>
  <c r="U91" i="33"/>
  <c r="P15" i="39" s="1"/>
  <c r="S89" i="33"/>
  <c r="T274"/>
  <c r="U312"/>
  <c r="U310" s="1"/>
  <c r="S107"/>
  <c r="N17" i="39" s="1"/>
  <c r="T270" i="33"/>
  <c r="U268"/>
  <c r="U270" s="1"/>
  <c r="T129"/>
  <c r="T130" s="1"/>
  <c r="U75"/>
  <c r="P13" i="39" l="1"/>
  <c r="R30" i="35"/>
  <c r="N152" i="26"/>
  <c r="N160" s="1"/>
  <c r="N143"/>
  <c r="N168"/>
  <c r="N166"/>
  <c r="N167" s="1"/>
  <c r="N157"/>
  <c r="O142"/>
  <c r="O82"/>
  <c r="O92" s="1"/>
  <c r="O100" s="1"/>
  <c r="N83"/>
  <c r="T107" i="33"/>
  <c r="O17" i="39" s="1"/>
  <c r="U274" i="33"/>
  <c r="U129"/>
  <c r="U130" s="1"/>
  <c r="T89"/>
  <c r="S30" i="35" l="1"/>
  <c r="O152" i="26"/>
  <c r="O160" s="1"/>
  <c r="O143"/>
  <c r="O168"/>
  <c r="O166"/>
  <c r="O167" s="1"/>
  <c r="O157"/>
  <c r="P142"/>
  <c r="P82"/>
  <c r="P92" s="1"/>
  <c r="P100" s="1"/>
  <c r="O83"/>
  <c r="U107" i="33"/>
  <c r="P17" i="39" s="1"/>
  <c r="U89" i="33"/>
  <c r="T30" i="35" l="1"/>
  <c r="P152" i="26"/>
  <c r="P160" s="1"/>
  <c r="P143"/>
  <c r="P168"/>
  <c r="P166"/>
  <c r="P167" s="1"/>
  <c r="P157"/>
  <c r="Q142"/>
  <c r="Q82"/>
  <c r="Q92" s="1"/>
  <c r="Q100" s="1"/>
  <c r="P83"/>
  <c r="U30" i="35" l="1"/>
  <c r="Q152" i="26"/>
  <c r="Q143"/>
  <c r="Q168"/>
  <c r="R142"/>
  <c r="Q166"/>
  <c r="Q157"/>
  <c r="Q167"/>
  <c r="R82"/>
  <c r="R92" s="1"/>
  <c r="R100" s="1"/>
  <c r="Q83"/>
  <c r="V30" i="35" l="1"/>
  <c r="R152" i="26"/>
  <c r="R160" s="1"/>
  <c r="R143"/>
  <c r="R168"/>
  <c r="R166"/>
  <c r="R167" s="1"/>
  <c r="R157"/>
  <c r="S142"/>
  <c r="S82"/>
  <c r="S92" s="1"/>
  <c r="S100" s="1"/>
  <c r="R83"/>
  <c r="W30" i="35" l="1"/>
  <c r="S152" i="26"/>
  <c r="S160" s="1"/>
  <c r="S143"/>
  <c r="S168"/>
  <c r="S166"/>
  <c r="S167" s="1"/>
  <c r="S157"/>
  <c r="T142"/>
  <c r="T82"/>
  <c r="T92" s="1"/>
  <c r="T100" s="1"/>
  <c r="S83"/>
  <c r="X30" i="35" l="1"/>
  <c r="T152" i="26"/>
  <c r="T160" s="1"/>
  <c r="T143"/>
  <c r="T166"/>
  <c r="T168"/>
  <c r="T157"/>
  <c r="U142"/>
  <c r="T167"/>
  <c r="U82"/>
  <c r="U92" s="1"/>
  <c r="U100" s="1"/>
  <c r="T83"/>
  <c r="BG129" i="35" l="1"/>
  <c r="U152" i="26"/>
  <c r="U160" s="1"/>
  <c r="U143"/>
  <c r="U168"/>
  <c r="U166"/>
  <c r="U167" s="1"/>
  <c r="V142"/>
  <c r="U157"/>
  <c r="V82"/>
  <c r="V92" s="1"/>
  <c r="V100" s="1"/>
  <c r="U83"/>
  <c r="BG134" i="35" l="1"/>
  <c r="V152" i="26"/>
  <c r="V160" s="1"/>
  <c r="V143"/>
  <c r="V168"/>
  <c r="V166"/>
  <c r="V167" s="1"/>
  <c r="V157"/>
  <c r="W142"/>
  <c r="W82"/>
  <c r="W92" s="1"/>
  <c r="W100" s="1"/>
  <c r="V83"/>
  <c r="W152" l="1"/>
  <c r="W160" s="1"/>
  <c r="W143"/>
  <c r="W168"/>
  <c r="W166"/>
  <c r="W167" s="1"/>
  <c r="W157"/>
  <c r="X142"/>
  <c r="X82"/>
  <c r="X92" s="1"/>
  <c r="X100" s="1"/>
  <c r="W83"/>
  <c r="X152" l="1"/>
  <c r="X160" s="1"/>
  <c r="X143"/>
  <c r="X166"/>
  <c r="X167" s="1"/>
  <c r="X168"/>
  <c r="X157"/>
  <c r="Y142"/>
  <c r="Y82"/>
  <c r="Y92" s="1"/>
  <c r="Y100" s="1"/>
  <c r="X83"/>
  <c r="Y152" l="1"/>
  <c r="Y160" s="1"/>
  <c r="Y143"/>
  <c r="Y168"/>
  <c r="Y166"/>
  <c r="Y167" s="1"/>
  <c r="Z142"/>
  <c r="Y157"/>
  <c r="Z82"/>
  <c r="Z92" s="1"/>
  <c r="Z100" s="1"/>
  <c r="Y83"/>
  <c r="Z152" l="1"/>
  <c r="Z160" s="1"/>
  <c r="Z143"/>
  <c r="Z168"/>
  <c r="Z166"/>
  <c r="Z167" s="1"/>
  <c r="Z157"/>
  <c r="AA142"/>
  <c r="AA82"/>
  <c r="AA92" s="1"/>
  <c r="AA100" s="1"/>
  <c r="Z83"/>
  <c r="AA152" l="1"/>
  <c r="AA160" s="1"/>
  <c r="AA143"/>
  <c r="AA168"/>
  <c r="AA166"/>
  <c r="AA167" s="1"/>
  <c r="AA157"/>
  <c r="AB142"/>
  <c r="AB82"/>
  <c r="AB92" s="1"/>
  <c r="AB100" s="1"/>
  <c r="AA83"/>
  <c r="AB152" l="1"/>
  <c r="AB160" s="1"/>
  <c r="AB143"/>
  <c r="AB166"/>
  <c r="AB167" s="1"/>
  <c r="AB157"/>
  <c r="AB168"/>
  <c r="AC142"/>
  <c r="AC82"/>
  <c r="AB83"/>
  <c r="BM69" i="35" l="1"/>
  <c r="AC152" i="26"/>
  <c r="AC143"/>
  <c r="AC83"/>
  <c r="AC92"/>
  <c r="AC100" s="1"/>
  <c r="AC168"/>
  <c r="AC166"/>
  <c r="AC167" s="1"/>
  <c r="AD142"/>
  <c r="AC157"/>
  <c r="BM74" i="35" l="1"/>
  <c r="AD152" i="26"/>
  <c r="AD160" s="1"/>
  <c r="AD143"/>
  <c r="AD168"/>
  <c r="AD166"/>
  <c r="AD167" s="1"/>
  <c r="AD157"/>
  <c r="AE142"/>
  <c r="AE152" l="1"/>
  <c r="AE160" s="1"/>
  <c r="AE143"/>
  <c r="AE168"/>
  <c r="AE166"/>
  <c r="AE167" s="1"/>
  <c r="AE157"/>
  <c r="AF142"/>
  <c r="AF152" l="1"/>
  <c r="AF160" s="1"/>
  <c r="AF143"/>
  <c r="AF166"/>
  <c r="AF167" s="1"/>
  <c r="AF168"/>
  <c r="AF157"/>
  <c r="AG142"/>
  <c r="AG152" l="1"/>
  <c r="AG160" s="1"/>
  <c r="AG143"/>
  <c r="AG168"/>
  <c r="AH142"/>
  <c r="AG166"/>
  <c r="AG167" s="1"/>
  <c r="AG157"/>
  <c r="BM129" i="35" l="1"/>
  <c r="AH152" i="26"/>
  <c r="AH160" s="1"/>
  <c r="AH143"/>
  <c r="AH168"/>
  <c r="AH166"/>
  <c r="AH167" s="1"/>
  <c r="AH157"/>
  <c r="AI142"/>
  <c r="BM134" i="35" l="1"/>
  <c r="K24"/>
  <c r="AI152" i="26"/>
  <c r="AI160" s="1"/>
  <c r="AI143"/>
  <c r="AI168"/>
  <c r="AI166"/>
  <c r="AI167" s="1"/>
  <c r="AI157"/>
  <c r="AJ142"/>
  <c r="AJ152" l="1"/>
  <c r="AJ160" s="1"/>
  <c r="AJ143"/>
  <c r="AJ166"/>
  <c r="AJ167" s="1"/>
  <c r="AJ168"/>
  <c r="AJ157"/>
  <c r="AK142"/>
  <c r="AK152" l="1"/>
  <c r="AK160" s="1"/>
  <c r="AK143"/>
  <c r="AK168"/>
  <c r="AK166"/>
  <c r="AK167" s="1"/>
  <c r="AL142"/>
  <c r="AK157"/>
  <c r="AL152" l="1"/>
  <c r="AL160" s="1"/>
  <c r="AL143"/>
  <c r="AL168"/>
  <c r="AL166"/>
  <c r="AL167" s="1"/>
  <c r="AL157"/>
  <c r="AM142"/>
  <c r="AM152" l="1"/>
  <c r="AM160" s="1"/>
  <c r="AM143"/>
  <c r="AM168"/>
  <c r="AM166"/>
  <c r="AM167" s="1"/>
  <c r="AM157"/>
  <c r="AN142"/>
  <c r="AN152" l="1"/>
  <c r="AN160" s="1"/>
  <c r="AN143"/>
  <c r="AN166"/>
  <c r="AN167" s="1"/>
  <c r="AN168"/>
  <c r="AN157"/>
  <c r="AO142"/>
  <c r="AO152" l="1"/>
  <c r="AO143"/>
  <c r="AO168"/>
  <c r="AO166"/>
  <c r="AO167" s="1"/>
  <c r="AP142"/>
  <c r="AO157"/>
  <c r="AP152" l="1"/>
  <c r="AP160" s="1"/>
  <c r="AP143"/>
  <c r="AP168"/>
  <c r="AP166"/>
  <c r="AP167" s="1"/>
  <c r="AP157"/>
  <c r="AQ142"/>
  <c r="AQ152" l="1"/>
  <c r="AQ160" s="1"/>
  <c r="AQ143"/>
  <c r="AQ168"/>
  <c r="AQ166"/>
  <c r="AQ167" s="1"/>
  <c r="AQ157"/>
  <c r="AR142"/>
  <c r="AR152" l="1"/>
  <c r="AR160" s="1"/>
  <c r="AR143"/>
  <c r="AR166"/>
  <c r="AR167" s="1"/>
  <c r="AR157"/>
  <c r="AR168"/>
  <c r="AS142"/>
  <c r="AS152" l="1"/>
  <c r="AS160" s="1"/>
  <c r="AS143"/>
  <c r="AS168"/>
  <c r="AS166"/>
  <c r="AS167" s="1"/>
  <c r="AT142"/>
  <c r="AS157"/>
  <c r="AT152" l="1"/>
  <c r="AT160" s="1"/>
  <c r="AT143"/>
  <c r="AT168"/>
  <c r="AT166"/>
  <c r="AT167" s="1"/>
  <c r="AT157"/>
  <c r="AU142"/>
  <c r="AU152" l="1"/>
  <c r="AU160" s="1"/>
  <c r="AU143"/>
  <c r="AU168"/>
  <c r="AU166"/>
  <c r="AU167" s="1"/>
  <c r="AU157"/>
  <c r="AV142"/>
  <c r="BS129" i="35" l="1"/>
  <c r="AV152" i="26"/>
  <c r="AV160" s="1"/>
  <c r="AV143"/>
  <c r="AV166"/>
  <c r="AV167" s="1"/>
  <c r="AV168"/>
  <c r="AV157"/>
  <c r="AW142"/>
  <c r="BS134" i="35" l="1"/>
  <c r="AW152" i="26"/>
  <c r="AW160" s="1"/>
  <c r="AW143"/>
  <c r="AW168"/>
  <c r="AX142"/>
  <c r="AW166"/>
  <c r="AW157"/>
  <c r="AW167"/>
  <c r="AX152" l="1"/>
  <c r="AX160" s="1"/>
  <c r="AX143"/>
  <c r="AX168"/>
  <c r="AX166"/>
  <c r="AX167" s="1"/>
  <c r="AX157"/>
  <c r="AY142"/>
  <c r="AY152" l="1"/>
  <c r="AY160" s="1"/>
  <c r="AY143"/>
  <c r="AY168"/>
  <c r="AY166"/>
  <c r="AY167" s="1"/>
  <c r="AY157"/>
  <c r="AZ142"/>
  <c r="AZ152" l="1"/>
  <c r="AZ160" s="1"/>
  <c r="AZ143"/>
  <c r="AZ166"/>
  <c r="AZ167" s="1"/>
  <c r="AZ168"/>
  <c r="AZ157"/>
  <c r="BA142"/>
  <c r="BA152" l="1"/>
  <c r="BA143"/>
  <c r="BA168"/>
  <c r="BA166"/>
  <c r="BA167" s="1"/>
  <c r="BB142"/>
  <c r="BA157"/>
  <c r="BB152" l="1"/>
  <c r="BB160" s="1"/>
  <c r="BB143"/>
  <c r="BB168"/>
  <c r="BB166"/>
  <c r="BB167" s="1"/>
  <c r="BB157"/>
  <c r="BC142"/>
  <c r="BC152" l="1"/>
  <c r="BC160" s="1"/>
  <c r="BC143"/>
  <c r="BC168"/>
  <c r="BC166"/>
  <c r="BC167" s="1"/>
  <c r="BC157"/>
  <c r="BD142"/>
  <c r="BD152" l="1"/>
  <c r="BD160" s="1"/>
  <c r="BD143"/>
  <c r="BD166"/>
  <c r="BD167" s="1"/>
  <c r="BD168"/>
  <c r="BD157"/>
  <c r="BE142"/>
  <c r="BE152" l="1"/>
  <c r="BE160" s="1"/>
  <c r="BE143"/>
  <c r="BE168"/>
  <c r="BE166"/>
  <c r="BE167" s="1"/>
  <c r="BF142"/>
  <c r="BE157"/>
  <c r="BF152" l="1"/>
  <c r="BF160" s="1"/>
  <c r="BF143"/>
  <c r="BF168"/>
  <c r="BF166"/>
  <c r="BF167" s="1"/>
  <c r="BF157"/>
  <c r="BG142"/>
  <c r="BG152" l="1"/>
  <c r="BG160" s="1"/>
  <c r="BG143"/>
  <c r="BG168"/>
  <c r="BG166"/>
  <c r="BG167" s="1"/>
  <c r="BG157"/>
  <c r="BH142"/>
  <c r="BH152" l="1"/>
  <c r="BH160" s="1"/>
  <c r="BH143"/>
  <c r="BH166"/>
  <c r="BH167" s="1"/>
  <c r="BH157"/>
  <c r="BH168"/>
  <c r="BI142"/>
  <c r="BI152" l="1"/>
  <c r="BI160" s="1"/>
  <c r="BI143"/>
  <c r="BI168"/>
  <c r="BI166"/>
  <c r="BI167" s="1"/>
  <c r="BJ142"/>
  <c r="BI157"/>
  <c r="BJ152" l="1"/>
  <c r="BJ160" s="1"/>
  <c r="BJ143"/>
  <c r="BJ168"/>
  <c r="BJ166"/>
  <c r="BJ167" s="1"/>
  <c r="BJ157"/>
  <c r="BK142"/>
  <c r="BY129" i="35" l="1"/>
  <c r="BK152" i="26"/>
  <c r="BK160" s="1"/>
  <c r="BK143"/>
  <c r="BK168"/>
  <c r="BK166"/>
  <c r="BK167" s="1"/>
  <c r="BK157"/>
  <c r="BL142"/>
  <c r="BY134" i="35" l="1"/>
  <c r="L24"/>
  <c r="BL152" i="26"/>
  <c r="BL160" s="1"/>
  <c r="BL143"/>
  <c r="BL166"/>
  <c r="BL167" s="1"/>
  <c r="BL168"/>
  <c r="BL157"/>
  <c r="BM142"/>
  <c r="BM152" l="1"/>
  <c r="BM143"/>
  <c r="BM168"/>
  <c r="BN142"/>
  <c r="BM166"/>
  <c r="BM157"/>
  <c r="BM167"/>
  <c r="BN152" l="1"/>
  <c r="BN160" s="1"/>
  <c r="BN143"/>
  <c r="BN168"/>
  <c r="BN166"/>
  <c r="BN167" s="1"/>
  <c r="BN157"/>
  <c r="BO142"/>
  <c r="BO152" l="1"/>
  <c r="BO160" s="1"/>
  <c r="BO143"/>
  <c r="BO168"/>
  <c r="BO166"/>
  <c r="BO167" s="1"/>
  <c r="BO157"/>
  <c r="BP142"/>
  <c r="BP152" l="1"/>
  <c r="BP160" s="1"/>
  <c r="BP143"/>
  <c r="BP166"/>
  <c r="BP168"/>
  <c r="BP157"/>
  <c r="BQ142"/>
  <c r="BP167"/>
  <c r="BQ152" l="1"/>
  <c r="BQ160" s="1"/>
  <c r="BQ143"/>
  <c r="BQ168"/>
  <c r="BQ166"/>
  <c r="BQ167" s="1"/>
  <c r="BR142"/>
  <c r="BQ157"/>
  <c r="BR152" l="1"/>
  <c r="BR160" s="1"/>
  <c r="BR143"/>
  <c r="BR168"/>
  <c r="BR166"/>
  <c r="BR167" s="1"/>
  <c r="BR157"/>
  <c r="BS142"/>
  <c r="BS152" l="1"/>
  <c r="BS160" s="1"/>
  <c r="BS143"/>
  <c r="BS168"/>
  <c r="BS166"/>
  <c r="BS167" s="1"/>
  <c r="BS157"/>
  <c r="BT142"/>
  <c r="BT152" l="1"/>
  <c r="BT160" s="1"/>
  <c r="BT143"/>
  <c r="BT166"/>
  <c r="BT167" s="1"/>
  <c r="BT168"/>
  <c r="BT157"/>
  <c r="BU142"/>
  <c r="BU152" l="1"/>
  <c r="BU160" s="1"/>
  <c r="BU143"/>
  <c r="BU168"/>
  <c r="BU166"/>
  <c r="BU167" s="1"/>
  <c r="BV142"/>
  <c r="BU157"/>
  <c r="BV152" l="1"/>
  <c r="BV160" s="1"/>
  <c r="BV143"/>
  <c r="BV168"/>
  <c r="BV166"/>
  <c r="BV167" s="1"/>
  <c r="BV157"/>
  <c r="BW142"/>
  <c r="BW152" l="1"/>
  <c r="BW160" s="1"/>
  <c r="BW143"/>
  <c r="BW168"/>
  <c r="BW166"/>
  <c r="BW167" s="1"/>
  <c r="BW157"/>
  <c r="BX142"/>
  <c r="BX152" l="1"/>
  <c r="BX160" s="1"/>
  <c r="BX143"/>
  <c r="BX166"/>
  <c r="BX167" s="1"/>
  <c r="BX157"/>
  <c r="BX168"/>
  <c r="BY142"/>
  <c r="BY152" l="1"/>
  <c r="BY143"/>
  <c r="BY168"/>
  <c r="BY166"/>
  <c r="BY167" s="1"/>
  <c r="BZ142"/>
  <c r="BY157"/>
  <c r="BZ152" l="1"/>
  <c r="BZ160" s="1"/>
  <c r="BZ143"/>
  <c r="BZ168"/>
  <c r="BZ166"/>
  <c r="BZ167" s="1"/>
  <c r="BZ157"/>
  <c r="CA142"/>
  <c r="CA152" l="1"/>
  <c r="CA160" s="1"/>
  <c r="CA143"/>
  <c r="CA168"/>
  <c r="CA166"/>
  <c r="CA167" s="1"/>
  <c r="CA157"/>
  <c r="CB142"/>
  <c r="CB152" l="1"/>
  <c r="CB160" s="1"/>
  <c r="CB143"/>
  <c r="CB166"/>
  <c r="CB167" s="1"/>
  <c r="CB168"/>
  <c r="CB157"/>
  <c r="CC142"/>
  <c r="CC152" l="1"/>
  <c r="CC160" s="1"/>
  <c r="CC143"/>
  <c r="CC168"/>
  <c r="CD142"/>
  <c r="CC166"/>
  <c r="CC167" s="1"/>
  <c r="CC157"/>
  <c r="CD152" l="1"/>
  <c r="CD160" s="1"/>
  <c r="CD143"/>
  <c r="CD168"/>
  <c r="CD166"/>
  <c r="CD167" s="1"/>
  <c r="CD157"/>
  <c r="CE142"/>
  <c r="CE152" l="1"/>
  <c r="CE160" s="1"/>
  <c r="CE143"/>
  <c r="CE168"/>
  <c r="CE166"/>
  <c r="CE167" s="1"/>
  <c r="CE157"/>
  <c r="CF142"/>
  <c r="CF152" l="1"/>
  <c r="CF160" s="1"/>
  <c r="CF143"/>
  <c r="CF166"/>
  <c r="CF167" s="1"/>
  <c r="CF168"/>
  <c r="CF157"/>
  <c r="CG142"/>
  <c r="CG152" l="1"/>
  <c r="CG160" s="1"/>
  <c r="CG143"/>
  <c r="CG168"/>
  <c r="CG166"/>
  <c r="CG167" s="1"/>
  <c r="CH142"/>
  <c r="CG157"/>
  <c r="CH152" l="1"/>
  <c r="CH160" s="1"/>
  <c r="CH143"/>
  <c r="CH168"/>
  <c r="CH166"/>
  <c r="CH167" s="1"/>
  <c r="CH157"/>
  <c r="CI142"/>
  <c r="CI152" l="1"/>
  <c r="CI160" s="1"/>
  <c r="CI143"/>
  <c r="CI168"/>
  <c r="CI166"/>
  <c r="CI167" s="1"/>
  <c r="CI157"/>
  <c r="CJ142"/>
  <c r="CJ152" l="1"/>
  <c r="CJ160" s="1"/>
  <c r="CJ143"/>
  <c r="CJ166"/>
  <c r="CJ167" s="1"/>
  <c r="CJ168"/>
  <c r="CJ157"/>
  <c r="CK142"/>
  <c r="CK152" l="1"/>
  <c r="CK143"/>
  <c r="CK168"/>
  <c r="CK166"/>
  <c r="CK167" s="1"/>
  <c r="CL142"/>
  <c r="CK157"/>
  <c r="CL152" l="1"/>
  <c r="CL160" s="1"/>
  <c r="CL143"/>
  <c r="CL168"/>
  <c r="CL166"/>
  <c r="CL167" s="1"/>
  <c r="CL157"/>
  <c r="CM142"/>
  <c r="CM152" l="1"/>
  <c r="CM160" s="1"/>
  <c r="CM143"/>
  <c r="CM168"/>
  <c r="CM166"/>
  <c r="CM167" s="1"/>
  <c r="CM157"/>
  <c r="CN142"/>
  <c r="CN152" l="1"/>
  <c r="CN160" s="1"/>
  <c r="CN143"/>
  <c r="CN166"/>
  <c r="CN157"/>
  <c r="CN168"/>
  <c r="CO142"/>
  <c r="CN167"/>
  <c r="CO152" l="1"/>
  <c r="CO160" s="1"/>
  <c r="CO143"/>
  <c r="CO168"/>
  <c r="CO166"/>
  <c r="CO167" s="1"/>
  <c r="CP142"/>
  <c r="CO157"/>
  <c r="CP152" l="1"/>
  <c r="CP160" s="1"/>
  <c r="CP143"/>
  <c r="CP168"/>
  <c r="CP166"/>
  <c r="CP167" s="1"/>
  <c r="CP157"/>
  <c r="CQ142"/>
  <c r="CQ152" l="1"/>
  <c r="CQ160" s="1"/>
  <c r="CQ143"/>
  <c r="CQ168"/>
  <c r="CQ166"/>
  <c r="CQ167" s="1"/>
  <c r="CQ157"/>
  <c r="CR142"/>
  <c r="CR152" l="1"/>
  <c r="CR160" s="1"/>
  <c r="CR143"/>
  <c r="CR166"/>
  <c r="CR167" s="1"/>
  <c r="CR168"/>
  <c r="CR157"/>
  <c r="CS142"/>
  <c r="CS152" l="1"/>
  <c r="CS160" s="1"/>
  <c r="CS143"/>
  <c r="CS168"/>
  <c r="CT142"/>
  <c r="CS166"/>
  <c r="CS167" s="1"/>
  <c r="CS157"/>
  <c r="CT152" l="1"/>
  <c r="CT160" s="1"/>
  <c r="CT143"/>
  <c r="CT168"/>
  <c r="CT166"/>
  <c r="CT167" s="1"/>
  <c r="CT157"/>
  <c r="CU142"/>
  <c r="CU152" l="1"/>
  <c r="CU160" s="1"/>
  <c r="CU143"/>
  <c r="CU168"/>
  <c r="CU166"/>
  <c r="CU167" s="1"/>
  <c r="CU157"/>
  <c r="CV142"/>
  <c r="CV152" l="1"/>
  <c r="CV160" s="1"/>
  <c r="CV143"/>
  <c r="CV166"/>
  <c r="CV167" s="1"/>
  <c r="CV168"/>
  <c r="CV157"/>
  <c r="CW142"/>
  <c r="CW152" l="1"/>
  <c r="CW160" s="1"/>
  <c r="CW143"/>
  <c r="CW168"/>
  <c r="CW166"/>
  <c r="CW167" s="1"/>
  <c r="CX142"/>
  <c r="CW157"/>
  <c r="CX152" l="1"/>
  <c r="CX160" s="1"/>
  <c r="CX143"/>
  <c r="CX168"/>
  <c r="CX166"/>
  <c r="CX167" s="1"/>
  <c r="GP161"/>
  <c r="GN161"/>
  <c r="GL161"/>
  <c r="GJ161"/>
  <c r="GH161"/>
  <c r="GF161"/>
  <c r="GD161"/>
  <c r="GB161"/>
  <c r="FZ161"/>
  <c r="FX161"/>
  <c r="FV161"/>
  <c r="FT161"/>
  <c r="FR161"/>
  <c r="FP161"/>
  <c r="FN161"/>
  <c r="FL161"/>
  <c r="FJ161"/>
  <c r="FH161"/>
  <c r="FF161"/>
  <c r="FD161"/>
  <c r="FB161"/>
  <c r="EZ161"/>
  <c r="EX161"/>
  <c r="EV161"/>
  <c r="ET161"/>
  <c r="ER161"/>
  <c r="EP161"/>
  <c r="EN161"/>
  <c r="EL161"/>
  <c r="EJ161"/>
  <c r="EH161"/>
  <c r="EF161"/>
  <c r="ED161"/>
  <c r="EB161"/>
  <c r="DZ161"/>
  <c r="DX161"/>
  <c r="DV161"/>
  <c r="DT161"/>
  <c r="DR161"/>
  <c r="DP161"/>
  <c r="DN161"/>
  <c r="DL161"/>
  <c r="DJ161"/>
  <c r="DH161"/>
  <c r="DF161"/>
  <c r="DD161"/>
  <c r="DB161"/>
  <c r="CZ161"/>
  <c r="CX161"/>
  <c r="CV161"/>
  <c r="CV165" s="1"/>
  <c r="CT161"/>
  <c r="CT165" s="1"/>
  <c r="CR161"/>
  <c r="CR165" s="1"/>
  <c r="CP161"/>
  <c r="CP165" s="1"/>
  <c r="CN161"/>
  <c r="CN165" s="1"/>
  <c r="CL161"/>
  <c r="CL165" s="1"/>
  <c r="CJ161"/>
  <c r="CJ165" s="1"/>
  <c r="CH161"/>
  <c r="CH165" s="1"/>
  <c r="CF161"/>
  <c r="CF165" s="1"/>
  <c r="CD161"/>
  <c r="CD165" s="1"/>
  <c r="CB161"/>
  <c r="CB165" s="1"/>
  <c r="BZ161"/>
  <c r="BZ165" s="1"/>
  <c r="BX161"/>
  <c r="BX165" s="1"/>
  <c r="BV161"/>
  <c r="BV165" s="1"/>
  <c r="BT161"/>
  <c r="BT165" s="1"/>
  <c r="BR161"/>
  <c r="BR165" s="1"/>
  <c r="BP161"/>
  <c r="BP165" s="1"/>
  <c r="BN161"/>
  <c r="BN165" s="1"/>
  <c r="BL161"/>
  <c r="BL165" s="1"/>
  <c r="BJ161"/>
  <c r="BJ165" s="1"/>
  <c r="BH161"/>
  <c r="BH165" s="1"/>
  <c r="BF161"/>
  <c r="BF165" s="1"/>
  <c r="BD161"/>
  <c r="BD165" s="1"/>
  <c r="BB161"/>
  <c r="BB165" s="1"/>
  <c r="AZ161"/>
  <c r="AZ165" s="1"/>
  <c r="AX161"/>
  <c r="AX165" s="1"/>
  <c r="AV161"/>
  <c r="AV165" s="1"/>
  <c r="AT161"/>
  <c r="AT165" s="1"/>
  <c r="AR161"/>
  <c r="AR165" s="1"/>
  <c r="AP161"/>
  <c r="AP165" s="1"/>
  <c r="AN161"/>
  <c r="AN165" s="1"/>
  <c r="AL161"/>
  <c r="AL165" s="1"/>
  <c r="AJ161"/>
  <c r="AJ165" s="1"/>
  <c r="AH161"/>
  <c r="AH165" s="1"/>
  <c r="AF161"/>
  <c r="AF165" s="1"/>
  <c r="AD161"/>
  <c r="AD165" s="1"/>
  <c r="GQ161"/>
  <c r="GM161"/>
  <c r="GI161"/>
  <c r="GE161"/>
  <c r="GA161"/>
  <c r="FW161"/>
  <c r="FS161"/>
  <c r="FO161"/>
  <c r="FK161"/>
  <c r="FG161"/>
  <c r="FC161"/>
  <c r="EY161"/>
  <c r="EU161"/>
  <c r="EQ161"/>
  <c r="EM161"/>
  <c r="EI161"/>
  <c r="EE161"/>
  <c r="EA161"/>
  <c r="DW161"/>
  <c r="DS161"/>
  <c r="DO161"/>
  <c r="DK161"/>
  <c r="DG161"/>
  <c r="DC161"/>
  <c r="CY161"/>
  <c r="CU161"/>
  <c r="CU165" s="1"/>
  <c r="CQ161"/>
  <c r="CQ165" s="1"/>
  <c r="CM161"/>
  <c r="CM165" s="1"/>
  <c r="CI161"/>
  <c r="CI165" s="1"/>
  <c r="CE161"/>
  <c r="CE165" s="1"/>
  <c r="CA161"/>
  <c r="CA165" s="1"/>
  <c r="BW161"/>
  <c r="BW165" s="1"/>
  <c r="BS161"/>
  <c r="BS165" s="1"/>
  <c r="BO161"/>
  <c r="BO165" s="1"/>
  <c r="BK161"/>
  <c r="BK165" s="1"/>
  <c r="BG161"/>
  <c r="BG165" s="1"/>
  <c r="BC161"/>
  <c r="BC165" s="1"/>
  <c r="AY161"/>
  <c r="AY165" s="1"/>
  <c r="AU161"/>
  <c r="AU165" s="1"/>
  <c r="AQ161"/>
  <c r="AQ165" s="1"/>
  <c r="AM161"/>
  <c r="AM165" s="1"/>
  <c r="AI161"/>
  <c r="AI165" s="1"/>
  <c r="AE161"/>
  <c r="AE165" s="1"/>
  <c r="AB161"/>
  <c r="AB165" s="1"/>
  <c r="Z161"/>
  <c r="Z165" s="1"/>
  <c r="X161"/>
  <c r="X165" s="1"/>
  <c r="V161"/>
  <c r="V165" s="1"/>
  <c r="T161"/>
  <c r="T165" s="1"/>
  <c r="R161"/>
  <c r="R165" s="1"/>
  <c r="P161"/>
  <c r="P165" s="1"/>
  <c r="N161"/>
  <c r="N165" s="1"/>
  <c r="L161"/>
  <c r="L165" s="1"/>
  <c r="J161"/>
  <c r="J165" s="1"/>
  <c r="H161"/>
  <c r="H165" s="1"/>
  <c r="F161"/>
  <c r="F165" s="1"/>
  <c r="CX157"/>
  <c r="GK161"/>
  <c r="GC161"/>
  <c r="FU161"/>
  <c r="FM161"/>
  <c r="FE161"/>
  <c r="EW161"/>
  <c r="EO161"/>
  <c r="EG161"/>
  <c r="DY161"/>
  <c r="DQ161"/>
  <c r="DI161"/>
  <c r="DA161"/>
  <c r="CS161"/>
  <c r="CS165" s="1"/>
  <c r="CK161"/>
  <c r="CC161"/>
  <c r="CC165" s="1"/>
  <c r="BU161"/>
  <c r="BU165" s="1"/>
  <c r="BM161"/>
  <c r="BE161"/>
  <c r="BE165" s="1"/>
  <c r="AW161"/>
  <c r="AW165" s="1"/>
  <c r="AO161"/>
  <c r="AG161"/>
  <c r="AG165" s="1"/>
  <c r="AA161"/>
  <c r="AA165" s="1"/>
  <c r="W161"/>
  <c r="W165" s="1"/>
  <c r="S161"/>
  <c r="S165" s="1"/>
  <c r="O161"/>
  <c r="O165" s="1"/>
  <c r="K161"/>
  <c r="G161"/>
  <c r="G165" s="1"/>
  <c r="GO161"/>
  <c r="GG161"/>
  <c r="FY161"/>
  <c r="FQ161"/>
  <c r="FI161"/>
  <c r="FA161"/>
  <c r="ES161"/>
  <c r="EK161"/>
  <c r="EC161"/>
  <c r="DU161"/>
  <c r="DM161"/>
  <c r="DE161"/>
  <c r="CW161"/>
  <c r="CW165" s="1"/>
  <c r="CO161"/>
  <c r="CO165" s="1"/>
  <c r="CG161"/>
  <c r="CG165" s="1"/>
  <c r="BY161"/>
  <c r="BQ161"/>
  <c r="BQ165" s="1"/>
  <c r="BI161"/>
  <c r="BI165" s="1"/>
  <c r="BA161"/>
  <c r="AS161"/>
  <c r="AS165" s="1"/>
  <c r="AK161"/>
  <c r="AK165" s="1"/>
  <c r="AC161"/>
  <c r="Y161"/>
  <c r="Y165" s="1"/>
  <c r="U161"/>
  <c r="U165" s="1"/>
  <c r="Q161"/>
  <c r="M161"/>
  <c r="M165" s="1"/>
  <c r="I161"/>
  <c r="I165" s="1"/>
  <c r="E161"/>
  <c r="CY142"/>
  <c r="CY152" l="1"/>
  <c r="CY160" s="1"/>
  <c r="CY165" s="1"/>
  <c r="CY143"/>
  <c r="CY168"/>
  <c r="CY166"/>
  <c r="CY167" s="1"/>
  <c r="CY157"/>
  <c r="CZ142"/>
  <c r="E165"/>
  <c r="CX165"/>
  <c r="CZ152" l="1"/>
  <c r="CZ160" s="1"/>
  <c r="CZ165" s="1"/>
  <c r="CZ143"/>
  <c r="CZ166"/>
  <c r="CZ167" s="1"/>
  <c r="CZ168"/>
  <c r="CZ157"/>
  <c r="DA142"/>
  <c r="DA152" l="1"/>
  <c r="DA160" s="1"/>
  <c r="DA165" s="1"/>
  <c r="DA143"/>
  <c r="DA168"/>
  <c r="DA166"/>
  <c r="DA167" s="1"/>
  <c r="DB142"/>
  <c r="DA157"/>
  <c r="DB152" l="1"/>
  <c r="DB160" s="1"/>
  <c r="DB165" s="1"/>
  <c r="DB143"/>
  <c r="DB168"/>
  <c r="DB166"/>
  <c r="DB167" s="1"/>
  <c r="DB157"/>
  <c r="DC142"/>
  <c r="DC152" l="1"/>
  <c r="DC160" s="1"/>
  <c r="DC165" s="1"/>
  <c r="DC143"/>
  <c r="DC168"/>
  <c r="DC166"/>
  <c r="DC167" s="1"/>
  <c r="DC157"/>
  <c r="DD142"/>
  <c r="DD152" l="1"/>
  <c r="DD160" s="1"/>
  <c r="DD165" s="1"/>
  <c r="DD143"/>
  <c r="DD166"/>
  <c r="DD167" s="1"/>
  <c r="DD157"/>
  <c r="DD168"/>
  <c r="DE142"/>
  <c r="DE152" l="1"/>
  <c r="DE160" s="1"/>
  <c r="DE165" s="1"/>
  <c r="DE143"/>
  <c r="DE168"/>
  <c r="DE166"/>
  <c r="DE167" s="1"/>
  <c r="DF142"/>
  <c r="DE157"/>
  <c r="DF152" l="1"/>
  <c r="DF160" s="1"/>
  <c r="DF165" s="1"/>
  <c r="DF143"/>
  <c r="DF168"/>
  <c r="DF166"/>
  <c r="DF167" s="1"/>
  <c r="DF157"/>
  <c r="DG142"/>
  <c r="DG152" l="1"/>
  <c r="DG160" s="1"/>
  <c r="DG165" s="1"/>
  <c r="DG143"/>
  <c r="DG168"/>
  <c r="DG166"/>
  <c r="DG167" s="1"/>
  <c r="DG157"/>
  <c r="DH142"/>
  <c r="DH152" l="1"/>
  <c r="DH160" s="1"/>
  <c r="DH165" s="1"/>
  <c r="DH143"/>
  <c r="DH166"/>
  <c r="DH168"/>
  <c r="DH157"/>
  <c r="DI142"/>
  <c r="DH167"/>
  <c r="DI152" l="1"/>
  <c r="DI160" s="1"/>
  <c r="DI165" s="1"/>
  <c r="DI143"/>
  <c r="DI168"/>
  <c r="DJ142"/>
  <c r="DI166"/>
  <c r="DI157"/>
  <c r="DI167"/>
  <c r="DJ152" l="1"/>
  <c r="DJ160" s="1"/>
  <c r="DJ165" s="1"/>
  <c r="DJ143"/>
  <c r="DJ168"/>
  <c r="DJ166"/>
  <c r="DJ167" s="1"/>
  <c r="DJ157"/>
  <c r="DK142"/>
  <c r="DK152" l="1"/>
  <c r="DK160" s="1"/>
  <c r="DK165" s="1"/>
  <c r="DK143"/>
  <c r="DK168"/>
  <c r="DK166"/>
  <c r="DK167" s="1"/>
  <c r="DK157"/>
  <c r="DL142"/>
  <c r="DL152" l="1"/>
  <c r="DL160" s="1"/>
  <c r="DL165" s="1"/>
  <c r="DL143"/>
  <c r="DL166"/>
  <c r="DL167" s="1"/>
  <c r="DL168"/>
  <c r="DL157"/>
  <c r="DM142"/>
  <c r="DM152" l="1"/>
  <c r="DM160" s="1"/>
  <c r="DM165" s="1"/>
  <c r="DM143"/>
  <c r="DM168"/>
  <c r="DM166"/>
  <c r="DM167" s="1"/>
  <c r="DN142"/>
  <c r="DM157"/>
  <c r="DN152" l="1"/>
  <c r="DN160" s="1"/>
  <c r="DN165" s="1"/>
  <c r="DN143"/>
  <c r="DN168"/>
  <c r="DN166"/>
  <c r="DN167" s="1"/>
  <c r="DN157"/>
  <c r="DO142"/>
  <c r="DO152" l="1"/>
  <c r="DO160" s="1"/>
  <c r="DO165" s="1"/>
  <c r="DO143"/>
  <c r="DO168"/>
  <c r="DO166"/>
  <c r="DO167" s="1"/>
  <c r="DO157"/>
  <c r="DP142"/>
  <c r="DP152" l="1"/>
  <c r="DP160" s="1"/>
  <c r="DP165" s="1"/>
  <c r="DP143"/>
  <c r="DP166"/>
  <c r="DP167" s="1"/>
  <c r="DP168"/>
  <c r="DP157"/>
  <c r="DQ142"/>
  <c r="DQ152" l="1"/>
  <c r="DQ160" s="1"/>
  <c r="DQ165" s="1"/>
  <c r="DQ143"/>
  <c r="DQ168"/>
  <c r="DQ166"/>
  <c r="DQ167" s="1"/>
  <c r="DR142"/>
  <c r="DQ157"/>
  <c r="DR152" l="1"/>
  <c r="DR160" s="1"/>
  <c r="DR165" s="1"/>
  <c r="DR143"/>
  <c r="DR168"/>
  <c r="DR166"/>
  <c r="DR167" s="1"/>
  <c r="DR157"/>
  <c r="DS142"/>
  <c r="DS152" l="1"/>
  <c r="DS160" s="1"/>
  <c r="DS165" s="1"/>
  <c r="DS143"/>
  <c r="DS168"/>
  <c r="DS166"/>
  <c r="DS167" s="1"/>
  <c r="DS157"/>
  <c r="DT142"/>
  <c r="DT152" l="1"/>
  <c r="DT160" s="1"/>
  <c r="DT165" s="1"/>
  <c r="DT143"/>
  <c r="DT166"/>
  <c r="DT167" s="1"/>
  <c r="DT157"/>
  <c r="DT168"/>
  <c r="DU142"/>
  <c r="DU152" l="1"/>
  <c r="DU160" s="1"/>
  <c r="DU165" s="1"/>
  <c r="DU143"/>
  <c r="DU168"/>
  <c r="DU166"/>
  <c r="DU167" s="1"/>
  <c r="DV142"/>
  <c r="DU157"/>
  <c r="DV152" l="1"/>
  <c r="DV160" s="1"/>
  <c r="DV165" s="1"/>
  <c r="DV143"/>
  <c r="DV168"/>
  <c r="DV166"/>
  <c r="DV167" s="1"/>
  <c r="DV157"/>
  <c r="DW142"/>
  <c r="DW152" l="1"/>
  <c r="DW160" s="1"/>
  <c r="DW165" s="1"/>
  <c r="DW143"/>
  <c r="DW168"/>
  <c r="DW166"/>
  <c r="DW167" s="1"/>
  <c r="DW157"/>
  <c r="DX142"/>
  <c r="DX152" l="1"/>
  <c r="DX160" s="1"/>
  <c r="DX165" s="1"/>
  <c r="DX143"/>
  <c r="DX166"/>
  <c r="DX167" s="1"/>
  <c r="DX168"/>
  <c r="DX157"/>
  <c r="DY142"/>
  <c r="DY152" l="1"/>
  <c r="DY160" s="1"/>
  <c r="DY165" s="1"/>
  <c r="DY143"/>
  <c r="DY168"/>
  <c r="DZ142"/>
  <c r="DY166"/>
  <c r="DY167" s="1"/>
  <c r="DY157"/>
  <c r="DZ152" l="1"/>
  <c r="DZ160" s="1"/>
  <c r="DZ165" s="1"/>
  <c r="DZ143"/>
  <c r="DZ168"/>
  <c r="DZ166"/>
  <c r="DZ167" s="1"/>
  <c r="DZ157"/>
  <c r="EA142"/>
  <c r="EA152" l="1"/>
  <c r="EA160" s="1"/>
  <c r="EA165" s="1"/>
  <c r="EA143"/>
  <c r="EA168"/>
  <c r="EA166"/>
  <c r="EA167" s="1"/>
  <c r="EA157"/>
  <c r="EB142"/>
  <c r="EB152" l="1"/>
  <c r="EB160" s="1"/>
  <c r="EB165" s="1"/>
  <c r="EB143"/>
  <c r="EB166"/>
  <c r="EB167" s="1"/>
  <c r="EB168"/>
  <c r="EB157"/>
  <c r="EC142"/>
  <c r="EC152" l="1"/>
  <c r="EC160" s="1"/>
  <c r="EC165" s="1"/>
  <c r="EC143"/>
  <c r="EC168"/>
  <c r="EC166"/>
  <c r="EC167" s="1"/>
  <c r="ED142"/>
  <c r="EC157"/>
  <c r="ED152" l="1"/>
  <c r="ED160" s="1"/>
  <c r="ED165" s="1"/>
  <c r="ED143"/>
  <c r="ED168"/>
  <c r="ED166"/>
  <c r="ED167" s="1"/>
  <c r="ED157"/>
  <c r="EE142"/>
  <c r="EE152" l="1"/>
  <c r="EE160" s="1"/>
  <c r="EE165" s="1"/>
  <c r="EE143"/>
  <c r="EE168"/>
  <c r="EE166"/>
  <c r="EE167" s="1"/>
  <c r="EE157"/>
  <c r="EF142"/>
  <c r="EF152" l="1"/>
  <c r="EF160" s="1"/>
  <c r="EF165" s="1"/>
  <c r="EF143"/>
  <c r="EF166"/>
  <c r="EF168"/>
  <c r="EF157"/>
  <c r="EG142"/>
  <c r="EF167"/>
  <c r="EG152" l="1"/>
  <c r="EG160" s="1"/>
  <c r="EG165" s="1"/>
  <c r="EG143"/>
  <c r="EG168"/>
  <c r="EG166"/>
  <c r="EG167" s="1"/>
  <c r="EH142"/>
  <c r="EG157"/>
  <c r="EH152" l="1"/>
  <c r="EH160" s="1"/>
  <c r="EH165" s="1"/>
  <c r="EH143"/>
  <c r="EH168"/>
  <c r="EH166"/>
  <c r="EH167" s="1"/>
  <c r="EH157"/>
  <c r="EI142"/>
  <c r="EI152" l="1"/>
  <c r="EI160" s="1"/>
  <c r="EI165" s="1"/>
  <c r="EI143"/>
  <c r="EI168"/>
  <c r="EI166"/>
  <c r="EI167" s="1"/>
  <c r="EI157"/>
  <c r="EJ142"/>
  <c r="EJ152" l="1"/>
  <c r="EJ160" s="1"/>
  <c r="EJ165" s="1"/>
  <c r="EJ143"/>
  <c r="EJ166"/>
  <c r="EJ167" s="1"/>
  <c r="EJ157"/>
  <c r="EJ168"/>
  <c r="EK142"/>
  <c r="EK152" l="1"/>
  <c r="EK160" s="1"/>
  <c r="EK165" s="1"/>
  <c r="EK143"/>
  <c r="EK168"/>
  <c r="EK166"/>
  <c r="EK167" s="1"/>
  <c r="EL142"/>
  <c r="EK157"/>
  <c r="EL152" l="1"/>
  <c r="EL160" s="1"/>
  <c r="EL165" s="1"/>
  <c r="EL143"/>
  <c r="EL168"/>
  <c r="EL166"/>
  <c r="EL167" s="1"/>
  <c r="EL157"/>
  <c r="EM142"/>
  <c r="EM152" l="1"/>
  <c r="EM160" s="1"/>
  <c r="EM165" s="1"/>
  <c r="EM143"/>
  <c r="EM168"/>
  <c r="EM166"/>
  <c r="EM167" s="1"/>
  <c r="EM157"/>
  <c r="EN142"/>
  <c r="EN152" l="1"/>
  <c r="EN160" s="1"/>
  <c r="EN165" s="1"/>
  <c r="EN143"/>
  <c r="EN166"/>
  <c r="EN167" s="1"/>
  <c r="EN168"/>
  <c r="EN157"/>
  <c r="EO142"/>
  <c r="EO152" l="1"/>
  <c r="EO160" s="1"/>
  <c r="EO165" s="1"/>
  <c r="EO143"/>
  <c r="EO168"/>
  <c r="EP142"/>
  <c r="EO166"/>
  <c r="EO167" s="1"/>
  <c r="EO157"/>
  <c r="EP152" l="1"/>
  <c r="EP160" s="1"/>
  <c r="EP165" s="1"/>
  <c r="EP143"/>
  <c r="EP168"/>
  <c r="EP166"/>
  <c r="EP167" s="1"/>
  <c r="EP157"/>
  <c r="EQ142"/>
  <c r="EQ152" l="1"/>
  <c r="EQ160" s="1"/>
  <c r="EQ165" s="1"/>
  <c r="EQ143"/>
  <c r="EQ168"/>
  <c r="EQ166"/>
  <c r="EQ167" s="1"/>
  <c r="EQ157"/>
  <c r="ER142"/>
  <c r="ER152" l="1"/>
  <c r="ER160" s="1"/>
  <c r="ER165" s="1"/>
  <c r="ER143"/>
  <c r="ER166"/>
  <c r="ER167" s="1"/>
  <c r="ER168"/>
  <c r="ER157"/>
  <c r="ES142"/>
  <c r="ES152" l="1"/>
  <c r="ES160" s="1"/>
  <c r="ES165" s="1"/>
  <c r="ES143"/>
  <c r="ES168"/>
  <c r="ES166"/>
  <c r="ES167" s="1"/>
  <c r="ET142"/>
  <c r="ES157"/>
  <c r="ET152" l="1"/>
  <c r="ET160" s="1"/>
  <c r="ET165" s="1"/>
  <c r="ET143"/>
  <c r="ET168"/>
  <c r="ET166"/>
  <c r="ET167" s="1"/>
  <c r="ET157"/>
  <c r="EU142"/>
  <c r="EU152" l="1"/>
  <c r="EU160" s="1"/>
  <c r="EU165" s="1"/>
  <c r="EU143"/>
  <c r="EU168"/>
  <c r="EU166"/>
  <c r="EU167" s="1"/>
  <c r="EU157"/>
  <c r="EV142"/>
  <c r="EV152" l="1"/>
  <c r="EV160" s="1"/>
  <c r="EV165" s="1"/>
  <c r="EV143"/>
  <c r="EV166"/>
  <c r="EV167" s="1"/>
  <c r="EV168"/>
  <c r="EV157"/>
  <c r="EW142"/>
  <c r="EW152" l="1"/>
  <c r="EW160" s="1"/>
  <c r="EW165" s="1"/>
  <c r="EW143"/>
  <c r="EW168"/>
  <c r="EW166"/>
  <c r="EW167" s="1"/>
  <c r="EX142"/>
  <c r="EW157"/>
  <c r="EX152" l="1"/>
  <c r="EX160" s="1"/>
  <c r="EX165" s="1"/>
  <c r="EX143"/>
  <c r="EX168"/>
  <c r="EX166"/>
  <c r="EX167" s="1"/>
  <c r="EX157"/>
  <c r="EY142"/>
  <c r="EY152" l="1"/>
  <c r="EY160" s="1"/>
  <c r="EY165" s="1"/>
  <c r="EY143"/>
  <c r="EY168"/>
  <c r="EY166"/>
  <c r="EY167" s="1"/>
  <c r="EY157"/>
  <c r="EZ142"/>
  <c r="EZ152" l="1"/>
  <c r="EZ160" s="1"/>
  <c r="EZ165" s="1"/>
  <c r="EZ143"/>
  <c r="EZ166"/>
  <c r="EZ157"/>
  <c r="EZ168"/>
  <c r="FA142"/>
  <c r="EZ167"/>
  <c r="FA152" l="1"/>
  <c r="FA160" s="1"/>
  <c r="FA165" s="1"/>
  <c r="FA143"/>
  <c r="FA168"/>
  <c r="FA166"/>
  <c r="FA167" s="1"/>
  <c r="FB142"/>
  <c r="FA157"/>
  <c r="FB152" l="1"/>
  <c r="FB160" s="1"/>
  <c r="FB165" s="1"/>
  <c r="FB143"/>
  <c r="FB168"/>
  <c r="FB166"/>
  <c r="FB167" s="1"/>
  <c r="FB157"/>
  <c r="FC142"/>
  <c r="FC152" l="1"/>
  <c r="FC160" s="1"/>
  <c r="FC165" s="1"/>
  <c r="FC143"/>
  <c r="FC168"/>
  <c r="FC166"/>
  <c r="FC167" s="1"/>
  <c r="FC157"/>
  <c r="FD142"/>
  <c r="FD152" l="1"/>
  <c r="FD160" s="1"/>
  <c r="FD165" s="1"/>
  <c r="FD143"/>
  <c r="FD166"/>
  <c r="FD167" s="1"/>
  <c r="FD168"/>
  <c r="FD157"/>
  <c r="FE142"/>
  <c r="FE152" l="1"/>
  <c r="FE160" s="1"/>
  <c r="FE165" s="1"/>
  <c r="FE143"/>
  <c r="FE168"/>
  <c r="FF142"/>
  <c r="FE166"/>
  <c r="FE167" s="1"/>
  <c r="FE157"/>
  <c r="FF152" l="1"/>
  <c r="FF160" s="1"/>
  <c r="FF165" s="1"/>
  <c r="FF143"/>
  <c r="FF168"/>
  <c r="FF166"/>
  <c r="FF167" s="1"/>
  <c r="FF157"/>
  <c r="FG142"/>
  <c r="FG152" l="1"/>
  <c r="FG160" s="1"/>
  <c r="FG165" s="1"/>
  <c r="FG143"/>
  <c r="FG168"/>
  <c r="FG166"/>
  <c r="FG167" s="1"/>
  <c r="FG157"/>
  <c r="FH142"/>
  <c r="FH152" l="1"/>
  <c r="FH160" s="1"/>
  <c r="FH165" s="1"/>
  <c r="FH143"/>
  <c r="FH166"/>
  <c r="FH167" s="1"/>
  <c r="FH168"/>
  <c r="FH157"/>
  <c r="FI142"/>
  <c r="FI152" l="1"/>
  <c r="FI160" s="1"/>
  <c r="FI165" s="1"/>
  <c r="FI143"/>
  <c r="FI168"/>
  <c r="FI166"/>
  <c r="FI167" s="1"/>
  <c r="FJ142"/>
  <c r="FI157"/>
  <c r="FJ152" l="1"/>
  <c r="FJ160" s="1"/>
  <c r="FJ165" s="1"/>
  <c r="FJ143"/>
  <c r="FJ168"/>
  <c r="FJ166"/>
  <c r="FJ167" s="1"/>
  <c r="FJ157"/>
  <c r="FK142"/>
  <c r="FK152" l="1"/>
  <c r="FK160" s="1"/>
  <c r="FK165" s="1"/>
  <c r="FK143"/>
  <c r="FK168"/>
  <c r="FK166"/>
  <c r="FK167" s="1"/>
  <c r="FK157"/>
  <c r="FL142"/>
  <c r="FL152" l="1"/>
  <c r="FL160" s="1"/>
  <c r="FL165" s="1"/>
  <c r="FL143"/>
  <c r="FL166"/>
  <c r="FL167" s="1"/>
  <c r="FL168"/>
  <c r="FL157"/>
  <c r="FM142"/>
  <c r="FM152" l="1"/>
  <c r="FM160" s="1"/>
  <c r="FM165" s="1"/>
  <c r="FM143"/>
  <c r="FM168"/>
  <c r="FM166"/>
  <c r="FM167" s="1"/>
  <c r="FN142"/>
  <c r="FM157"/>
  <c r="FN152" l="1"/>
  <c r="FN160" s="1"/>
  <c r="FN165" s="1"/>
  <c r="FN143"/>
  <c r="FN168"/>
  <c r="FN166"/>
  <c r="FN167" s="1"/>
  <c r="FN157"/>
  <c r="FO142"/>
  <c r="FO152" l="1"/>
  <c r="FO160" s="1"/>
  <c r="FO165" s="1"/>
  <c r="FO143"/>
  <c r="FO168"/>
  <c r="FO166"/>
  <c r="FO167" s="1"/>
  <c r="FO157"/>
  <c r="FP142"/>
  <c r="FP152" l="1"/>
  <c r="FP160" s="1"/>
  <c r="FP165" s="1"/>
  <c r="FP143"/>
  <c r="FP166"/>
  <c r="FP157"/>
  <c r="FP168"/>
  <c r="FQ142"/>
  <c r="FP167"/>
  <c r="FQ152" l="1"/>
  <c r="FQ160" s="1"/>
  <c r="FQ165" s="1"/>
  <c r="FQ143"/>
  <c r="FQ168"/>
  <c r="FQ166"/>
  <c r="FQ167" s="1"/>
  <c r="FR142"/>
  <c r="FQ157"/>
  <c r="FR152" l="1"/>
  <c r="FR160" s="1"/>
  <c r="FR165" s="1"/>
  <c r="FR143"/>
  <c r="FR168"/>
  <c r="FR166"/>
  <c r="FR167" s="1"/>
  <c r="FR157"/>
  <c r="FS142"/>
  <c r="FS152" l="1"/>
  <c r="FS160" s="1"/>
  <c r="FS165" s="1"/>
  <c r="FS143"/>
  <c r="FS168"/>
  <c r="FS166"/>
  <c r="FS167" s="1"/>
  <c r="FS157"/>
  <c r="FT142"/>
  <c r="FT152" l="1"/>
  <c r="FT160" s="1"/>
  <c r="FT165" s="1"/>
  <c r="FT143"/>
  <c r="FT166"/>
  <c r="FT168"/>
  <c r="FT157"/>
  <c r="FU142"/>
  <c r="FT167"/>
  <c r="FU152" l="1"/>
  <c r="FU160" s="1"/>
  <c r="FU165" s="1"/>
  <c r="FU143"/>
  <c r="FU168"/>
  <c r="FV142"/>
  <c r="FU166"/>
  <c r="FU157"/>
  <c r="FU167"/>
  <c r="FV152" l="1"/>
  <c r="FV160" s="1"/>
  <c r="FV165" s="1"/>
  <c r="FV143"/>
  <c r="FV168"/>
  <c r="FV166"/>
  <c r="FV167" s="1"/>
  <c r="FV157"/>
  <c r="FW142"/>
  <c r="FW152" l="1"/>
  <c r="FW160" s="1"/>
  <c r="FW165" s="1"/>
  <c r="FW143"/>
  <c r="FW168"/>
  <c r="FW166"/>
  <c r="FW167" s="1"/>
  <c r="FW157"/>
  <c r="FX142"/>
  <c r="FX152" l="1"/>
  <c r="FX160" s="1"/>
  <c r="FX165" s="1"/>
  <c r="FX143"/>
  <c r="FX166"/>
  <c r="FX167" s="1"/>
  <c r="FX168"/>
  <c r="FX157"/>
  <c r="FY142"/>
  <c r="FY152" l="1"/>
  <c r="FY160" s="1"/>
  <c r="FY165" s="1"/>
  <c r="FY143"/>
  <c r="FY168"/>
  <c r="FY166"/>
  <c r="FY167" s="1"/>
  <c r="FZ142"/>
  <c r="FY157"/>
  <c r="FZ152" l="1"/>
  <c r="FZ160" s="1"/>
  <c r="FZ165" s="1"/>
  <c r="FZ143"/>
  <c r="FZ168"/>
  <c r="FZ166"/>
  <c r="FZ167" s="1"/>
  <c r="FZ157"/>
  <c r="GA142"/>
  <c r="GA152" l="1"/>
  <c r="GA160" s="1"/>
  <c r="GA165" s="1"/>
  <c r="GA143"/>
  <c r="GA168"/>
  <c r="GA166"/>
  <c r="GA167" s="1"/>
  <c r="GA157"/>
  <c r="GB142"/>
  <c r="GB152" l="1"/>
  <c r="GB160" s="1"/>
  <c r="GB165" s="1"/>
  <c r="GB143"/>
  <c r="GB166"/>
  <c r="GB167" s="1"/>
  <c r="GB168"/>
  <c r="GB157"/>
  <c r="GC142"/>
  <c r="GC152" l="1"/>
  <c r="GC160" s="1"/>
  <c r="GC165" s="1"/>
  <c r="GC143"/>
  <c r="GC168"/>
  <c r="GC166"/>
  <c r="GC167" s="1"/>
  <c r="GD142"/>
  <c r="GC157"/>
  <c r="GD152" l="1"/>
  <c r="GD160" s="1"/>
  <c r="GD165" s="1"/>
  <c r="GD143"/>
  <c r="GD168"/>
  <c r="GD166"/>
  <c r="GD167" s="1"/>
  <c r="GD157"/>
  <c r="GE142"/>
  <c r="GE152" l="1"/>
  <c r="GE160" s="1"/>
  <c r="GE165" s="1"/>
  <c r="GE143"/>
  <c r="GE168"/>
  <c r="GE166"/>
  <c r="GE167" s="1"/>
  <c r="GE157"/>
  <c r="GF142"/>
  <c r="GF152" l="1"/>
  <c r="GF160" s="1"/>
  <c r="GF165" s="1"/>
  <c r="GF143"/>
  <c r="GF166"/>
  <c r="GF157"/>
  <c r="GF168"/>
  <c r="GG142"/>
  <c r="GF167"/>
  <c r="GG152" l="1"/>
  <c r="GG160" s="1"/>
  <c r="GG165" s="1"/>
  <c r="GG143"/>
  <c r="GG168"/>
  <c r="GG166"/>
  <c r="GG167" s="1"/>
  <c r="GH142"/>
  <c r="GG157"/>
  <c r="GH152" l="1"/>
  <c r="GH160" s="1"/>
  <c r="GH165" s="1"/>
  <c r="GH143"/>
  <c r="GH168"/>
  <c r="GH166"/>
  <c r="GH167" s="1"/>
  <c r="GH157"/>
  <c r="GI142"/>
  <c r="GI152" l="1"/>
  <c r="GI160" s="1"/>
  <c r="GI165" s="1"/>
  <c r="GI143"/>
  <c r="GI168"/>
  <c r="GI166"/>
  <c r="GI167" s="1"/>
  <c r="GI157"/>
  <c r="GJ142"/>
  <c r="GJ152" l="1"/>
  <c r="GJ160" s="1"/>
  <c r="GJ165" s="1"/>
  <c r="GJ143"/>
  <c r="GJ166"/>
  <c r="GJ167" s="1"/>
  <c r="GJ168"/>
  <c r="GJ157"/>
  <c r="GK142"/>
  <c r="GK152" l="1"/>
  <c r="GK160" s="1"/>
  <c r="GK165" s="1"/>
  <c r="GK143"/>
  <c r="GK168"/>
  <c r="GL142"/>
  <c r="GK166"/>
  <c r="GK167" s="1"/>
  <c r="GK157"/>
  <c r="GL152" l="1"/>
  <c r="GL160" s="1"/>
  <c r="GL165" s="1"/>
  <c r="GL143"/>
  <c r="GL168"/>
  <c r="GL166"/>
  <c r="GL167" s="1"/>
  <c r="GL157"/>
  <c r="GM142"/>
  <c r="GM152" l="1"/>
  <c r="GM160" s="1"/>
  <c r="GM165" s="1"/>
  <c r="GM143"/>
  <c r="GM168"/>
  <c r="GM166"/>
  <c r="GM167" s="1"/>
  <c r="GM157"/>
  <c r="GN142"/>
  <c r="GN152" l="1"/>
  <c r="GN160" s="1"/>
  <c r="GN165" s="1"/>
  <c r="GN143"/>
  <c r="GN166"/>
  <c r="GN167" s="1"/>
  <c r="GN168"/>
  <c r="GN157"/>
  <c r="GO142"/>
  <c r="GO152" l="1"/>
  <c r="GO160" s="1"/>
  <c r="GO165" s="1"/>
  <c r="GO143"/>
  <c r="GO168"/>
  <c r="GO166"/>
  <c r="GO167" s="1"/>
  <c r="GP142"/>
  <c r="GO157"/>
  <c r="GP152" l="1"/>
  <c r="GP160" s="1"/>
  <c r="GP165" s="1"/>
  <c r="GP143"/>
  <c r="GP168"/>
  <c r="GP166"/>
  <c r="GP167" s="1"/>
  <c r="GP157"/>
  <c r="GQ142"/>
  <c r="GQ152" l="1"/>
  <c r="GQ160" s="1"/>
  <c r="GQ165" s="1"/>
  <c r="GQ143"/>
  <c r="GQ168"/>
  <c r="GQ166"/>
  <c r="GQ167" s="1"/>
  <c r="GQ157"/>
  <c r="C31" i="30" l="1"/>
  <c r="G60"/>
  <c r="G61"/>
  <c r="G62"/>
  <c r="G63"/>
  <c r="G64"/>
  <c r="G65"/>
  <c r="G66"/>
  <c r="G67"/>
  <c r="G68"/>
  <c r="G59"/>
  <c r="B59"/>
  <c r="D59" s="1"/>
  <c r="E59" s="1"/>
  <c r="C58"/>
  <c r="H58"/>
  <c r="G43"/>
  <c r="I43"/>
  <c r="G44"/>
  <c r="I44"/>
  <c r="G45"/>
  <c r="I45"/>
  <c r="G46"/>
  <c r="I46"/>
  <c r="G47"/>
  <c r="I47"/>
  <c r="G48"/>
  <c r="I48"/>
  <c r="I36"/>
  <c r="I37"/>
  <c r="I38"/>
  <c r="I39"/>
  <c r="I40"/>
  <c r="I41"/>
  <c r="I42"/>
  <c r="I35"/>
  <c r="G42"/>
  <c r="G41"/>
  <c r="G40"/>
  <c r="G39"/>
  <c r="G38"/>
  <c r="G37"/>
  <c r="G36"/>
  <c r="G35"/>
  <c r="B35"/>
  <c r="C35" s="1"/>
  <c r="H34"/>
  <c r="C34"/>
  <c r="G15"/>
  <c r="I15"/>
  <c r="G16"/>
  <c r="I16"/>
  <c r="G17"/>
  <c r="I17"/>
  <c r="G18"/>
  <c r="I18"/>
  <c r="G19"/>
  <c r="I19"/>
  <c r="G20"/>
  <c r="I20"/>
  <c r="G21"/>
  <c r="I21"/>
  <c r="G22"/>
  <c r="I22"/>
  <c r="G23"/>
  <c r="I23"/>
  <c r="C13"/>
  <c r="C10" l="1"/>
  <c r="C59"/>
  <c r="B60"/>
  <c r="P59"/>
  <c r="D35"/>
  <c r="K35" s="1"/>
  <c r="L35" s="1"/>
  <c r="H59"/>
  <c r="H60" s="1"/>
  <c r="B36"/>
  <c r="H35"/>
  <c r="B61" l="1"/>
  <c r="D60"/>
  <c r="C60"/>
  <c r="E35"/>
  <c r="M35" s="1"/>
  <c r="N35" s="1"/>
  <c r="H61"/>
  <c r="H36"/>
  <c r="B37"/>
  <c r="C36"/>
  <c r="D36" s="1"/>
  <c r="P60" l="1"/>
  <c r="E60"/>
  <c r="D61"/>
  <c r="C61"/>
  <c r="B62"/>
  <c r="H62"/>
  <c r="E36"/>
  <c r="K36"/>
  <c r="L36" s="1"/>
  <c r="B38"/>
  <c r="C37"/>
  <c r="D37" s="1"/>
  <c r="H37"/>
  <c r="O35"/>
  <c r="D62" l="1"/>
  <c r="C62"/>
  <c r="B63"/>
  <c r="E61"/>
  <c r="P61"/>
  <c r="M36"/>
  <c r="H63"/>
  <c r="E37"/>
  <c r="K37"/>
  <c r="L37" s="1"/>
  <c r="N36"/>
  <c r="H38"/>
  <c r="B39"/>
  <c r="C38"/>
  <c r="D38" s="1"/>
  <c r="M37" l="1"/>
  <c r="N37" s="1"/>
  <c r="O37" s="1"/>
  <c r="E62"/>
  <c r="P62"/>
  <c r="D63"/>
  <c r="C63"/>
  <c r="B64"/>
  <c r="H64"/>
  <c r="E38"/>
  <c r="K38"/>
  <c r="L38" s="1"/>
  <c r="B40"/>
  <c r="C39"/>
  <c r="D39" s="1"/>
  <c r="H39"/>
  <c r="O36"/>
  <c r="D64" l="1"/>
  <c r="C64"/>
  <c r="B65"/>
  <c r="M38"/>
  <c r="N38" s="1"/>
  <c r="O38" s="1"/>
  <c r="P63"/>
  <c r="E63"/>
  <c r="H65"/>
  <c r="E39"/>
  <c r="K39"/>
  <c r="L39" s="1"/>
  <c r="H40"/>
  <c r="B41"/>
  <c r="C40"/>
  <c r="D40" s="1"/>
  <c r="M39" l="1"/>
  <c r="D65"/>
  <c r="C65"/>
  <c r="B66"/>
  <c r="P64"/>
  <c r="E64"/>
  <c r="H66"/>
  <c r="E40"/>
  <c r="K40"/>
  <c r="L40" s="1"/>
  <c r="N39"/>
  <c r="B42"/>
  <c r="C41"/>
  <c r="D41" s="1"/>
  <c r="H41"/>
  <c r="M40" l="1"/>
  <c r="N40" s="1"/>
  <c r="O40" s="1"/>
  <c r="D66"/>
  <c r="B67"/>
  <c r="C66"/>
  <c r="E65"/>
  <c r="P65"/>
  <c r="H67"/>
  <c r="E41"/>
  <c r="K41"/>
  <c r="L41" s="1"/>
  <c r="H42"/>
  <c r="B43"/>
  <c r="C42"/>
  <c r="D42" s="1"/>
  <c r="O39"/>
  <c r="M41" l="1"/>
  <c r="E66"/>
  <c r="P66"/>
  <c r="D67"/>
  <c r="B68"/>
  <c r="C67"/>
  <c r="H68"/>
  <c r="H43"/>
  <c r="E42"/>
  <c r="K42"/>
  <c r="L42" s="1"/>
  <c r="N41"/>
  <c r="B44"/>
  <c r="C43"/>
  <c r="D43" s="1"/>
  <c r="M42" l="1"/>
  <c r="N42" s="1"/>
  <c r="O42" s="1"/>
  <c r="P67"/>
  <c r="E67"/>
  <c r="C68"/>
  <c r="D68"/>
  <c r="K43"/>
  <c r="L43" s="1"/>
  <c r="C44"/>
  <c r="D44" s="1"/>
  <c r="B45"/>
  <c r="H44"/>
  <c r="E43"/>
  <c r="O41"/>
  <c r="P68" l="1"/>
  <c r="P58" s="1"/>
  <c r="G55" s="1"/>
  <c r="E68"/>
  <c r="K44"/>
  <c r="L44" s="1"/>
  <c r="B46"/>
  <c r="C45"/>
  <c r="D45" s="1"/>
  <c r="E44"/>
  <c r="M43"/>
  <c r="N43" s="1"/>
  <c r="O43" s="1"/>
  <c r="H45"/>
  <c r="E58" l="1"/>
  <c r="C46"/>
  <c r="D46" s="1"/>
  <c r="B47"/>
  <c r="E45"/>
  <c r="K45"/>
  <c r="L45" s="1"/>
  <c r="M44"/>
  <c r="N44" s="1"/>
  <c r="O44" s="1"/>
  <c r="H46"/>
  <c r="E46" l="1"/>
  <c r="K46"/>
  <c r="L46" s="1"/>
  <c r="B48"/>
  <c r="C48" s="1"/>
  <c r="D48" s="1"/>
  <c r="C47"/>
  <c r="D47" s="1"/>
  <c r="M45"/>
  <c r="N45" s="1"/>
  <c r="O45" s="1"/>
  <c r="H47"/>
  <c r="E47" l="1"/>
  <c r="K47"/>
  <c r="L47" s="1"/>
  <c r="M46"/>
  <c r="N46" s="1"/>
  <c r="O46" s="1"/>
  <c r="E48"/>
  <c r="K48"/>
  <c r="L48" s="1"/>
  <c r="H48"/>
  <c r="M48" l="1"/>
  <c r="N48" s="1"/>
  <c r="M47"/>
  <c r="N47" s="1"/>
  <c r="O47" s="1"/>
  <c r="O48" l="1"/>
  <c r="N34"/>
  <c r="M34"/>
  <c r="O34" l="1"/>
  <c r="F323" i="26" l="1"/>
  <c r="G323" s="1"/>
  <c r="H323" s="1"/>
  <c r="I323" s="1"/>
  <c r="J323" s="1"/>
  <c r="K323" s="1"/>
  <c r="L323" s="1"/>
  <c r="M323" s="1"/>
  <c r="N323" s="1"/>
  <c r="O323" s="1"/>
  <c r="P323" s="1"/>
  <c r="Q323" s="1"/>
  <c r="R323" s="1"/>
  <c r="S323" s="1"/>
  <c r="T323" s="1"/>
  <c r="U323" s="1"/>
  <c r="V323" s="1"/>
  <c r="W323" s="1"/>
  <c r="X323" s="1"/>
  <c r="Y323" s="1"/>
  <c r="Z323" s="1"/>
  <c r="AA323" s="1"/>
  <c r="AB323" s="1"/>
  <c r="AC323" s="1"/>
  <c r="AD323" s="1"/>
  <c r="AE323" s="1"/>
  <c r="AF323" s="1"/>
  <c r="AG323" s="1"/>
  <c r="AH323" s="1"/>
  <c r="AI323" s="1"/>
  <c r="AJ323" s="1"/>
  <c r="AK323" s="1"/>
  <c r="AL323" s="1"/>
  <c r="AM323" s="1"/>
  <c r="AN323" s="1"/>
  <c r="AO323" s="1"/>
  <c r="AP323" s="1"/>
  <c r="AQ323" s="1"/>
  <c r="AR323" s="1"/>
  <c r="AS323" s="1"/>
  <c r="AT323" s="1"/>
  <c r="AU323" s="1"/>
  <c r="AV323" s="1"/>
  <c r="AW323" s="1"/>
  <c r="AX323" s="1"/>
  <c r="AY323" s="1"/>
  <c r="AZ323" s="1"/>
  <c r="BA323" s="1"/>
  <c r="BB323" s="1"/>
  <c r="BC323" s="1"/>
  <c r="BD323" s="1"/>
  <c r="BE323" s="1"/>
  <c r="BF323" s="1"/>
  <c r="BG323" s="1"/>
  <c r="BH323" s="1"/>
  <c r="BI323" s="1"/>
  <c r="T333"/>
  <c r="U333"/>
  <c r="V333"/>
  <c r="W333"/>
  <c r="F334"/>
  <c r="F333" s="1"/>
  <c r="F325"/>
  <c r="C115" l="1"/>
  <c r="E122" l="1"/>
  <c r="E130" s="1"/>
  <c r="G122"/>
  <c r="G130" s="1"/>
  <c r="F122"/>
  <c r="F130" s="1"/>
  <c r="H122"/>
  <c r="H130" s="1"/>
  <c r="I122"/>
  <c r="I130" s="1"/>
  <c r="J122"/>
  <c r="J130" s="1"/>
  <c r="K122"/>
  <c r="L122"/>
  <c r="L130" s="1"/>
  <c r="M122"/>
  <c r="M130" s="1"/>
  <c r="E334" l="1" a="1"/>
  <c r="E374" s="1"/>
  <c r="E376" l="1"/>
  <c r="E360"/>
  <c r="E344"/>
  <c r="E383"/>
  <c r="E367"/>
  <c r="E351"/>
  <c r="E335"/>
  <c r="E377"/>
  <c r="E361"/>
  <c r="E345"/>
  <c r="E378"/>
  <c r="E346"/>
  <c r="E388"/>
  <c r="E372"/>
  <c r="E356"/>
  <c r="E340"/>
  <c r="E379"/>
  <c r="E363"/>
  <c r="E347"/>
  <c r="E389"/>
  <c r="E373"/>
  <c r="E357"/>
  <c r="E341"/>
  <c r="E370"/>
  <c r="E338"/>
  <c r="E366"/>
  <c r="E358"/>
  <c r="E386"/>
  <c r="E384"/>
  <c r="E368"/>
  <c r="E352"/>
  <c r="E336"/>
  <c r="E375"/>
  <c r="E359"/>
  <c r="E343"/>
  <c r="E385"/>
  <c r="E369"/>
  <c r="E353"/>
  <c r="E337"/>
  <c r="E362"/>
  <c r="E382"/>
  <c r="E380"/>
  <c r="E364"/>
  <c r="E348"/>
  <c r="E387"/>
  <c r="E371"/>
  <c r="E355"/>
  <c r="E339"/>
  <c r="E381"/>
  <c r="E365"/>
  <c r="E349"/>
  <c r="E334"/>
  <c r="E354"/>
  <c r="E350"/>
  <c r="E342"/>
  <c r="G31" l="1"/>
  <c r="E126"/>
  <c r="AC123"/>
  <c r="AB123"/>
  <c r="AA123"/>
  <c r="Z123"/>
  <c r="Y123"/>
  <c r="X123"/>
  <c r="W123"/>
  <c r="V123"/>
  <c r="U123"/>
  <c r="T123"/>
  <c r="S123"/>
  <c r="R123"/>
  <c r="Q123"/>
  <c r="P123"/>
  <c r="O123"/>
  <c r="N123"/>
  <c r="M123"/>
  <c r="L123"/>
  <c r="K123"/>
  <c r="J123"/>
  <c r="I123"/>
  <c r="H123"/>
  <c r="G123"/>
  <c r="F123"/>
  <c r="E123"/>
  <c r="E124" s="1"/>
  <c r="K63"/>
  <c r="L63"/>
  <c r="M63"/>
  <c r="N63"/>
  <c r="O63"/>
  <c r="P63"/>
  <c r="Q63"/>
  <c r="R63"/>
  <c r="S63"/>
  <c r="T63"/>
  <c r="U63"/>
  <c r="V63"/>
  <c r="W63"/>
  <c r="X63"/>
  <c r="Y63"/>
  <c r="Z63"/>
  <c r="F63"/>
  <c r="G63"/>
  <c r="H63"/>
  <c r="I63"/>
  <c r="J63"/>
  <c r="O93"/>
  <c r="P93"/>
  <c r="Q93"/>
  <c r="R93"/>
  <c r="S93"/>
  <c r="T93"/>
  <c r="U93"/>
  <c r="V93"/>
  <c r="W93"/>
  <c r="X93"/>
  <c r="Y93"/>
  <c r="Z93"/>
  <c r="AA93"/>
  <c r="AB93"/>
  <c r="AC93"/>
  <c r="F93"/>
  <c r="F94" s="1"/>
  <c r="G93"/>
  <c r="H93"/>
  <c r="I93"/>
  <c r="J93"/>
  <c r="K93"/>
  <c r="L93"/>
  <c r="M93"/>
  <c r="N93"/>
  <c r="E96"/>
  <c r="E93"/>
  <c r="E94" s="1"/>
  <c r="E106"/>
  <c r="E66"/>
  <c r="E63"/>
  <c r="E64" s="1"/>
  <c r="E52"/>
  <c r="E53" l="1"/>
  <c r="E62"/>
  <c r="E70" s="1"/>
  <c r="E73" s="1"/>
  <c r="F64"/>
  <c r="G64" s="1"/>
  <c r="H64" s="1"/>
  <c r="I64" s="1"/>
  <c r="J64" s="1"/>
  <c r="K64" s="1"/>
  <c r="L64" s="1"/>
  <c r="M64" s="1"/>
  <c r="N64" s="1"/>
  <c r="O64" s="1"/>
  <c r="P64" s="1"/>
  <c r="Q64" s="1"/>
  <c r="R64" s="1"/>
  <c r="S64" s="1"/>
  <c r="T64" s="1"/>
  <c r="U64" s="1"/>
  <c r="V64" s="1"/>
  <c r="W64" s="1"/>
  <c r="X64" s="1"/>
  <c r="Y64" s="1"/>
  <c r="Z64" s="1"/>
  <c r="E78"/>
  <c r="F52"/>
  <c r="F62" s="1"/>
  <c r="F124"/>
  <c r="G124" s="1"/>
  <c r="H124" s="1"/>
  <c r="I124" s="1"/>
  <c r="J124" s="1"/>
  <c r="K124" s="1"/>
  <c r="L124" s="1"/>
  <c r="M124" s="1"/>
  <c r="N124" s="1"/>
  <c r="O124" s="1"/>
  <c r="P124" s="1"/>
  <c r="Q124" s="1"/>
  <c r="R124" s="1"/>
  <c r="S124" s="1"/>
  <c r="T124" s="1"/>
  <c r="U124" s="1"/>
  <c r="V124" s="1"/>
  <c r="W124" s="1"/>
  <c r="X124" s="1"/>
  <c r="Y124" s="1"/>
  <c r="Z124" s="1"/>
  <c r="AA124" s="1"/>
  <c r="AB124" s="1"/>
  <c r="AC124" s="1"/>
  <c r="AD124" s="1"/>
  <c r="AE124" s="1"/>
  <c r="AF124" s="1"/>
  <c r="AG124" s="1"/>
  <c r="AH124" s="1"/>
  <c r="AI124" s="1"/>
  <c r="AJ124" s="1"/>
  <c r="AK124" s="1"/>
  <c r="AL124" s="1"/>
  <c r="AM124" s="1"/>
  <c r="AN124" s="1"/>
  <c r="AO124" s="1"/>
  <c r="AP124" s="1"/>
  <c r="AQ124" s="1"/>
  <c r="AR124" s="1"/>
  <c r="AS124" s="1"/>
  <c r="AT124" s="1"/>
  <c r="AU124" s="1"/>
  <c r="AV124" s="1"/>
  <c r="AW124" s="1"/>
  <c r="AX124" s="1"/>
  <c r="AY124" s="1"/>
  <c r="AZ124" s="1"/>
  <c r="BA124" s="1"/>
  <c r="BB124" s="1"/>
  <c r="BC124" s="1"/>
  <c r="BD124" s="1"/>
  <c r="BE124" s="1"/>
  <c r="BF124" s="1"/>
  <c r="BG124" s="1"/>
  <c r="BH124" s="1"/>
  <c r="BI124" s="1"/>
  <c r="BJ124" s="1"/>
  <c r="BK124" s="1"/>
  <c r="BL124" s="1"/>
  <c r="BM124" s="1"/>
  <c r="BN124" s="1"/>
  <c r="BO124" s="1"/>
  <c r="BP124" s="1"/>
  <c r="BQ124" s="1"/>
  <c r="BR124" s="1"/>
  <c r="BS124" s="1"/>
  <c r="BT124" s="1"/>
  <c r="BU124" s="1"/>
  <c r="BV124" s="1"/>
  <c r="BW124" s="1"/>
  <c r="BX124" s="1"/>
  <c r="BY124" s="1"/>
  <c r="BZ124" s="1"/>
  <c r="CA124" s="1"/>
  <c r="CB124" s="1"/>
  <c r="CC124" s="1"/>
  <c r="CD124" s="1"/>
  <c r="CE124" s="1"/>
  <c r="CF124" s="1"/>
  <c r="CG124" s="1"/>
  <c r="CH124" s="1"/>
  <c r="CI124" s="1"/>
  <c r="CJ124" s="1"/>
  <c r="CK124" s="1"/>
  <c r="CL124" s="1"/>
  <c r="CM124" s="1"/>
  <c r="CN124" s="1"/>
  <c r="CO124" s="1"/>
  <c r="CP124" s="1"/>
  <c r="CQ124" s="1"/>
  <c r="CR124" s="1"/>
  <c r="CS124" s="1"/>
  <c r="CT124" s="1"/>
  <c r="CU124" s="1"/>
  <c r="CV124" s="1"/>
  <c r="CW124" s="1"/>
  <c r="CX124" s="1"/>
  <c r="CY124" s="1"/>
  <c r="CZ124" s="1"/>
  <c r="DA124" s="1"/>
  <c r="DB124" s="1"/>
  <c r="DC124" s="1"/>
  <c r="DD124" s="1"/>
  <c r="DE124" s="1"/>
  <c r="DF124" s="1"/>
  <c r="DG124" s="1"/>
  <c r="DH124" s="1"/>
  <c r="DI124" s="1"/>
  <c r="DJ124" s="1"/>
  <c r="DK124" s="1"/>
  <c r="DL124" s="1"/>
  <c r="DM124" s="1"/>
  <c r="DN124" s="1"/>
  <c r="DO124" s="1"/>
  <c r="DP124" s="1"/>
  <c r="DQ124" s="1"/>
  <c r="DR124" s="1"/>
  <c r="DS124" s="1"/>
  <c r="DT124" s="1"/>
  <c r="DU124" s="1"/>
  <c r="DV124" s="1"/>
  <c r="DW124" s="1"/>
  <c r="DX124" s="1"/>
  <c r="DY124" s="1"/>
  <c r="DZ124" s="1"/>
  <c r="EA124" s="1"/>
  <c r="EB124" s="1"/>
  <c r="EC124" s="1"/>
  <c r="ED124" s="1"/>
  <c r="EE124" s="1"/>
  <c r="EF124" s="1"/>
  <c r="EG124" s="1"/>
  <c r="EH124" s="1"/>
  <c r="EI124" s="1"/>
  <c r="EJ124" s="1"/>
  <c r="EK124" s="1"/>
  <c r="EL124" s="1"/>
  <c r="EM124" s="1"/>
  <c r="EN124" s="1"/>
  <c r="EO124" s="1"/>
  <c r="EP124" s="1"/>
  <c r="EQ124" s="1"/>
  <c r="ER124" s="1"/>
  <c r="ES124" s="1"/>
  <c r="ET124" s="1"/>
  <c r="EU124" s="1"/>
  <c r="EV124" s="1"/>
  <c r="EW124" s="1"/>
  <c r="EX124" s="1"/>
  <c r="EY124" s="1"/>
  <c r="EZ124" s="1"/>
  <c r="FA124" s="1"/>
  <c r="FB124" s="1"/>
  <c r="FC124" s="1"/>
  <c r="FD124" s="1"/>
  <c r="FE124" s="1"/>
  <c r="FF124" s="1"/>
  <c r="FG124" s="1"/>
  <c r="FH124" s="1"/>
  <c r="FI124" s="1"/>
  <c r="FJ124" s="1"/>
  <c r="FK124" s="1"/>
  <c r="FL124" s="1"/>
  <c r="FM124" s="1"/>
  <c r="FN124" s="1"/>
  <c r="FO124" s="1"/>
  <c r="FP124" s="1"/>
  <c r="FQ124" s="1"/>
  <c r="FR124" s="1"/>
  <c r="FS124" s="1"/>
  <c r="FT124" s="1"/>
  <c r="FU124" s="1"/>
  <c r="FV124" s="1"/>
  <c r="FW124" s="1"/>
  <c r="FX124" s="1"/>
  <c r="FY124" s="1"/>
  <c r="FZ124" s="1"/>
  <c r="GA124" s="1"/>
  <c r="GB124" s="1"/>
  <c r="GC124" s="1"/>
  <c r="GD124" s="1"/>
  <c r="GE124" s="1"/>
  <c r="GF124" s="1"/>
  <c r="GG124" s="1"/>
  <c r="GH124" s="1"/>
  <c r="GI124" s="1"/>
  <c r="GJ124" s="1"/>
  <c r="GK124" s="1"/>
  <c r="GL124" s="1"/>
  <c r="GM124" s="1"/>
  <c r="GN124" s="1"/>
  <c r="GO124" s="1"/>
  <c r="GP124" s="1"/>
  <c r="GQ124" s="1"/>
  <c r="H94"/>
  <c r="J94" s="1"/>
  <c r="L94" s="1"/>
  <c r="N94" s="1"/>
  <c r="P94" s="1"/>
  <c r="R94" s="1"/>
  <c r="T94" s="1"/>
  <c r="V94" s="1"/>
  <c r="X94" s="1"/>
  <c r="Z94" s="1"/>
  <c r="AB94" s="1"/>
  <c r="E76"/>
  <c r="E77" s="1"/>
  <c r="E138"/>
  <c r="E136"/>
  <c r="E137" s="1"/>
  <c r="F138"/>
  <c r="E97"/>
  <c r="E98" s="1"/>
  <c r="E108"/>
  <c r="G94"/>
  <c r="I94" s="1"/>
  <c r="K94" s="1"/>
  <c r="M94" s="1"/>
  <c r="O94" s="1"/>
  <c r="Q94" s="1"/>
  <c r="S94" s="1"/>
  <c r="U94" s="1"/>
  <c r="W94" s="1"/>
  <c r="Y94" s="1"/>
  <c r="AA94" s="1"/>
  <c r="AC94" s="1"/>
  <c r="E107"/>
  <c r="F97"/>
  <c r="G52" l="1"/>
  <c r="G62" s="1"/>
  <c r="F53"/>
  <c r="F136"/>
  <c r="F137" s="1"/>
  <c r="F127"/>
  <c r="E128"/>
  <c r="F76"/>
  <c r="F77" s="1"/>
  <c r="F78"/>
  <c r="E68"/>
  <c r="F106"/>
  <c r="F107" s="1"/>
  <c r="F108"/>
  <c r="G97"/>
  <c r="A6" i="12"/>
  <c r="A7" s="1"/>
  <c r="A8" s="1"/>
  <c r="A9" s="1"/>
  <c r="A10" s="1"/>
  <c r="A11" s="1"/>
  <c r="ES34"/>
  <c r="CY34"/>
  <c r="H209" i="37" l="1"/>
  <c r="F209"/>
  <c r="D209"/>
  <c r="I209"/>
  <c r="G209"/>
  <c r="E209"/>
  <c r="E381" i="33"/>
  <c r="G381"/>
  <c r="I381"/>
  <c r="F381"/>
  <c r="H381"/>
  <c r="D381"/>
  <c r="H138" i="26"/>
  <c r="G138"/>
  <c r="G127"/>
  <c r="H52"/>
  <c r="H62" s="1"/>
  <c r="G53"/>
  <c r="G136"/>
  <c r="G137" s="1"/>
  <c r="A12" i="12"/>
  <c r="G76" i="26"/>
  <c r="G77" s="1"/>
  <c r="G78"/>
  <c r="G67"/>
  <c r="G106"/>
  <c r="G107" s="1"/>
  <c r="G108"/>
  <c r="B14" i="30"/>
  <c r="G14"/>
  <c r="I14"/>
  <c r="H13"/>
  <c r="A13" i="12" l="1"/>
  <c r="A14" s="1"/>
  <c r="A15" s="1"/>
  <c r="H208" i="37"/>
  <c r="F208"/>
  <c r="D208"/>
  <c r="I208"/>
  <c r="G208"/>
  <c r="E208"/>
  <c r="F380" i="33"/>
  <c r="H380"/>
  <c r="E380"/>
  <c r="G380"/>
  <c r="I380"/>
  <c r="H136" i="26"/>
  <c r="H137" s="1"/>
  <c r="H127"/>
  <c r="D380" i="33"/>
  <c r="I52" i="26"/>
  <c r="I62" s="1"/>
  <c r="H53"/>
  <c r="B15" i="30"/>
  <c r="C15" s="1"/>
  <c r="D15" s="1"/>
  <c r="C14"/>
  <c r="D14" s="1"/>
  <c r="Q35"/>
  <c r="Q36"/>
  <c r="Q37"/>
  <c r="Q38"/>
  <c r="Q39"/>
  <c r="Q40"/>
  <c r="Q41"/>
  <c r="Q42"/>
  <c r="Q43"/>
  <c r="Q44"/>
  <c r="Q45"/>
  <c r="Q46"/>
  <c r="Q47"/>
  <c r="Q48"/>
  <c r="H76" i="26"/>
  <c r="H77" s="1"/>
  <c r="H67"/>
  <c r="H78"/>
  <c r="H106"/>
  <c r="H107" s="1"/>
  <c r="H108"/>
  <c r="I97"/>
  <c r="B16" i="30"/>
  <c r="C16" s="1"/>
  <c r="D16" s="1"/>
  <c r="H14"/>
  <c r="H15" s="1"/>
  <c r="H16" s="1"/>
  <c r="H17" s="1"/>
  <c r="H18" s="1"/>
  <c r="H19" s="1"/>
  <c r="H20" s="1"/>
  <c r="H21" s="1"/>
  <c r="H22" s="1"/>
  <c r="H23" s="1"/>
  <c r="A16" i="12" l="1"/>
  <c r="I67" i="26"/>
  <c r="I76"/>
  <c r="I77" s="1"/>
  <c r="I136"/>
  <c r="I138"/>
  <c r="I127"/>
  <c r="J52"/>
  <c r="J78" s="1"/>
  <c r="I53"/>
  <c r="Q15" i="30"/>
  <c r="K15"/>
  <c r="L15" s="1"/>
  <c r="Q34"/>
  <c r="G30" s="1"/>
  <c r="Q16"/>
  <c r="K16"/>
  <c r="L16" s="1"/>
  <c r="I78" i="26"/>
  <c r="A17" i="12"/>
  <c r="I137" i="26"/>
  <c r="J138"/>
  <c r="J136"/>
  <c r="I106"/>
  <c r="I107" s="1"/>
  <c r="I108"/>
  <c r="J97"/>
  <c r="B17" i="30"/>
  <c r="C17" s="1"/>
  <c r="D17" s="1"/>
  <c r="E15"/>
  <c r="Q14"/>
  <c r="K14"/>
  <c r="L14" s="1"/>
  <c r="E14"/>
  <c r="J67" i="26" l="1"/>
  <c r="J62"/>
  <c r="J127"/>
  <c r="K52"/>
  <c r="K62" s="1"/>
  <c r="J53"/>
  <c r="J76"/>
  <c r="J77" s="1"/>
  <c r="Q17" i="30"/>
  <c r="K17"/>
  <c r="L17" s="1"/>
  <c r="M15"/>
  <c r="N15" s="1"/>
  <c r="O15" s="1"/>
  <c r="A18" i="12"/>
  <c r="J137" i="26"/>
  <c r="J106"/>
  <c r="J107" s="1"/>
  <c r="J108"/>
  <c r="B18" i="30"/>
  <c r="C18" s="1"/>
  <c r="D18" s="1"/>
  <c r="E17"/>
  <c r="E16"/>
  <c r="M16" s="1"/>
  <c r="N16" s="1"/>
  <c r="O16" s="1"/>
  <c r="M14"/>
  <c r="K67" i="26" l="1"/>
  <c r="K78"/>
  <c r="K136"/>
  <c r="K138"/>
  <c r="K127"/>
  <c r="L52"/>
  <c r="L62" s="1"/>
  <c r="K53"/>
  <c r="K76"/>
  <c r="K77" s="1"/>
  <c r="Q18" i="30"/>
  <c r="K18"/>
  <c r="L18" s="1"/>
  <c r="M17"/>
  <c r="N17" s="1"/>
  <c r="O17" s="1"/>
  <c r="A19" i="12"/>
  <c r="K137" i="26"/>
  <c r="L136"/>
  <c r="K106"/>
  <c r="K107" s="1"/>
  <c r="K108"/>
  <c r="L97"/>
  <c r="B19" i="30"/>
  <c r="C19" s="1"/>
  <c r="D19" s="1"/>
  <c r="N14"/>
  <c r="L76" i="26" l="1"/>
  <c r="L77" s="1"/>
  <c r="L138"/>
  <c r="N112"/>
  <c r="L127"/>
  <c r="M52"/>
  <c r="L53"/>
  <c r="L78"/>
  <c r="L67"/>
  <c r="Q19" i="30"/>
  <c r="K19"/>
  <c r="L19" s="1"/>
  <c r="A20" i="12"/>
  <c r="A21" s="1"/>
  <c r="A22" s="1"/>
  <c r="A23" s="1"/>
  <c r="A24" s="1"/>
  <c r="L137" i="26"/>
  <c r="L106"/>
  <c r="L107" s="1"/>
  <c r="L108"/>
  <c r="M97"/>
  <c r="E18" i="30"/>
  <c r="M18" s="1"/>
  <c r="B20"/>
  <c r="C20" s="1"/>
  <c r="D20" s="1"/>
  <c r="O14"/>
  <c r="G45" i="26" l="1"/>
  <c r="G37" i="35"/>
  <c r="G36" s="1"/>
  <c r="G38" i="26"/>
  <c r="G37" s="1"/>
  <c r="F211" i="37"/>
  <c r="D211"/>
  <c r="K211"/>
  <c r="K172" s="1"/>
  <c r="K171" s="1"/>
  <c r="G211"/>
  <c r="E211"/>
  <c r="G44" i="35"/>
  <c r="K167" i="33" s="1"/>
  <c r="E383"/>
  <c r="G383"/>
  <c r="K383"/>
  <c r="F383"/>
  <c r="D383"/>
  <c r="M67" i="26"/>
  <c r="M62"/>
  <c r="N122"/>
  <c r="N130" s="1"/>
  <c r="N113"/>
  <c r="M78"/>
  <c r="O112"/>
  <c r="M138"/>
  <c r="M127"/>
  <c r="M136"/>
  <c r="M137" s="1"/>
  <c r="E90"/>
  <c r="F90"/>
  <c r="G90"/>
  <c r="K90"/>
  <c r="N52"/>
  <c r="N62" s="1"/>
  <c r="M53"/>
  <c r="M76"/>
  <c r="M77" s="1"/>
  <c r="N18" i="30"/>
  <c r="Q20"/>
  <c r="K20"/>
  <c r="L20" s="1"/>
  <c r="A25" i="12"/>
  <c r="N138" i="26"/>
  <c r="N136"/>
  <c r="M106"/>
  <c r="M107" s="1"/>
  <c r="M108"/>
  <c r="N97"/>
  <c r="E19" i="30"/>
  <c r="M19" s="1"/>
  <c r="B21"/>
  <c r="K163" i="37" l="1"/>
  <c r="K162" s="1"/>
  <c r="K31" s="1"/>
  <c r="K200"/>
  <c r="K199" s="1"/>
  <c r="K30" s="1"/>
  <c r="H213"/>
  <c r="F213"/>
  <c r="D213"/>
  <c r="I213"/>
  <c r="G213"/>
  <c r="E213"/>
  <c r="K287" i="33"/>
  <c r="A26" i="12"/>
  <c r="A27" s="1"/>
  <c r="A28" s="1"/>
  <c r="E385" i="33"/>
  <c r="G385"/>
  <c r="I385"/>
  <c r="F385"/>
  <c r="H385"/>
  <c r="D385"/>
  <c r="N67" i="26"/>
  <c r="N78"/>
  <c r="O122"/>
  <c r="O130" s="1"/>
  <c r="O113"/>
  <c r="P112"/>
  <c r="O127"/>
  <c r="N127"/>
  <c r="O52"/>
  <c r="O62" s="1"/>
  <c r="N53"/>
  <c r="N76"/>
  <c r="N77" s="1"/>
  <c r="N19" i="30"/>
  <c r="O19" s="1"/>
  <c r="C21"/>
  <c r="D21" s="1"/>
  <c r="B22"/>
  <c r="O18"/>
  <c r="N137" i="26"/>
  <c r="O138"/>
  <c r="N106"/>
  <c r="N107" s="1"/>
  <c r="N108"/>
  <c r="O97"/>
  <c r="E20" i="30"/>
  <c r="M20" s="1"/>
  <c r="O67" i="26" l="1"/>
  <c r="O78"/>
  <c r="H215" i="37"/>
  <c r="F215"/>
  <c r="D215"/>
  <c r="I215"/>
  <c r="I218" s="1"/>
  <c r="G215"/>
  <c r="E215"/>
  <c r="A29" i="12"/>
  <c r="F386" i="33"/>
  <c r="H386"/>
  <c r="D386"/>
  <c r="E386"/>
  <c r="G386"/>
  <c r="I386"/>
  <c r="P122" i="26"/>
  <c r="P130" s="1"/>
  <c r="P113"/>
  <c r="Q112"/>
  <c r="O136"/>
  <c r="O137" s="1"/>
  <c r="P127"/>
  <c r="P52"/>
  <c r="O53"/>
  <c r="O76"/>
  <c r="O77" s="1"/>
  <c r="N20" i="30"/>
  <c r="Q21"/>
  <c r="K21"/>
  <c r="L21" s="1"/>
  <c r="B23"/>
  <c r="C23" s="1"/>
  <c r="D23" s="1"/>
  <c r="C22"/>
  <c r="D22" s="1"/>
  <c r="E21"/>
  <c r="P138" i="26"/>
  <c r="O106"/>
  <c r="O107" s="1"/>
  <c r="O108"/>
  <c r="P97"/>
  <c r="H216" i="37" l="1"/>
  <c r="F216"/>
  <c r="D216"/>
  <c r="I216"/>
  <c r="G216"/>
  <c r="E216"/>
  <c r="A30" i="12"/>
  <c r="A31" s="1"/>
  <c r="E387" i="33"/>
  <c r="G387"/>
  <c r="I387"/>
  <c r="F387"/>
  <c r="H387"/>
  <c r="D387"/>
  <c r="P76" i="26"/>
  <c r="P77" s="1"/>
  <c r="P62"/>
  <c r="Q122"/>
  <c r="Q113"/>
  <c r="R112"/>
  <c r="P136"/>
  <c r="P137" s="1"/>
  <c r="Q52"/>
  <c r="Q78" s="1"/>
  <c r="P53"/>
  <c r="P78"/>
  <c r="P67"/>
  <c r="E23" i="30"/>
  <c r="Q23"/>
  <c r="K23"/>
  <c r="L23" s="1"/>
  <c r="M23" s="1"/>
  <c r="N23" s="1"/>
  <c r="O23" s="1"/>
  <c r="O20"/>
  <c r="E22"/>
  <c r="Q22"/>
  <c r="K22"/>
  <c r="L22" s="1"/>
  <c r="M22" s="1"/>
  <c r="N22" s="1"/>
  <c r="O22" s="1"/>
  <c r="M21"/>
  <c r="P106" i="26"/>
  <c r="P107" s="1"/>
  <c r="P108"/>
  <c r="Q97"/>
  <c r="H210" i="37" l="1"/>
  <c r="F210"/>
  <c r="D210"/>
  <c r="I210"/>
  <c r="G210"/>
  <c r="E210"/>
  <c r="F382" i="33"/>
  <c r="H382"/>
  <c r="D382"/>
  <c r="E382"/>
  <c r="G382"/>
  <c r="I382"/>
  <c r="A32" i="12"/>
  <c r="Q67" i="26"/>
  <c r="Q62"/>
  <c r="R122"/>
  <c r="R130" s="1"/>
  <c r="R113"/>
  <c r="S112"/>
  <c r="Q136"/>
  <c r="Q137" s="1"/>
  <c r="Q127"/>
  <c r="Q138"/>
  <c r="R52"/>
  <c r="R62" s="1"/>
  <c r="Q53"/>
  <c r="Q76"/>
  <c r="Q77" s="1"/>
  <c r="Q13" i="30"/>
  <c r="N21"/>
  <c r="M13"/>
  <c r="R136" i="26"/>
  <c r="Q106"/>
  <c r="Q107" s="1"/>
  <c r="Q108"/>
  <c r="R97"/>
  <c r="A33" i="12" l="1"/>
  <c r="A34" s="1"/>
  <c r="T212" i="37" s="1"/>
  <c r="R212"/>
  <c r="N212"/>
  <c r="J212"/>
  <c r="S212"/>
  <c r="O212"/>
  <c r="K212"/>
  <c r="R67" i="26"/>
  <c r="R78"/>
  <c r="L384" i="33"/>
  <c r="P384"/>
  <c r="T384"/>
  <c r="M384"/>
  <c r="Q384"/>
  <c r="U384"/>
  <c r="S122" i="26"/>
  <c r="S130" s="1"/>
  <c r="S113"/>
  <c r="R138"/>
  <c r="R127"/>
  <c r="S52"/>
  <c r="S78" s="1"/>
  <c r="R53"/>
  <c r="R76"/>
  <c r="R77" s="1"/>
  <c r="R137"/>
  <c r="O21" i="30"/>
  <c r="O13" s="1"/>
  <c r="N13"/>
  <c r="R106" i="26"/>
  <c r="R107" s="1"/>
  <c r="R108"/>
  <c r="S97"/>
  <c r="A35" i="12" l="1"/>
  <c r="A36" s="1"/>
  <c r="S384" i="33"/>
  <c r="O384"/>
  <c r="K384"/>
  <c r="R384"/>
  <c r="N384"/>
  <c r="J384"/>
  <c r="M212" i="37"/>
  <c r="Q212"/>
  <c r="U212"/>
  <c r="L212"/>
  <c r="P212"/>
  <c r="S67" i="26"/>
  <c r="S62"/>
  <c r="T112"/>
  <c r="S138"/>
  <c r="S136"/>
  <c r="S137" s="1"/>
  <c r="S127"/>
  <c r="T52"/>
  <c r="T78" s="1"/>
  <c r="S53"/>
  <c r="S76"/>
  <c r="S77" s="1"/>
  <c r="P35" i="30"/>
  <c r="P37"/>
  <c r="P38"/>
  <c r="P36"/>
  <c r="P40"/>
  <c r="P39"/>
  <c r="P42"/>
  <c r="P41"/>
  <c r="P43"/>
  <c r="P44"/>
  <c r="P45"/>
  <c r="P46"/>
  <c r="P47"/>
  <c r="P48"/>
  <c r="S106" i="26"/>
  <c r="S107" s="1"/>
  <c r="S108"/>
  <c r="T97"/>
  <c r="G9" i="30"/>
  <c r="T67" i="26" l="1"/>
  <c r="T62"/>
  <c r="T122"/>
  <c r="T130" s="1"/>
  <c r="T113"/>
  <c r="U112"/>
  <c r="T138"/>
  <c r="T136"/>
  <c r="T137" s="1"/>
  <c r="T127"/>
  <c r="U52"/>
  <c r="U78" s="1"/>
  <c r="T53"/>
  <c r="T76"/>
  <c r="T77" s="1"/>
  <c r="P34" i="30"/>
  <c r="G29" s="1"/>
  <c r="T106" i="26"/>
  <c r="T107" s="1"/>
  <c r="T108"/>
  <c r="U97"/>
  <c r="U67" l="1"/>
  <c r="U62"/>
  <c r="U122"/>
  <c r="U130" s="1"/>
  <c r="U113"/>
  <c r="V112"/>
  <c r="V136" s="1"/>
  <c r="U136"/>
  <c r="U137" s="1"/>
  <c r="U127"/>
  <c r="U138"/>
  <c r="V52"/>
  <c r="V78" s="1"/>
  <c r="U53"/>
  <c r="U76"/>
  <c r="U77" s="1"/>
  <c r="U106"/>
  <c r="U107" s="1"/>
  <c r="U108"/>
  <c r="V97"/>
  <c r="V127" l="1"/>
  <c r="V138"/>
  <c r="V137"/>
  <c r="V67"/>
  <c r="V62"/>
  <c r="V122"/>
  <c r="V130" s="1"/>
  <c r="V113"/>
  <c r="W112"/>
  <c r="W136" s="1"/>
  <c r="W52"/>
  <c r="W62" s="1"/>
  <c r="V53"/>
  <c r="V76"/>
  <c r="V77" s="1"/>
  <c r="V106"/>
  <c r="V107" s="1"/>
  <c r="V108"/>
  <c r="W97"/>
  <c r="W78" l="1"/>
  <c r="W137"/>
  <c r="W122"/>
  <c r="W130" s="1"/>
  <c r="W113"/>
  <c r="W67"/>
  <c r="X112"/>
  <c r="W138"/>
  <c r="W127"/>
  <c r="X52"/>
  <c r="W53"/>
  <c r="W76"/>
  <c r="W77" s="1"/>
  <c r="W106"/>
  <c r="W107" s="1"/>
  <c r="W108"/>
  <c r="X97"/>
  <c r="X67" l="1"/>
  <c r="X62"/>
  <c r="X122"/>
  <c r="X130" s="1"/>
  <c r="X113"/>
  <c r="X78"/>
  <c r="Y112"/>
  <c r="X138"/>
  <c r="X136"/>
  <c r="X137" s="1"/>
  <c r="X127"/>
  <c r="Y52"/>
  <c r="X53"/>
  <c r="X76"/>
  <c r="X77" s="1"/>
  <c r="P23" i="30"/>
  <c r="P17"/>
  <c r="P20"/>
  <c r="P16"/>
  <c r="P15"/>
  <c r="P19"/>
  <c r="P22"/>
  <c r="P18"/>
  <c r="P21"/>
  <c r="Y138" i="26"/>
  <c r="X106"/>
  <c r="X107" s="1"/>
  <c r="X108"/>
  <c r="Y97"/>
  <c r="P14" i="30"/>
  <c r="Y76" i="26" l="1"/>
  <c r="Y77" s="1"/>
  <c r="Y62"/>
  <c r="Y122"/>
  <c r="Y130" s="1"/>
  <c r="Y113"/>
  <c r="Y127"/>
  <c r="Z112"/>
  <c r="Y136"/>
  <c r="Y137" s="1"/>
  <c r="Z52"/>
  <c r="Y53"/>
  <c r="Y78"/>
  <c r="Y67"/>
  <c r="P13" i="30"/>
  <c r="G8" s="1"/>
  <c r="Y106" i="26"/>
  <c r="Y107" s="1"/>
  <c r="Y108"/>
  <c r="Z97"/>
  <c r="Z67" l="1"/>
  <c r="Z62"/>
  <c r="Z70" s="1"/>
  <c r="Z122"/>
  <c r="Z130" s="1"/>
  <c r="Z113"/>
  <c r="Z78"/>
  <c r="AA112"/>
  <c r="AA138" s="1"/>
  <c r="Z138"/>
  <c r="Z136"/>
  <c r="Z137" s="1"/>
  <c r="Z127"/>
  <c r="AA52"/>
  <c r="AA53" s="1"/>
  <c r="Z53"/>
  <c r="Z76"/>
  <c r="Z77" s="1"/>
  <c r="Z106"/>
  <c r="Z107" s="1"/>
  <c r="Z108"/>
  <c r="AA97"/>
  <c r="AA122" l="1"/>
  <c r="AA130" s="1"/>
  <c r="AA113"/>
  <c r="AB112"/>
  <c r="AB136" s="1"/>
  <c r="AA136"/>
  <c r="AA137" s="1"/>
  <c r="AA127"/>
  <c r="AA106"/>
  <c r="AA107" s="1"/>
  <c r="AA108"/>
  <c r="AB97"/>
  <c r="AB137" l="1"/>
  <c r="AB122"/>
  <c r="AB130" s="1"/>
  <c r="AB113"/>
  <c r="AC112"/>
  <c r="AB138"/>
  <c r="AB127"/>
  <c r="AB106"/>
  <c r="AB107" s="1"/>
  <c r="AB108"/>
  <c r="AC97"/>
  <c r="AC122" l="1"/>
  <c r="AC113"/>
  <c r="AD112"/>
  <c r="AC136"/>
  <c r="AC137" s="1"/>
  <c r="AC127"/>
  <c r="AC138"/>
  <c r="AC106"/>
  <c r="AC107" s="1"/>
  <c r="AC108"/>
  <c r="AD122" l="1"/>
  <c r="AD130" s="1"/>
  <c r="AD113"/>
  <c r="AE112"/>
  <c r="AD127"/>
  <c r="AD138"/>
  <c r="AD136"/>
  <c r="AD137" s="1"/>
  <c r="AE122" l="1"/>
  <c r="AE130" s="1"/>
  <c r="AE113"/>
  <c r="AE136"/>
  <c r="AE127"/>
  <c r="AE138"/>
  <c r="AF112"/>
  <c r="AE137"/>
  <c r="AF122" l="1"/>
  <c r="AF130" s="1"/>
  <c r="AF113"/>
  <c r="AG112"/>
  <c r="AF127"/>
  <c r="AF138"/>
  <c r="AF136"/>
  <c r="AF137" s="1"/>
  <c r="AG122" l="1"/>
  <c r="AG130" s="1"/>
  <c r="AG113"/>
  <c r="AG136"/>
  <c r="AG137" s="1"/>
  <c r="AH112"/>
  <c r="AG127"/>
  <c r="AG138"/>
  <c r="AH122" l="1"/>
  <c r="AH130" s="1"/>
  <c r="AH113"/>
  <c r="AH136"/>
  <c r="AI112"/>
  <c r="AH127"/>
  <c r="AH138"/>
  <c r="AH137"/>
  <c r="AI122" l="1"/>
  <c r="AI130" s="1"/>
  <c r="AI113"/>
  <c r="AI136"/>
  <c r="AI137" s="1"/>
  <c r="AJ112"/>
  <c r="AI127"/>
  <c r="AI138"/>
  <c r="AJ122" l="1"/>
  <c r="AJ130" s="1"/>
  <c r="AJ113"/>
  <c r="AJ136"/>
  <c r="AJ137" s="1"/>
  <c r="AK112"/>
  <c r="AJ127"/>
  <c r="AJ138"/>
  <c r="AK122" l="1"/>
  <c r="AK130" s="1"/>
  <c r="AK113"/>
  <c r="AK136"/>
  <c r="AK137" s="1"/>
  <c r="AL112"/>
  <c r="AK127"/>
  <c r="AK138"/>
  <c r="AL122" l="1"/>
  <c r="AL130" s="1"/>
  <c r="AL113"/>
  <c r="AL136"/>
  <c r="AL137" s="1"/>
  <c r="AM112"/>
  <c r="AL127"/>
  <c r="AL138"/>
  <c r="AM122" l="1"/>
  <c r="AM130" s="1"/>
  <c r="AM113"/>
  <c r="AM136"/>
  <c r="AM137" s="1"/>
  <c r="AN112"/>
  <c r="AM127"/>
  <c r="AM138"/>
  <c r="AN122" l="1"/>
  <c r="AN130" s="1"/>
  <c r="AN113"/>
  <c r="AN136"/>
  <c r="AO112"/>
  <c r="AN127"/>
  <c r="AN138"/>
  <c r="AN137"/>
  <c r="AO122" l="1"/>
  <c r="AO113"/>
  <c r="AO136"/>
  <c r="AO137" s="1"/>
  <c r="AP112"/>
  <c r="AO127"/>
  <c r="AO138"/>
  <c r="AP122" l="1"/>
  <c r="AP130" s="1"/>
  <c r="AP113"/>
  <c r="AP136"/>
  <c r="AP137" s="1"/>
  <c r="AQ112"/>
  <c r="AP127"/>
  <c r="AP138"/>
  <c r="AQ122" l="1"/>
  <c r="AQ130" s="1"/>
  <c r="AQ113"/>
  <c r="AQ136"/>
  <c r="AQ137" s="1"/>
  <c r="AR112"/>
  <c r="AQ127"/>
  <c r="AQ138"/>
  <c r="AR122" l="1"/>
  <c r="AR130" s="1"/>
  <c r="AR113"/>
  <c r="AR136"/>
  <c r="AS112"/>
  <c r="AR127"/>
  <c r="AR138"/>
  <c r="AR137"/>
  <c r="AS122" l="1"/>
  <c r="AS130" s="1"/>
  <c r="AS113"/>
  <c r="AS136"/>
  <c r="AT112"/>
  <c r="AS127"/>
  <c r="AS138"/>
  <c r="AS137"/>
  <c r="AT122" l="1"/>
  <c r="AT130" s="1"/>
  <c r="AT113"/>
  <c r="AT136"/>
  <c r="AT137" s="1"/>
  <c r="AU112"/>
  <c r="AT127"/>
  <c r="AT138"/>
  <c r="AU122" l="1"/>
  <c r="AU130" s="1"/>
  <c r="AU113"/>
  <c r="AV112"/>
  <c r="AU127"/>
  <c r="AU138"/>
  <c r="AU136"/>
  <c r="AU137" s="1"/>
  <c r="AV122" l="1"/>
  <c r="AV130" s="1"/>
  <c r="AV113"/>
  <c r="AV136"/>
  <c r="AV137" s="1"/>
  <c r="AW112"/>
  <c r="AV127"/>
  <c r="AV138"/>
  <c r="AW122" l="1"/>
  <c r="AW130" s="1"/>
  <c r="AW113"/>
  <c r="AW136"/>
  <c r="AW137" s="1"/>
  <c r="AX112"/>
  <c r="AW127"/>
  <c r="AW138"/>
  <c r="AX122" l="1"/>
  <c r="AX130" s="1"/>
  <c r="AX113"/>
  <c r="AX136"/>
  <c r="AX137" s="1"/>
  <c r="AY112"/>
  <c r="AX127"/>
  <c r="AX138"/>
  <c r="AY122" l="1"/>
  <c r="AY130" s="1"/>
  <c r="AY113"/>
  <c r="AY136"/>
  <c r="AY137" s="1"/>
  <c r="AZ112"/>
  <c r="AY127"/>
  <c r="AY138"/>
  <c r="AZ122" l="1"/>
  <c r="AZ130" s="1"/>
  <c r="AZ113"/>
  <c r="AZ136"/>
  <c r="AZ137" s="1"/>
  <c r="BA112"/>
  <c r="AZ127"/>
  <c r="AZ138"/>
  <c r="BA122" l="1"/>
  <c r="BA113"/>
  <c r="BB112"/>
  <c r="BA127"/>
  <c r="BA138"/>
  <c r="BA136"/>
  <c r="BA137" s="1"/>
  <c r="BB122" l="1"/>
  <c r="BB130" s="1"/>
  <c r="BB113"/>
  <c r="BB136"/>
  <c r="BB137" s="1"/>
  <c r="BC112"/>
  <c r="BB127"/>
  <c r="BB138"/>
  <c r="BC122" l="1"/>
  <c r="BC130" s="1"/>
  <c r="BC113"/>
  <c r="BD112"/>
  <c r="BC127"/>
  <c r="BC138"/>
  <c r="BC136"/>
  <c r="BC137" s="1"/>
  <c r="BD122" l="1"/>
  <c r="BD130" s="1"/>
  <c r="BD113"/>
  <c r="BE112"/>
  <c r="BD127"/>
  <c r="BD138"/>
  <c r="BD136"/>
  <c r="BD137" s="1"/>
  <c r="BE122" l="1"/>
  <c r="BE130" s="1"/>
  <c r="BE113"/>
  <c r="BF112"/>
  <c r="BE127"/>
  <c r="BE138"/>
  <c r="BE136"/>
  <c r="BE137" s="1"/>
  <c r="BF122" l="1"/>
  <c r="BF130" s="1"/>
  <c r="BF113"/>
  <c r="BG112"/>
  <c r="BF127"/>
  <c r="BF138"/>
  <c r="BF136"/>
  <c r="BF137" s="1"/>
  <c r="BG122" l="1"/>
  <c r="BG130" s="1"/>
  <c r="BG113"/>
  <c r="BH112"/>
  <c r="BG127"/>
  <c r="BG138"/>
  <c r="BG136"/>
  <c r="BG137" s="1"/>
  <c r="BH122" l="1"/>
  <c r="BH130" s="1"/>
  <c r="BH113"/>
  <c r="BI112"/>
  <c r="BH127"/>
  <c r="BH138"/>
  <c r="BH136"/>
  <c r="BH137" s="1"/>
  <c r="BI113" l="1"/>
  <c r="BI122"/>
  <c r="BI130" s="1"/>
  <c r="BJ112"/>
  <c r="BI127"/>
  <c r="BI138"/>
  <c r="BI136"/>
  <c r="BI137" s="1"/>
  <c r="BJ122" l="1"/>
  <c r="BJ130" s="1"/>
  <c r="BJ113"/>
  <c r="BK112"/>
  <c r="BJ127"/>
  <c r="BJ138"/>
  <c r="BJ136"/>
  <c r="BJ137" s="1"/>
  <c r="W2" i="12"/>
  <c r="X3" s="1"/>
  <c r="DO5"/>
  <c r="DL5" s="1"/>
  <c r="AI45"/>
  <c r="AJ45"/>
  <c r="AS45"/>
  <c r="AT45"/>
  <c r="D207" i="37"/>
  <c r="K207"/>
  <c r="AW21" i="12"/>
  <c r="AT21" s="1"/>
  <c r="H211" i="37"/>
  <c r="I211"/>
  <c r="G227" i="35"/>
  <c r="G228" s="1"/>
  <c r="H227"/>
  <c r="H228" s="1"/>
  <c r="I227"/>
  <c r="I228" s="1"/>
  <c r="J227"/>
  <c r="J228" s="1"/>
  <c r="K227"/>
  <c r="K228" s="1"/>
  <c r="L227"/>
  <c r="L228" s="1"/>
  <c r="O227"/>
  <c r="O228" s="1"/>
  <c r="P227"/>
  <c r="P228" s="1"/>
  <c r="Q227"/>
  <c r="Q228" s="1"/>
  <c r="R227"/>
  <c r="R228" s="1"/>
  <c r="S227"/>
  <c r="S228" s="1"/>
  <c r="T227"/>
  <c r="T228" s="1"/>
  <c r="J213" i="37"/>
  <c r="K213"/>
  <c r="L213"/>
  <c r="M213"/>
  <c r="N213"/>
  <c r="O213"/>
  <c r="P213"/>
  <c r="Q213"/>
  <c r="R213"/>
  <c r="S213"/>
  <c r="T213"/>
  <c r="U213"/>
  <c r="DA25" i="12"/>
  <c r="DH25"/>
  <c r="DK25"/>
  <c r="P216" i="37"/>
  <c r="R216"/>
  <c r="T216"/>
  <c r="DD29" i="12"/>
  <c r="DN29"/>
  <c r="J210" i="37"/>
  <c r="E32" i="12"/>
  <c r="J32"/>
  <c r="BH33"/>
  <c r="BM33"/>
  <c r="BR33"/>
  <c r="BW33"/>
  <c r="CB33"/>
  <c r="CG33"/>
  <c r="CL33"/>
  <c r="CQ33"/>
  <c r="CV33"/>
  <c r="DA33"/>
  <c r="DF33"/>
  <c r="DK33"/>
  <c r="E34"/>
  <c r="J34"/>
  <c r="D212" i="37"/>
  <c r="E212"/>
  <c r="F212"/>
  <c r="AS34" i="12"/>
  <c r="AX34"/>
  <c r="BC34"/>
  <c r="BH34"/>
  <c r="BM34"/>
  <c r="BR34"/>
  <c r="BW34"/>
  <c r="CB34"/>
  <c r="CG34"/>
  <c r="CL34"/>
  <c r="CQ34"/>
  <c r="CV34"/>
  <c r="DA34"/>
  <c r="DF34"/>
  <c r="DK34"/>
  <c r="AS37"/>
  <c r="AU37"/>
  <c r="AV37"/>
  <c r="AX37"/>
  <c r="AZ37"/>
  <c r="BA37"/>
  <c r="BC37"/>
  <c r="BD37"/>
  <c r="BE37"/>
  <c r="BF37"/>
  <c r="DK36"/>
  <c r="DP36" s="1"/>
  <c r="DL36"/>
  <c r="DM36"/>
  <c r="DR36" s="1"/>
  <c r="DW36" s="1"/>
  <c r="EB36" s="1"/>
  <c r="EG36" s="1"/>
  <c r="EL36" s="1"/>
  <c r="EQ36" s="1"/>
  <c r="EV36" s="1"/>
  <c r="FA36" s="1"/>
  <c r="FF36" s="1"/>
  <c r="FK36" s="1"/>
  <c r="FP36" s="1"/>
  <c r="FU36" s="1"/>
  <c r="FZ36" s="1"/>
  <c r="DN36"/>
  <c r="DS36" s="1"/>
  <c r="DX36" s="1"/>
  <c r="EC36" s="1"/>
  <c r="EH36" s="1"/>
  <c r="EM36" s="1"/>
  <c r="ER36" s="1"/>
  <c r="EW36" s="1"/>
  <c r="FB36" s="1"/>
  <c r="FG36" s="1"/>
  <c r="FL36" s="1"/>
  <c r="FQ36" s="1"/>
  <c r="FV36" s="1"/>
  <c r="GA36" s="1"/>
  <c r="DO36"/>
  <c r="DT36" s="1"/>
  <c r="DY36" s="1"/>
  <c r="ED36" s="1"/>
  <c r="EI36" s="1"/>
  <c r="EN36" s="1"/>
  <c r="ES36" s="1"/>
  <c r="EX36" s="1"/>
  <c r="FC36" s="1"/>
  <c r="FH36" s="1"/>
  <c r="FM36" s="1"/>
  <c r="FR36" s="1"/>
  <c r="FW36" s="1"/>
  <c r="GB36" s="1"/>
  <c r="DQ36"/>
  <c r="DV36" s="1"/>
  <c r="EA36" s="1"/>
  <c r="EF36" s="1"/>
  <c r="EK36" s="1"/>
  <c r="EP36" s="1"/>
  <c r="EU36" s="1"/>
  <c r="EZ36" s="1"/>
  <c r="FE36" s="1"/>
  <c r="FJ36" s="1"/>
  <c r="FO36" s="1"/>
  <c r="FT36" s="1"/>
  <c r="FY36" s="1"/>
  <c r="DU36"/>
  <c r="DZ36" s="1"/>
  <c r="EE36" s="1"/>
  <c r="EJ36" s="1"/>
  <c r="EO36" s="1"/>
  <c r="ET36" s="1"/>
  <c r="EY36" s="1"/>
  <c r="FD36" s="1"/>
  <c r="FI36" s="1"/>
  <c r="FN36" s="1"/>
  <c r="FS36" s="1"/>
  <c r="FX36" s="1"/>
  <c r="BH37"/>
  <c r="BI37"/>
  <c r="BJ37"/>
  <c r="BK37"/>
  <c r="BL37"/>
  <c r="BM37"/>
  <c r="BN37"/>
  <c r="BO37"/>
  <c r="BP37"/>
  <c r="BQ37"/>
  <c r="BR37"/>
  <c r="BS37"/>
  <c r="BT37"/>
  <c r="BU37"/>
  <c r="BV37"/>
  <c r="BW37"/>
  <c r="BX37"/>
  <c r="BY37"/>
  <c r="BZ37"/>
  <c r="CA37"/>
  <c r="CB37"/>
  <c r="CC37"/>
  <c r="CD37"/>
  <c r="CE37"/>
  <c r="CF37"/>
  <c r="CG37"/>
  <c r="CH37"/>
  <c r="CI37"/>
  <c r="CJ37"/>
  <c r="CK37"/>
  <c r="CL37"/>
  <c r="CM37"/>
  <c r="CN37"/>
  <c r="CO37"/>
  <c r="CP37"/>
  <c r="CQ37"/>
  <c r="CR37"/>
  <c r="CS37"/>
  <c r="CT37"/>
  <c r="CU37"/>
  <c r="CV37"/>
  <c r="CW37"/>
  <c r="CX37"/>
  <c r="CY37"/>
  <c r="CZ37"/>
  <c r="DA37"/>
  <c r="DB37"/>
  <c r="DC37"/>
  <c r="DD37"/>
  <c r="DE37"/>
  <c r="DF37"/>
  <c r="DK37" s="1"/>
  <c r="DG37"/>
  <c r="DH37"/>
  <c r="DM37" s="1"/>
  <c r="DR37" s="1"/>
  <c r="DW37" s="1"/>
  <c r="EB37" s="1"/>
  <c r="EG37" s="1"/>
  <c r="EL37" s="1"/>
  <c r="EQ37" s="1"/>
  <c r="EV37" s="1"/>
  <c r="FA37" s="1"/>
  <c r="FF37" s="1"/>
  <c r="FK37" s="1"/>
  <c r="FP37" s="1"/>
  <c r="FU37" s="1"/>
  <c r="FZ37" s="1"/>
  <c r="DI37"/>
  <c r="DN37" s="1"/>
  <c r="DS37" s="1"/>
  <c r="DX37" s="1"/>
  <c r="EC37" s="1"/>
  <c r="EH37" s="1"/>
  <c r="EM37" s="1"/>
  <c r="ER37" s="1"/>
  <c r="EW37" s="1"/>
  <c r="FB37" s="1"/>
  <c r="FG37" s="1"/>
  <c r="FL37" s="1"/>
  <c r="FQ37" s="1"/>
  <c r="FV37" s="1"/>
  <c r="GA37" s="1"/>
  <c r="DJ37"/>
  <c r="DO37" s="1"/>
  <c r="DT37" s="1"/>
  <c r="DY37" s="1"/>
  <c r="ED37" s="1"/>
  <c r="EI37" s="1"/>
  <c r="EN37" s="1"/>
  <c r="ES37" s="1"/>
  <c r="EX37" s="1"/>
  <c r="FC37" s="1"/>
  <c r="FH37" s="1"/>
  <c r="FM37" s="1"/>
  <c r="FR37" s="1"/>
  <c r="FW37" s="1"/>
  <c r="GB37" s="1"/>
  <c r="DL37"/>
  <c r="DQ37" s="1"/>
  <c r="DV37" s="1"/>
  <c r="EA37" s="1"/>
  <c r="EF37" s="1"/>
  <c r="EK37" s="1"/>
  <c r="EP37" s="1"/>
  <c r="EU37" s="1"/>
  <c r="EZ37" s="1"/>
  <c r="FE37" s="1"/>
  <c r="FJ37" s="1"/>
  <c r="FO37" s="1"/>
  <c r="FT37" s="1"/>
  <c r="FY37" s="1"/>
  <c r="DP37"/>
  <c r="DU37" s="1"/>
  <c r="DZ37" s="1"/>
  <c r="EE37" s="1"/>
  <c r="EJ37" s="1"/>
  <c r="EO37" s="1"/>
  <c r="ET37" s="1"/>
  <c r="EY37" s="1"/>
  <c r="FD37" s="1"/>
  <c r="FI37" s="1"/>
  <c r="FN37" s="1"/>
  <c r="FS37" s="1"/>
  <c r="FX37" s="1"/>
  <c r="C39"/>
  <c r="E39"/>
  <c r="X39"/>
  <c r="A45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C45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W45"/>
  <c r="X45"/>
  <c r="Y45"/>
  <c r="Z45"/>
  <c r="Y46" s="1"/>
  <c r="AA45"/>
  <c r="AA46" s="1"/>
  <c r="AB45"/>
  <c r="AC45"/>
  <c r="AD45"/>
  <c r="AE45"/>
  <c r="AF45"/>
  <c r="AG45"/>
  <c r="AH45"/>
  <c r="C48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W48"/>
  <c r="X48"/>
  <c r="Y48"/>
  <c r="Z48"/>
  <c r="Y49" s="1"/>
  <c r="AA48"/>
  <c r="AA49" s="1"/>
  <c r="AB48"/>
  <c r="AC48"/>
  <c r="AD48"/>
  <c r="AE48"/>
  <c r="AF48"/>
  <c r="AG48"/>
  <c r="AH48"/>
  <c r="C66"/>
  <c r="D66" s="1"/>
  <c r="E66" s="1"/>
  <c r="F66" s="1"/>
  <c r="G66" s="1"/>
  <c r="H66" s="1"/>
  <c r="B69"/>
  <c r="N70"/>
  <c r="L91"/>
  <c r="D91"/>
  <c r="F91"/>
  <c r="I91"/>
  <c r="D93"/>
  <c r="F93"/>
  <c r="I93"/>
  <c r="J93" s="1"/>
  <c r="L93"/>
  <c r="E119" i="35"/>
  <c r="F119"/>
  <c r="F128" s="1"/>
  <c r="E179" i="26"/>
  <c r="E196" s="1"/>
  <c r="F179"/>
  <c r="F196" s="1"/>
  <c r="G179"/>
  <c r="G196" s="1"/>
  <c r="H179"/>
  <c r="H196" s="1"/>
  <c r="I179"/>
  <c r="I196" s="1"/>
  <c r="J179"/>
  <c r="J196" s="1"/>
  <c r="K179"/>
  <c r="K196" s="1"/>
  <c r="L179"/>
  <c r="L196" s="1"/>
  <c r="M179"/>
  <c r="M196" s="1"/>
  <c r="N179"/>
  <c r="N196" s="1"/>
  <c r="N142" i="12"/>
  <c r="O179" i="26"/>
  <c r="O196" s="1"/>
  <c r="P179"/>
  <c r="P196" s="1"/>
  <c r="Q179"/>
  <c r="Q196" s="1"/>
  <c r="R179"/>
  <c r="R196" s="1"/>
  <c r="S179"/>
  <c r="S196" s="1"/>
  <c r="T179"/>
  <c r="T196" s="1"/>
  <c r="U179"/>
  <c r="U196" s="1"/>
  <c r="V179"/>
  <c r="V196" s="1"/>
  <c r="W179"/>
  <c r="W196" s="1"/>
  <c r="N160" i="12"/>
  <c r="N162"/>
  <c r="N166"/>
  <c r="N170"/>
  <c r="N175"/>
  <c r="T45" i="26" l="1"/>
  <c r="T46" s="1"/>
  <c r="T47" s="1"/>
  <c r="T38"/>
  <c r="T37" s="1"/>
  <c r="T37" i="35"/>
  <c r="T36" s="1"/>
  <c r="T211" i="37"/>
  <c r="T172" s="1"/>
  <c r="P38" i="26"/>
  <c r="P37" i="35"/>
  <c r="P211" i="37"/>
  <c r="P172" s="1"/>
  <c r="L38" i="26"/>
  <c r="L37" i="35"/>
  <c r="S45" i="26"/>
  <c r="S46" s="1"/>
  <c r="S47" s="1"/>
  <c r="S37" i="35"/>
  <c r="S38" i="26"/>
  <c r="U211" i="37"/>
  <c r="U172" s="1"/>
  <c r="Q37" i="35"/>
  <c r="Q38" i="26"/>
  <c r="S211" i="37"/>
  <c r="S172" s="1"/>
  <c r="O37" i="35"/>
  <c r="O38" i="26"/>
  <c r="Q211" i="37"/>
  <c r="Q172" s="1"/>
  <c r="M37" i="35"/>
  <c r="M38" i="26"/>
  <c r="O211" i="37"/>
  <c r="O172" s="1"/>
  <c r="K38" i="26"/>
  <c r="K37" i="35"/>
  <c r="I38" i="26"/>
  <c r="I37" i="35"/>
  <c r="V90" i="26"/>
  <c r="R37" i="35"/>
  <c r="R38" i="26"/>
  <c r="R211" i="37"/>
  <c r="R172" s="1"/>
  <c r="N37" i="35"/>
  <c r="N38" i="26"/>
  <c r="J38"/>
  <c r="J37" i="35"/>
  <c r="H37"/>
  <c r="H36" s="1"/>
  <c r="H38" i="26"/>
  <c r="H37" s="1"/>
  <c r="CL32" i="12"/>
  <c r="S214" i="37"/>
  <c r="BR32" i="12"/>
  <c r="O214" i="37"/>
  <c r="AX32" i="12"/>
  <c r="K214" i="37"/>
  <c r="AD32" i="12"/>
  <c r="G214" i="37"/>
  <c r="T32" i="12"/>
  <c r="E214" i="37"/>
  <c r="CG32" i="12"/>
  <c r="R214" i="37"/>
  <c r="BW32" i="12"/>
  <c r="P214" i="37"/>
  <c r="BM32" i="12"/>
  <c r="N214" i="37"/>
  <c r="BC32" i="12"/>
  <c r="L214" i="37"/>
  <c r="AS32" i="12"/>
  <c r="J214" i="37"/>
  <c r="AI32" i="12"/>
  <c r="H214" i="37"/>
  <c r="Y32" i="12"/>
  <c r="F214" i="37"/>
  <c r="O32" i="12"/>
  <c r="D214" i="37"/>
  <c r="CB32" i="12"/>
  <c r="Q214" i="37"/>
  <c r="BH32" i="12"/>
  <c r="M214" i="37"/>
  <c r="AN32" i="12"/>
  <c r="I214" i="37"/>
  <c r="U163"/>
  <c r="U162" s="1"/>
  <c r="S163"/>
  <c r="S162" s="1"/>
  <c r="S200"/>
  <c r="Q163"/>
  <c r="Q162" s="1"/>
  <c r="O200"/>
  <c r="T163"/>
  <c r="T162" s="1"/>
  <c r="T200"/>
  <c r="R200"/>
  <c r="P163"/>
  <c r="P162" s="1"/>
  <c r="I156"/>
  <c r="I153"/>
  <c r="H384" i="33"/>
  <c r="H212" i="37"/>
  <c r="T382" i="33"/>
  <c r="T210" i="37"/>
  <c r="R382" i="33"/>
  <c r="R210" i="37"/>
  <c r="P382" i="33"/>
  <c r="P210" i="37"/>
  <c r="N382" i="33"/>
  <c r="N210" i="37"/>
  <c r="L382" i="33"/>
  <c r="L210" i="37"/>
  <c r="U387" i="33"/>
  <c r="U216" i="37"/>
  <c r="U188" s="1"/>
  <c r="U187" s="1"/>
  <c r="U32" s="1"/>
  <c r="S387" i="33"/>
  <c r="S216" i="37"/>
  <c r="S188" s="1"/>
  <c r="S187" s="1"/>
  <c r="S32" s="1"/>
  <c r="Q387" i="33"/>
  <c r="Q216" i="37"/>
  <c r="Q188" s="1"/>
  <c r="Q187" s="1"/>
  <c r="Q32" s="1"/>
  <c r="O387" i="33"/>
  <c r="O216" i="37"/>
  <c r="P188" s="1"/>
  <c r="P187" s="1"/>
  <c r="P32" s="1"/>
  <c r="M387" i="33"/>
  <c r="M216" i="37"/>
  <c r="K387" i="33"/>
  <c r="K216" i="37"/>
  <c r="T386" i="33"/>
  <c r="T215" i="37"/>
  <c r="T218" s="1"/>
  <c r="R386" i="33"/>
  <c r="R215" i="37"/>
  <c r="R218" s="1"/>
  <c r="P386" i="33"/>
  <c r="P215" i="37"/>
  <c r="P218" s="1"/>
  <c r="N386" i="33"/>
  <c r="N215" i="37"/>
  <c r="N218" s="1"/>
  <c r="L386" i="33"/>
  <c r="L215" i="37"/>
  <c r="L218" s="1"/>
  <c r="J386" i="33"/>
  <c r="J215" i="37"/>
  <c r="J218" s="1"/>
  <c r="J219" s="1"/>
  <c r="H177" s="1"/>
  <c r="M383" i="33"/>
  <c r="M211" i="37"/>
  <c r="M172" s="1"/>
  <c r="F47" i="26"/>
  <c r="J211" i="37"/>
  <c r="U379" i="33"/>
  <c r="U207" i="37"/>
  <c r="S379" i="33"/>
  <c r="S207" i="37"/>
  <c r="Q379" i="33"/>
  <c r="Q207" i="37"/>
  <c r="O379" i="33"/>
  <c r="O207" i="37"/>
  <c r="M379" i="33"/>
  <c r="M207" i="37"/>
  <c r="K379" i="33"/>
  <c r="I379"/>
  <c r="I207" i="37"/>
  <c r="G379" i="33"/>
  <c r="G51" s="1"/>
  <c r="G207" i="37"/>
  <c r="E379" i="33"/>
  <c r="E207" i="37"/>
  <c r="U380" i="33"/>
  <c r="U208" i="37"/>
  <c r="S380" i="33"/>
  <c r="S208" i="37"/>
  <c r="Q380" i="33"/>
  <c r="Q208" i="37"/>
  <c r="O380" i="33"/>
  <c r="O208" i="37"/>
  <c r="M380" i="33"/>
  <c r="M208" i="37"/>
  <c r="K380" i="33"/>
  <c r="K156" s="1"/>
  <c r="K154" s="1"/>
  <c r="K208" i="37"/>
  <c r="T381" i="33"/>
  <c r="T209" i="37"/>
  <c r="R381" i="33"/>
  <c r="R209" i="37"/>
  <c r="P381" i="33"/>
  <c r="P209" i="37"/>
  <c r="N381" i="33"/>
  <c r="N209" i="37"/>
  <c r="L381" i="33"/>
  <c r="L209" i="37"/>
  <c r="J381" i="33"/>
  <c r="J209" i="37"/>
  <c r="I384" i="33"/>
  <c r="I212" i="37"/>
  <c r="G384" i="33"/>
  <c r="G212" i="37"/>
  <c r="U382" i="33"/>
  <c r="U210" i="37"/>
  <c r="S382" i="33"/>
  <c r="S210" i="37"/>
  <c r="Q382" i="33"/>
  <c r="Q210" i="37"/>
  <c r="O382" i="33"/>
  <c r="O210" i="37"/>
  <c r="M382" i="33"/>
  <c r="M210" i="37"/>
  <c r="K382" i="33"/>
  <c r="K210" i="37"/>
  <c r="N387" i="33"/>
  <c r="N216" i="37"/>
  <c r="L387" i="33"/>
  <c r="L216" i="37"/>
  <c r="J387" i="33"/>
  <c r="J216" i="37"/>
  <c r="U386" i="33"/>
  <c r="U215" i="37"/>
  <c r="U218" s="1"/>
  <c r="S386" i="33"/>
  <c r="S215" i="37"/>
  <c r="S218" s="1"/>
  <c r="Q386" i="33"/>
  <c r="Q215" i="37"/>
  <c r="Q218" s="1"/>
  <c r="O386" i="33"/>
  <c r="O215" i="37"/>
  <c r="O218" s="1"/>
  <c r="M386" i="33"/>
  <c r="M215" i="37"/>
  <c r="M218" s="1"/>
  <c r="K386" i="33"/>
  <c r="K215" i="37"/>
  <c r="K218" s="1"/>
  <c r="N383" i="33"/>
  <c r="N211" i="37"/>
  <c r="N172" s="1"/>
  <c r="L383" i="33"/>
  <c r="L211" i="37"/>
  <c r="L172" s="1"/>
  <c r="T379" i="33"/>
  <c r="T207" i="37"/>
  <c r="R379" i="33"/>
  <c r="R207" i="37"/>
  <c r="P379" i="33"/>
  <c r="P207" i="37"/>
  <c r="N379" i="33"/>
  <c r="N207" i="37"/>
  <c r="L379" i="33"/>
  <c r="L207" i="37"/>
  <c r="J379" i="33"/>
  <c r="J207" i="37"/>
  <c r="J10" s="1"/>
  <c r="E57" i="39" s="1"/>
  <c r="H379" i="33"/>
  <c r="H51" s="1"/>
  <c r="H207" i="37"/>
  <c r="F379" i="33"/>
  <c r="F207" i="37"/>
  <c r="T380" i="33"/>
  <c r="T208" i="37"/>
  <c r="R380" i="33"/>
  <c r="R208" i="37"/>
  <c r="P380" i="33"/>
  <c r="P208" i="37"/>
  <c r="N380" i="33"/>
  <c r="N208" i="37"/>
  <c r="L380" i="33"/>
  <c r="L208" i="37"/>
  <c r="J380" i="33"/>
  <c r="J208" i="37"/>
  <c r="U381" i="33"/>
  <c r="U209" i="37"/>
  <c r="S381" i="33"/>
  <c r="S209" i="37"/>
  <c r="Q381" i="33"/>
  <c r="Q209" i="37"/>
  <c r="O381" i="33"/>
  <c r="O209" i="37"/>
  <c r="M381" i="33"/>
  <c r="M209" i="37"/>
  <c r="K381" i="33"/>
  <c r="K209" i="37"/>
  <c r="D46" i="35"/>
  <c r="D47" i="26"/>
  <c r="E46" i="35"/>
  <c r="E47" i="26"/>
  <c r="BA59" i="35"/>
  <c r="BA89"/>
  <c r="BC119"/>
  <c r="AZ59"/>
  <c r="AZ89"/>
  <c r="BB119"/>
  <c r="AY59"/>
  <c r="AY89"/>
  <c r="BA119"/>
  <c r="AX89"/>
  <c r="AX59"/>
  <c r="AZ119"/>
  <c r="AW59"/>
  <c r="AW89"/>
  <c r="AY119"/>
  <c r="AV59"/>
  <c r="AV89"/>
  <c r="AX119"/>
  <c r="AU59"/>
  <c r="AU89"/>
  <c r="AW119"/>
  <c r="AT89"/>
  <c r="AT59"/>
  <c r="AV119"/>
  <c r="AS59"/>
  <c r="AS89"/>
  <c r="AU119"/>
  <c r="AR89"/>
  <c r="AR59"/>
  <c r="AT119"/>
  <c r="AQ59"/>
  <c r="AQ89"/>
  <c r="AS119"/>
  <c r="AO59"/>
  <c r="AO89"/>
  <c r="AQ119"/>
  <c r="AN89"/>
  <c r="AN59"/>
  <c r="AP119"/>
  <c r="AM59"/>
  <c r="AM89"/>
  <c r="AO119"/>
  <c r="AL59"/>
  <c r="AL89"/>
  <c r="AN119"/>
  <c r="AK59"/>
  <c r="AK89"/>
  <c r="AM119"/>
  <c r="AJ59"/>
  <c r="AJ89"/>
  <c r="AL119"/>
  <c r="AI59"/>
  <c r="AI89"/>
  <c r="AK119"/>
  <c r="AH89"/>
  <c r="AH59"/>
  <c r="AJ119"/>
  <c r="AG89"/>
  <c r="AG59"/>
  <c r="AI119"/>
  <c r="AF59"/>
  <c r="AF89"/>
  <c r="AH119"/>
  <c r="AE59"/>
  <c r="AE89"/>
  <c r="AG119"/>
  <c r="AD59"/>
  <c r="AD89"/>
  <c r="AF119"/>
  <c r="AC59"/>
  <c r="AC89"/>
  <c r="AE119"/>
  <c r="P89"/>
  <c r="P59"/>
  <c r="R119"/>
  <c r="N59"/>
  <c r="N89"/>
  <c r="P119"/>
  <c r="L59"/>
  <c r="L89"/>
  <c r="N119"/>
  <c r="J59"/>
  <c r="J89"/>
  <c r="L119"/>
  <c r="H59"/>
  <c r="H89"/>
  <c r="J119"/>
  <c r="F89"/>
  <c r="F98" s="1"/>
  <c r="F59"/>
  <c r="F68" s="1"/>
  <c r="H119"/>
  <c r="F132"/>
  <c r="F138"/>
  <c r="F131"/>
  <c r="G125" s="1"/>
  <c r="W90" i="26"/>
  <c r="S44" i="35"/>
  <c r="S45" s="1"/>
  <c r="S46" s="1"/>
  <c r="U327" i="26"/>
  <c r="U227" i="35"/>
  <c r="U228" s="1"/>
  <c r="N327" i="26"/>
  <c r="N227" i="35"/>
  <c r="N228" s="1"/>
  <c r="M327" i="26"/>
  <c r="M227" i="35"/>
  <c r="M228" s="1"/>
  <c r="J383" i="33"/>
  <c r="F46" i="35"/>
  <c r="AP59"/>
  <c r="AP89"/>
  <c r="AR119"/>
  <c r="AB59"/>
  <c r="AB89"/>
  <c r="AD119"/>
  <c r="AA59"/>
  <c r="AA89"/>
  <c r="AC119"/>
  <c r="Z59"/>
  <c r="Z89"/>
  <c r="AB119"/>
  <c r="Y59"/>
  <c r="Y89"/>
  <c r="AA119"/>
  <c r="X59"/>
  <c r="X89"/>
  <c r="Z119"/>
  <c r="W59"/>
  <c r="W89"/>
  <c r="Y119"/>
  <c r="V59"/>
  <c r="V89"/>
  <c r="X119"/>
  <c r="U59"/>
  <c r="U89"/>
  <c r="W119"/>
  <c r="T59"/>
  <c r="T89"/>
  <c r="V119"/>
  <c r="S59"/>
  <c r="S89"/>
  <c r="U119"/>
  <c r="R59"/>
  <c r="R89"/>
  <c r="T119"/>
  <c r="Q89"/>
  <c r="Q59"/>
  <c r="S119"/>
  <c r="O59"/>
  <c r="O89"/>
  <c r="Q119"/>
  <c r="M59"/>
  <c r="M89"/>
  <c r="O119"/>
  <c r="K59"/>
  <c r="K89"/>
  <c r="M119"/>
  <c r="I59"/>
  <c r="I89"/>
  <c r="K119"/>
  <c r="G59"/>
  <c r="G89"/>
  <c r="I119"/>
  <c r="E59"/>
  <c r="E89"/>
  <c r="G119"/>
  <c r="X90" i="26"/>
  <c r="T44" i="35"/>
  <c r="T45" s="1"/>
  <c r="T46" s="1"/>
  <c r="F327" i="26"/>
  <c r="F328" s="1"/>
  <c r="F227" i="35"/>
  <c r="F228" s="1"/>
  <c r="K157" i="33"/>
  <c r="Y34" i="12"/>
  <c r="F384" i="33"/>
  <c r="O34" i="12"/>
  <c r="D384" i="33"/>
  <c r="E60" i="26"/>
  <c r="J382" i="33"/>
  <c r="CX25" i="12"/>
  <c r="U385" i="33"/>
  <c r="CN25" i="12"/>
  <c r="S385" i="33"/>
  <c r="CD25" i="12"/>
  <c r="Q385" i="33"/>
  <c r="BT25" i="12"/>
  <c r="O385" i="33"/>
  <c r="J385"/>
  <c r="U90" i="26"/>
  <c r="U383" i="33"/>
  <c r="S90" i="26"/>
  <c r="S383" i="33"/>
  <c r="Q90" i="26"/>
  <c r="Q383" i="33"/>
  <c r="O90" i="26"/>
  <c r="O383" i="33"/>
  <c r="H90" i="26"/>
  <c r="H383" i="33"/>
  <c r="T34" i="12"/>
  <c r="E384" i="33"/>
  <c r="CT29" i="12"/>
  <c r="T387" i="33"/>
  <c r="CJ29" i="12"/>
  <c r="R387" i="33"/>
  <c r="BZ29" i="12"/>
  <c r="P387" i="33"/>
  <c r="CQ25" i="12"/>
  <c r="T385" i="33"/>
  <c r="CG25" i="12"/>
  <c r="R385" i="33"/>
  <c r="BW25" i="12"/>
  <c r="P385" i="33"/>
  <c r="N385"/>
  <c r="M385"/>
  <c r="L385"/>
  <c r="K385"/>
  <c r="T90" i="26"/>
  <c r="T383" i="33"/>
  <c r="R90" i="26"/>
  <c r="R383" i="33"/>
  <c r="P90" i="26"/>
  <c r="P383" i="33"/>
  <c r="I90" i="26"/>
  <c r="I383" i="33"/>
  <c r="BK122" i="26"/>
  <c r="BK130" s="1"/>
  <c r="BK113"/>
  <c r="E197"/>
  <c r="E188"/>
  <c r="AU150"/>
  <c r="AU120"/>
  <c r="AT150"/>
  <c r="AT120"/>
  <c r="AS150"/>
  <c r="AS120"/>
  <c r="AR150"/>
  <c r="AR120"/>
  <c r="AQ150"/>
  <c r="AQ120"/>
  <c r="AP150"/>
  <c r="AP120"/>
  <c r="AO150"/>
  <c r="AO120"/>
  <c r="AN150"/>
  <c r="AN120"/>
  <c r="AM150"/>
  <c r="AM120"/>
  <c r="AL150"/>
  <c r="AL120"/>
  <c r="AK150"/>
  <c r="AK120"/>
  <c r="AJ150"/>
  <c r="AJ120"/>
  <c r="AI150"/>
  <c r="AI120"/>
  <c r="AH150"/>
  <c r="AH120"/>
  <c r="AG150"/>
  <c r="AG120"/>
  <c r="AF150"/>
  <c r="AF120"/>
  <c r="AE150"/>
  <c r="AE120"/>
  <c r="AD150"/>
  <c r="AD120"/>
  <c r="AC150"/>
  <c r="AC120"/>
  <c r="AB150"/>
  <c r="AB120"/>
  <c r="AA150"/>
  <c r="AA120"/>
  <c r="Z150"/>
  <c r="Z120"/>
  <c r="Y150"/>
  <c r="Y120"/>
  <c r="X150"/>
  <c r="X120"/>
  <c r="W150"/>
  <c r="W120"/>
  <c r="V150"/>
  <c r="V120"/>
  <c r="U150"/>
  <c r="U120"/>
  <c r="T150"/>
  <c r="T120"/>
  <c r="S150"/>
  <c r="S120"/>
  <c r="R150"/>
  <c r="R120"/>
  <c r="Q150"/>
  <c r="Q120"/>
  <c r="P150"/>
  <c r="P120"/>
  <c r="O150"/>
  <c r="O120"/>
  <c r="N150"/>
  <c r="N120"/>
  <c r="M150"/>
  <c r="M120"/>
  <c r="L150"/>
  <c r="L120"/>
  <c r="K150"/>
  <c r="K120"/>
  <c r="I150"/>
  <c r="I120"/>
  <c r="G150"/>
  <c r="G120"/>
  <c r="E120"/>
  <c r="E129" s="1"/>
  <c r="E133" s="1"/>
  <c r="E150"/>
  <c r="E159" s="1"/>
  <c r="E163" s="1"/>
  <c r="J150"/>
  <c r="J120"/>
  <c r="H150"/>
  <c r="H120"/>
  <c r="F150"/>
  <c r="F120"/>
  <c r="AT48" i="12"/>
  <c r="BL112" i="26"/>
  <c r="BK127"/>
  <c r="BK138"/>
  <c r="BK136"/>
  <c r="BK137" s="1"/>
  <c r="N90"/>
  <c r="L90"/>
  <c r="F51" i="33"/>
  <c r="D379"/>
  <c r="M90" i="26"/>
  <c r="J90"/>
  <c r="AK45" i="12"/>
  <c r="T327" i="26"/>
  <c r="R327"/>
  <c r="Q327"/>
  <c r="O327"/>
  <c r="L327"/>
  <c r="J327"/>
  <c r="H327"/>
  <c r="S327"/>
  <c r="P327"/>
  <c r="K327"/>
  <c r="I327"/>
  <c r="G327"/>
  <c r="AI34" i="12"/>
  <c r="DK31"/>
  <c r="DA31"/>
  <c r="CQ31"/>
  <c r="CG31"/>
  <c r="BW31"/>
  <c r="BM31"/>
  <c r="BC31"/>
  <c r="AS31"/>
  <c r="DI19"/>
  <c r="DH19" s="1"/>
  <c r="DG19" s="1"/>
  <c r="CY19"/>
  <c r="CX19" s="1"/>
  <c r="CW19" s="1"/>
  <c r="DI18"/>
  <c r="DH18" s="1"/>
  <c r="CY18"/>
  <c r="CX18" s="1"/>
  <c r="DI17"/>
  <c r="DH17" s="1"/>
  <c r="DG17" s="1"/>
  <c r="CY17"/>
  <c r="CX17" s="1"/>
  <c r="CW17" s="1"/>
  <c r="DI16"/>
  <c r="DH16" s="1"/>
  <c r="CY16"/>
  <c r="CX16" s="1"/>
  <c r="DI15"/>
  <c r="DH15" s="1"/>
  <c r="DG15" s="1"/>
  <c r="CY15"/>
  <c r="CX15" s="1"/>
  <c r="CW15" s="1"/>
  <c r="DF12"/>
  <c r="CV12"/>
  <c r="CA48" s="1"/>
  <c r="CL12"/>
  <c r="CB12"/>
  <c r="BK48" s="1"/>
  <c r="BR12"/>
  <c r="BH12"/>
  <c r="AU48" s="1"/>
  <c r="AN34"/>
  <c r="AD34"/>
  <c r="DF31"/>
  <c r="CV31"/>
  <c r="CL31"/>
  <c r="CB31"/>
  <c r="BR31"/>
  <c r="BH31"/>
  <c r="AX31"/>
  <c r="DD19"/>
  <c r="CT19"/>
  <c r="DD18"/>
  <c r="DC18" s="1"/>
  <c r="CT18"/>
  <c r="CS18" s="1"/>
  <c r="DD17"/>
  <c r="CT17"/>
  <c r="DD16"/>
  <c r="DC16" s="1"/>
  <c r="CT16"/>
  <c r="CS16" s="1"/>
  <c r="DD15"/>
  <c r="CT15"/>
  <c r="CS15" s="1"/>
  <c r="DA12"/>
  <c r="CE48" s="1"/>
  <c r="CQ12"/>
  <c r="BW48" s="1"/>
  <c r="CG12"/>
  <c r="BO48" s="1"/>
  <c r="BW12"/>
  <c r="BG48" s="1"/>
  <c r="BM12"/>
  <c r="AY48" s="1"/>
  <c r="E99" i="26"/>
  <c r="E103" s="1"/>
  <c r="I60"/>
  <c r="G60"/>
  <c r="AJ48" i="12"/>
  <c r="H60" i="26"/>
  <c r="F60"/>
  <c r="AS48" i="12"/>
  <c r="AI48"/>
  <c r="DM24"/>
  <c r="DC24"/>
  <c r="CS24"/>
  <c r="CI24"/>
  <c r="BY24"/>
  <c r="DF11"/>
  <c r="CI45" s="1"/>
  <c r="CV11"/>
  <c r="CA45" s="1"/>
  <c r="CL11"/>
  <c r="BS45" s="1"/>
  <c r="CB11"/>
  <c r="BK45" s="1"/>
  <c r="BR11"/>
  <c r="BC45" s="1"/>
  <c r="BH11"/>
  <c r="AU45" s="1"/>
  <c r="DF24"/>
  <c r="CV24"/>
  <c r="CL24"/>
  <c r="CB24"/>
  <c r="BR24"/>
  <c r="DK11"/>
  <c r="DA11"/>
  <c r="CE45" s="1"/>
  <c r="CQ11"/>
  <c r="BW45" s="1"/>
  <c r="CG11"/>
  <c r="BO45" s="1"/>
  <c r="BW11"/>
  <c r="BG45" s="1"/>
  <c r="BM11"/>
  <c r="AY45" s="1"/>
  <c r="AL48"/>
  <c r="N80"/>
  <c r="N73"/>
  <c r="N76"/>
  <c r="B70"/>
  <c r="AK48"/>
  <c r="DM12"/>
  <c r="AR48"/>
  <c r="AO48"/>
  <c r="AO45"/>
  <c r="N92"/>
  <c r="N94"/>
  <c r="D90"/>
  <c r="D89" s="1"/>
  <c r="D88" s="1"/>
  <c r="D87" s="1"/>
  <c r="D86" s="1"/>
  <c r="D85" s="1"/>
  <c r="D84" s="1"/>
  <c r="D83" s="1"/>
  <c r="D82" s="1"/>
  <c r="D81" s="1"/>
  <c r="D80" s="1"/>
  <c r="D79" s="1"/>
  <c r="D78" s="1"/>
  <c r="D77" s="1"/>
  <c r="D76" s="1"/>
  <c r="D75" s="1"/>
  <c r="D74" s="1"/>
  <c r="D73" s="1"/>
  <c r="D72" s="1"/>
  <c r="D71" s="1"/>
  <c r="D70" s="1"/>
  <c r="D69" s="1"/>
  <c r="D68" s="1"/>
  <c r="N85"/>
  <c r="AQ45"/>
  <c r="AM45"/>
  <c r="BU34"/>
  <c r="DO8"/>
  <c r="DK8" s="1"/>
  <c r="CK8"/>
  <c r="CJ8" s="1"/>
  <c r="BB8"/>
  <c r="AY8" s="1"/>
  <c r="AP45"/>
  <c r="AN45"/>
  <c r="I66"/>
  <c r="J66" s="1"/>
  <c r="K66" s="1"/>
  <c r="L66" s="1"/>
  <c r="M66" s="1"/>
  <c r="N66" s="1"/>
  <c r="O66" s="1"/>
  <c r="P66" s="1"/>
  <c r="Q66" s="1"/>
  <c r="R66" s="1"/>
  <c r="AQ48"/>
  <c r="AM48"/>
  <c r="DN25"/>
  <c r="AW8"/>
  <c r="AS8" s="1"/>
  <c r="AS7" s="1"/>
  <c r="N139"/>
  <c r="N133"/>
  <c r="N127"/>
  <c r="N121"/>
  <c r="N115"/>
  <c r="N109"/>
  <c r="N103"/>
  <c r="N97"/>
  <c r="CJ33"/>
  <c r="DG28"/>
  <c r="DF28" s="1"/>
  <c r="CW28"/>
  <c r="CV28" s="1"/>
  <c r="CC28"/>
  <c r="CB28" s="1"/>
  <c r="CF21"/>
  <c r="CD21" s="1"/>
  <c r="X49"/>
  <c r="Y50" s="1"/>
  <c r="Z50"/>
  <c r="X46"/>
  <c r="Y47" s="1"/>
  <c r="Z47"/>
  <c r="DJ8"/>
  <c r="DI8" s="1"/>
  <c r="CZ8"/>
  <c r="CY8" s="1"/>
  <c r="CP8"/>
  <c r="CO8" s="1"/>
  <c r="CF8"/>
  <c r="CE8" s="1"/>
  <c r="BV8"/>
  <c r="BU8" s="1"/>
  <c r="BL8"/>
  <c r="BK8" s="1"/>
  <c r="N136"/>
  <c r="N130"/>
  <c r="N124"/>
  <c r="N118"/>
  <c r="N112"/>
  <c r="N106"/>
  <c r="N100"/>
  <c r="N88"/>
  <c r="N82"/>
  <c r="DI34"/>
  <c r="AG34"/>
  <c r="CH28"/>
  <c r="CG28" s="1"/>
  <c r="CE28"/>
  <c r="BS28"/>
  <c r="BR28" s="1"/>
  <c r="BZ25"/>
  <c r="CE12"/>
  <c r="N157"/>
  <c r="N151"/>
  <c r="N146"/>
  <c r="BG36"/>
  <c r="BG37" s="1"/>
  <c r="CY12"/>
  <c r="BK12"/>
  <c r="DD11"/>
  <c r="CH45" s="1"/>
  <c r="BP11"/>
  <c r="BB45" s="1"/>
  <c r="DM5"/>
  <c r="DK5"/>
  <c r="CO34"/>
  <c r="BA34"/>
  <c r="M34"/>
  <c r="DD33"/>
  <c r="BP33"/>
  <c r="DB28"/>
  <c r="DA28" s="1"/>
  <c r="CY28"/>
  <c r="CM28"/>
  <c r="CL28" s="1"/>
  <c r="CT25"/>
  <c r="AP48"/>
  <c r="AN48"/>
  <c r="CJ11"/>
  <c r="BR45" s="1"/>
  <c r="AR45"/>
  <c r="AL45"/>
  <c r="DT5"/>
  <c r="DN5"/>
  <c r="AB49"/>
  <c r="AB50" s="1"/>
  <c r="AA50"/>
  <c r="N156"/>
  <c r="N172"/>
  <c r="N164"/>
  <c r="N158"/>
  <c r="N148"/>
  <c r="N91"/>
  <c r="N86"/>
  <c r="N79"/>
  <c r="N74"/>
  <c r="AW36"/>
  <c r="AW37" s="1"/>
  <c r="CE34"/>
  <c r="BK34"/>
  <c r="AQ34"/>
  <c r="W34"/>
  <c r="DN33"/>
  <c r="CT33"/>
  <c r="BZ33"/>
  <c r="DL28"/>
  <c r="DK28" s="1"/>
  <c r="DI28"/>
  <c r="CR28"/>
  <c r="CQ28" s="1"/>
  <c r="CO28"/>
  <c r="BX28"/>
  <c r="BW28" s="1"/>
  <c r="BU28"/>
  <c r="DD25"/>
  <c r="CJ25"/>
  <c r="DO21"/>
  <c r="DN21" s="1"/>
  <c r="DE21"/>
  <c r="DA21" s="1"/>
  <c r="CU21"/>
  <c r="CQ21" s="1"/>
  <c r="CK21"/>
  <c r="CH21" s="1"/>
  <c r="CA21"/>
  <c r="BY21" s="1"/>
  <c r="BQ21"/>
  <c r="BM21" s="1"/>
  <c r="BG21"/>
  <c r="BC21" s="1"/>
  <c r="DI12"/>
  <c r="CO12"/>
  <c r="BU12"/>
  <c r="DN11"/>
  <c r="CT11"/>
  <c r="BZ45" s="1"/>
  <c r="BZ11"/>
  <c r="BJ45" s="1"/>
  <c r="DE8"/>
  <c r="DA8" s="1"/>
  <c r="BQ8"/>
  <c r="BM8" s="1"/>
  <c r="AA47"/>
  <c r="AB46"/>
  <c r="AC46" s="1"/>
  <c r="AD46" s="1"/>
  <c r="AD47" s="1"/>
  <c r="N174"/>
  <c r="N132"/>
  <c r="N114"/>
  <c r="N108"/>
  <c r="CM32"/>
  <c r="BS32"/>
  <c r="AY32"/>
  <c r="AE32"/>
  <c r="K32"/>
  <c r="DB31"/>
  <c r="CH31"/>
  <c r="BN31"/>
  <c r="AT31"/>
  <c r="DB29"/>
  <c r="CH29"/>
  <c r="DG24"/>
  <c r="CM24"/>
  <c r="CC24"/>
  <c r="N150"/>
  <c r="N138"/>
  <c r="H64"/>
  <c r="N126"/>
  <c r="N120"/>
  <c r="N102"/>
  <c r="N96"/>
  <c r="CC32"/>
  <c r="BI32"/>
  <c r="AO32"/>
  <c r="U32"/>
  <c r="DL31"/>
  <c r="CR31"/>
  <c r="BX31"/>
  <c r="BD31"/>
  <c r="DL29"/>
  <c r="CR29"/>
  <c r="BX29"/>
  <c r="CW24"/>
  <c r="BS24"/>
  <c r="N176"/>
  <c r="N169"/>
  <c r="N168"/>
  <c r="N163"/>
  <c r="N154"/>
  <c r="N152"/>
  <c r="N145"/>
  <c r="N144"/>
  <c r="N140"/>
  <c r="N134"/>
  <c r="N128"/>
  <c r="N122"/>
  <c r="N116"/>
  <c r="N110"/>
  <c r="N104"/>
  <c r="N98"/>
  <c r="D94"/>
  <c r="D95" s="1"/>
  <c r="D96" s="1"/>
  <c r="D97" s="1"/>
  <c r="D98" s="1"/>
  <c r="D99" s="1"/>
  <c r="D100" s="1"/>
  <c r="D101" s="1"/>
  <c r="D102" s="1"/>
  <c r="D103" s="1"/>
  <c r="D104" s="1"/>
  <c r="D105" s="1"/>
  <c r="D106" s="1"/>
  <c r="D107" s="1"/>
  <c r="D108" s="1"/>
  <c r="D109" s="1"/>
  <c r="D110" s="1"/>
  <c r="D111" s="1"/>
  <c r="D112" s="1"/>
  <c r="D113" s="1"/>
  <c r="D114" s="1"/>
  <c r="D115" s="1"/>
  <c r="D116" s="1"/>
  <c r="D117" s="1"/>
  <c r="D118" s="1"/>
  <c r="D119" s="1"/>
  <c r="D120" s="1"/>
  <c r="D121" s="1"/>
  <c r="D122" s="1"/>
  <c r="D123" s="1"/>
  <c r="D124" s="1"/>
  <c r="D125" s="1"/>
  <c r="D126" s="1"/>
  <c r="D127" s="1"/>
  <c r="D128" s="1"/>
  <c r="D129" s="1"/>
  <c r="D130" s="1"/>
  <c r="D131" s="1"/>
  <c r="D132" s="1"/>
  <c r="D133" s="1"/>
  <c r="D134" s="1"/>
  <c r="D135" s="1"/>
  <c r="D136" s="1"/>
  <c r="D137" s="1"/>
  <c r="D138" s="1"/>
  <c r="D139" s="1"/>
  <c r="D140" s="1"/>
  <c r="D141" s="1"/>
  <c r="D142" s="1"/>
  <c r="D143" s="1"/>
  <c r="D144" s="1"/>
  <c r="D145" s="1"/>
  <c r="D146" s="1"/>
  <c r="D147" s="1"/>
  <c r="D148" s="1"/>
  <c r="D149" s="1"/>
  <c r="D150" s="1"/>
  <c r="D151" s="1"/>
  <c r="D152" s="1"/>
  <c r="D153" s="1"/>
  <c r="D154" s="1"/>
  <c r="D155" s="1"/>
  <c r="D156" s="1"/>
  <c r="D157" s="1"/>
  <c r="D158" s="1"/>
  <c r="D159" s="1"/>
  <c r="D160" s="1"/>
  <c r="D161" s="1"/>
  <c r="D162" s="1"/>
  <c r="D163" s="1"/>
  <c r="D164" s="1"/>
  <c r="D165" s="1"/>
  <c r="D166" s="1"/>
  <c r="D167" s="1"/>
  <c r="D168" s="1"/>
  <c r="D169" s="1"/>
  <c r="D170" s="1"/>
  <c r="D171" s="1"/>
  <c r="D172" s="1"/>
  <c r="D173" s="1"/>
  <c r="D174" s="1"/>
  <c r="D175" s="1"/>
  <c r="D176" s="1"/>
  <c r="N90"/>
  <c r="N84"/>
  <c r="N78"/>
  <c r="N72"/>
  <c r="AT37"/>
  <c r="BB36"/>
  <c r="BB37" s="1"/>
  <c r="DG34"/>
  <c r="CW34"/>
  <c r="CM34"/>
  <c r="CC34"/>
  <c r="BS34"/>
  <c r="BI34"/>
  <c r="AY34"/>
  <c r="AO34"/>
  <c r="AE34"/>
  <c r="U34"/>
  <c r="K34"/>
  <c r="DL33"/>
  <c r="DB33"/>
  <c r="CR33"/>
  <c r="CH33"/>
  <c r="BX33"/>
  <c r="BN33"/>
  <c r="CU32"/>
  <c r="CO32"/>
  <c r="CE32"/>
  <c r="BU32"/>
  <c r="BK32"/>
  <c r="BA32"/>
  <c r="AQ32"/>
  <c r="AG32"/>
  <c r="W32"/>
  <c r="M32"/>
  <c r="DN31"/>
  <c r="DD31"/>
  <c r="CT31"/>
  <c r="CJ31"/>
  <c r="BZ31"/>
  <c r="BP31"/>
  <c r="BF31"/>
  <c r="AV31"/>
  <c r="DG29"/>
  <c r="DF29" s="1"/>
  <c r="CW29"/>
  <c r="CV29" s="1"/>
  <c r="CM29"/>
  <c r="CL29" s="1"/>
  <c r="CC29"/>
  <c r="CB29" s="1"/>
  <c r="BS29"/>
  <c r="BR29" s="1"/>
  <c r="DL25"/>
  <c r="DB25"/>
  <c r="CR25"/>
  <c r="CH25"/>
  <c r="BX25"/>
  <c r="DI24"/>
  <c r="CY24"/>
  <c r="CO24"/>
  <c r="CE24"/>
  <c r="BU24"/>
  <c r="CZ21"/>
  <c r="CX21" s="1"/>
  <c r="BL21"/>
  <c r="BJ21" s="1"/>
  <c r="AV21"/>
  <c r="DG12"/>
  <c r="CW12"/>
  <c r="CM12"/>
  <c r="CC12"/>
  <c r="BS12"/>
  <c r="BI12"/>
  <c r="DL11"/>
  <c r="DB11"/>
  <c r="CR11"/>
  <c r="CH11"/>
  <c r="BX11"/>
  <c r="BN11"/>
  <c r="CU8"/>
  <c r="CQ8" s="1"/>
  <c r="CA8"/>
  <c r="BW8" s="1"/>
  <c r="BG8"/>
  <c r="BC8" s="1"/>
  <c r="G93"/>
  <c r="F94"/>
  <c r="G94" s="1"/>
  <c r="I90"/>
  <c r="J92"/>
  <c r="M93"/>
  <c r="L94"/>
  <c r="F90"/>
  <c r="G92"/>
  <c r="L90"/>
  <c r="M91" s="1"/>
  <c r="M92"/>
  <c r="N173"/>
  <c r="N171"/>
  <c r="N167"/>
  <c r="N165"/>
  <c r="N161"/>
  <c r="N159"/>
  <c r="N155"/>
  <c r="N153"/>
  <c r="N149"/>
  <c r="N147"/>
  <c r="N143"/>
  <c r="N141"/>
  <c r="N137"/>
  <c r="N135"/>
  <c r="N131"/>
  <c r="N129"/>
  <c r="N125"/>
  <c r="N123"/>
  <c r="N119"/>
  <c r="N117"/>
  <c r="N113"/>
  <c r="N111"/>
  <c r="N107"/>
  <c r="N105"/>
  <c r="N101"/>
  <c r="N99"/>
  <c r="N95"/>
  <c r="I94"/>
  <c r="N93"/>
  <c r="N89"/>
  <c r="N87"/>
  <c r="N83"/>
  <c r="N81"/>
  <c r="N77"/>
  <c r="N75"/>
  <c r="N71"/>
  <c r="N69"/>
  <c r="AY37"/>
  <c r="DN34"/>
  <c r="DL34"/>
  <c r="DH34"/>
  <c r="DD34"/>
  <c r="DB34"/>
  <c r="CX34"/>
  <c r="CT34"/>
  <c r="CR34"/>
  <c r="CN34"/>
  <c r="CJ34"/>
  <c r="CH34"/>
  <c r="CD34"/>
  <c r="BZ34"/>
  <c r="BX34"/>
  <c r="BT34"/>
  <c r="BP34"/>
  <c r="BN34"/>
  <c r="BJ34"/>
  <c r="BF34"/>
  <c r="BD34"/>
  <c r="AZ34"/>
  <c r="AV34"/>
  <c r="AT34"/>
  <c r="AP34"/>
  <c r="AL34"/>
  <c r="AJ34"/>
  <c r="AF34"/>
  <c r="AB34"/>
  <c r="Z34"/>
  <c r="V34"/>
  <c r="R34"/>
  <c r="P34"/>
  <c r="L34"/>
  <c r="H34"/>
  <c r="F34"/>
  <c r="DM33"/>
  <c r="DI33"/>
  <c r="DG33"/>
  <c r="DC33"/>
  <c r="CY33"/>
  <c r="CW33"/>
  <c r="CS33"/>
  <c r="CO33"/>
  <c r="CM33"/>
  <c r="CI33"/>
  <c r="CE33"/>
  <c r="CC33"/>
  <c r="BY33"/>
  <c r="BU33"/>
  <c r="BS33"/>
  <c r="BO33"/>
  <c r="BK33"/>
  <c r="BI33"/>
  <c r="CN32"/>
  <c r="CJ32"/>
  <c r="CH32"/>
  <c r="CD32"/>
  <c r="BZ32"/>
  <c r="BX32"/>
  <c r="BT32"/>
  <c r="BP32"/>
  <c r="BN32"/>
  <c r="BJ32"/>
  <c r="BF32"/>
  <c r="BD32"/>
  <c r="AZ32"/>
  <c r="AV32"/>
  <c r="AT32"/>
  <c r="AP32"/>
  <c r="AL32"/>
  <c r="AJ32"/>
  <c r="AF32"/>
  <c r="AB32"/>
  <c r="Z32"/>
  <c r="V32"/>
  <c r="R32"/>
  <c r="P32"/>
  <c r="L32"/>
  <c r="H32"/>
  <c r="F32"/>
  <c r="DM31"/>
  <c r="DI31"/>
  <c r="DG31"/>
  <c r="DC31"/>
  <c r="CY31"/>
  <c r="CW31"/>
  <c r="CS31"/>
  <c r="CO31"/>
  <c r="CM31"/>
  <c r="CI31"/>
  <c r="CE31"/>
  <c r="CC31"/>
  <c r="BY31"/>
  <c r="BU31"/>
  <c r="BS31"/>
  <c r="BO31"/>
  <c r="BK31"/>
  <c r="BI31"/>
  <c r="BE31"/>
  <c r="BA31"/>
  <c r="AY31"/>
  <c r="AU31"/>
  <c r="DI29"/>
  <c r="CY29"/>
  <c r="CO29"/>
  <c r="CE29"/>
  <c r="BU29"/>
  <c r="DN28"/>
  <c r="DD28"/>
  <c r="CT28"/>
  <c r="CJ28"/>
  <c r="BZ28"/>
  <c r="DJ21"/>
  <c r="CP21"/>
  <c r="BV21"/>
  <c r="BB21"/>
  <c r="DG25"/>
  <c r="DI25"/>
  <c r="CW25"/>
  <c r="CY25"/>
  <c r="CM25"/>
  <c r="CO25"/>
  <c r="CC25"/>
  <c r="CE25"/>
  <c r="BS25"/>
  <c r="BU25"/>
  <c r="DL24"/>
  <c r="DN24"/>
  <c r="DB24"/>
  <c r="DD24"/>
  <c r="CR24"/>
  <c r="CT24"/>
  <c r="CH24"/>
  <c r="CJ24"/>
  <c r="BX24"/>
  <c r="BZ24"/>
  <c r="AS21"/>
  <c r="AS20" s="1"/>
  <c r="AT20" s="1"/>
  <c r="AU21"/>
  <c r="DM34"/>
  <c r="DC34"/>
  <c r="CS34"/>
  <c r="CI34"/>
  <c r="BY34"/>
  <c r="BO34"/>
  <c r="BE34"/>
  <c r="AU34"/>
  <c r="AK34"/>
  <c r="AA34"/>
  <c r="Q34"/>
  <c r="G34"/>
  <c r="DH33"/>
  <c r="CX33"/>
  <c r="CN33"/>
  <c r="CD33"/>
  <c r="BT33"/>
  <c r="BJ33"/>
  <c r="CI32"/>
  <c r="BY32"/>
  <c r="BO32"/>
  <c r="BE32"/>
  <c r="AU32"/>
  <c r="AK32"/>
  <c r="AA32"/>
  <c r="Q32"/>
  <c r="G32"/>
  <c r="DH31"/>
  <c r="CX31"/>
  <c r="CN31"/>
  <c r="CD31"/>
  <c r="BT31"/>
  <c r="BJ31"/>
  <c r="AZ31"/>
  <c r="DF25"/>
  <c r="CV25"/>
  <c r="CL25"/>
  <c r="CB25"/>
  <c r="BR25"/>
  <c r="DK24"/>
  <c r="DA24"/>
  <c r="CQ24"/>
  <c r="CG24"/>
  <c r="BW24"/>
  <c r="DM25"/>
  <c r="DC25"/>
  <c r="CS25"/>
  <c r="CI25"/>
  <c r="BY25"/>
  <c r="DH24"/>
  <c r="CX24"/>
  <c r="CN24"/>
  <c r="CD24"/>
  <c r="BT24"/>
  <c r="DH12"/>
  <c r="DD12"/>
  <c r="DB12"/>
  <c r="CX12"/>
  <c r="CT12"/>
  <c r="CR12"/>
  <c r="CN12"/>
  <c r="CJ12"/>
  <c r="CH12"/>
  <c r="CD12"/>
  <c r="BZ12"/>
  <c r="BX12"/>
  <c r="BT12"/>
  <c r="BP12"/>
  <c r="BN12"/>
  <c r="BJ12"/>
  <c r="DM11"/>
  <c r="DI11"/>
  <c r="DG11"/>
  <c r="DC11"/>
  <c r="CY11"/>
  <c r="CW11"/>
  <c r="CS11"/>
  <c r="CO11"/>
  <c r="CM11"/>
  <c r="CI11"/>
  <c r="CE11"/>
  <c r="CC11"/>
  <c r="BY11"/>
  <c r="BU11"/>
  <c r="BS11"/>
  <c r="BO11"/>
  <c r="BK11"/>
  <c r="BI11"/>
  <c r="DC12"/>
  <c r="CS12"/>
  <c r="CI12"/>
  <c r="BY12"/>
  <c r="BO12"/>
  <c r="DH11"/>
  <c r="CX11"/>
  <c r="CN11"/>
  <c r="CD11"/>
  <c r="BT11"/>
  <c r="BJ11"/>
  <c r="R163" i="37" l="1"/>
  <c r="R162" s="1"/>
  <c r="O163"/>
  <c r="O162" s="1"/>
  <c r="P200"/>
  <c r="Q200"/>
  <c r="U200"/>
  <c r="J201"/>
  <c r="J172"/>
  <c r="J171" s="1"/>
  <c r="CQ32" i="12"/>
  <c r="T214" i="37"/>
  <c r="I181"/>
  <c r="I179"/>
  <c r="K49" i="33"/>
  <c r="K50" s="1"/>
  <c r="K68"/>
  <c r="L49"/>
  <c r="L163" i="37"/>
  <c r="L162" s="1"/>
  <c r="L200"/>
  <c r="N163"/>
  <c r="N162" s="1"/>
  <c r="N200"/>
  <c r="M163"/>
  <c r="M162" s="1"/>
  <c r="M200"/>
  <c r="L188"/>
  <c r="L187" s="1"/>
  <c r="L32" s="1"/>
  <c r="N188"/>
  <c r="N187" s="1"/>
  <c r="N32" s="1"/>
  <c r="T188"/>
  <c r="T187" s="1"/>
  <c r="T32" s="1"/>
  <c r="K188"/>
  <c r="K187" s="1"/>
  <c r="K32" s="1"/>
  <c r="M188"/>
  <c r="M187" s="1"/>
  <c r="M32" s="1"/>
  <c r="O188"/>
  <c r="O187" s="1"/>
  <c r="O32" s="1"/>
  <c r="R188"/>
  <c r="R187" s="1"/>
  <c r="R32" s="1"/>
  <c r="K219"/>
  <c r="M219"/>
  <c r="H180"/>
  <c r="H181"/>
  <c r="H179"/>
  <c r="H178"/>
  <c r="L219"/>
  <c r="N219"/>
  <c r="I157"/>
  <c r="J163" s="1"/>
  <c r="J162" s="1"/>
  <c r="K8"/>
  <c r="F55" i="39" s="1"/>
  <c r="K275" i="33"/>
  <c r="K276" s="1"/>
  <c r="L156"/>
  <c r="L154" s="1"/>
  <c r="CL8" i="12"/>
  <c r="BR8"/>
  <c r="DF8"/>
  <c r="AV8"/>
  <c r="BS8"/>
  <c r="CM8"/>
  <c r="DG8"/>
  <c r="AU8"/>
  <c r="AT8"/>
  <c r="AT7" s="1"/>
  <c r="BT8"/>
  <c r="CN8"/>
  <c r="DH8"/>
  <c r="X327" i="26"/>
  <c r="X227" i="35"/>
  <c r="X228" s="1"/>
  <c r="BD327" i="26"/>
  <c r="BD227" i="35"/>
  <c r="BD228" s="1"/>
  <c r="BF327" i="26"/>
  <c r="BF227" i="35"/>
  <c r="BF228" s="1"/>
  <c r="AK327" i="26"/>
  <c r="AK227" i="35"/>
  <c r="AK228" s="1"/>
  <c r="BA327" i="26"/>
  <c r="BA227" i="35"/>
  <c r="BA228" s="1"/>
  <c r="AU327" i="26"/>
  <c r="AU227" i="35"/>
  <c r="AU228" s="1"/>
  <c r="AF327" i="26"/>
  <c r="AF227" i="35"/>
  <c r="AF228" s="1"/>
  <c r="AV327" i="26"/>
  <c r="AV227" i="35"/>
  <c r="AV228" s="1"/>
  <c r="AH327" i="26"/>
  <c r="AH227" i="35"/>
  <c r="AH228" s="1"/>
  <c r="AX327" i="26"/>
  <c r="AX227" i="35"/>
  <c r="AX228" s="1"/>
  <c r="AA327" i="26"/>
  <c r="AA227" i="35"/>
  <c r="AA228" s="1"/>
  <c r="AI327" i="26"/>
  <c r="AI227" i="35"/>
  <c r="AI228" s="1"/>
  <c r="AQ327" i="26"/>
  <c r="AQ227" i="35"/>
  <c r="AQ228" s="1"/>
  <c r="AY327" i="26"/>
  <c r="AY227" i="35"/>
  <c r="AY228" s="1"/>
  <c r="BG327" i="26"/>
  <c r="BG227" i="35"/>
  <c r="BG228" s="1"/>
  <c r="AG327" i="26"/>
  <c r="AG227" i="35"/>
  <c r="AG228" s="1"/>
  <c r="AW327" i="26"/>
  <c r="AW227" i="35"/>
  <c r="AW228" s="1"/>
  <c r="W327" i="26"/>
  <c r="W227" i="35"/>
  <c r="W228" s="1"/>
  <c r="AE327" i="26"/>
  <c r="AE227" i="35"/>
  <c r="AE228" s="1"/>
  <c r="BC327" i="26"/>
  <c r="BC227" i="35"/>
  <c r="BC228" s="1"/>
  <c r="V327" i="26"/>
  <c r="V227" i="35"/>
  <c r="V228" s="1"/>
  <c r="AD327" i="26"/>
  <c r="AD227" i="35"/>
  <c r="AD228" s="1"/>
  <c r="AL327" i="26"/>
  <c r="AL227" i="35"/>
  <c r="AL228" s="1"/>
  <c r="AT327" i="26"/>
  <c r="AT227" i="35"/>
  <c r="AT228" s="1"/>
  <c r="BB327" i="26"/>
  <c r="BB227" i="35"/>
  <c r="BB228" s="1"/>
  <c r="AB327" i="26"/>
  <c r="AB227" i="35"/>
  <c r="AB228" s="1"/>
  <c r="AJ327" i="26"/>
  <c r="AJ227" i="35"/>
  <c r="AJ228" s="1"/>
  <c r="AR327" i="26"/>
  <c r="AR227" i="35"/>
  <c r="AR228" s="1"/>
  <c r="AZ327" i="26"/>
  <c r="AZ227" i="35"/>
  <c r="AZ228" s="1"/>
  <c r="BH327" i="26"/>
  <c r="BH227" i="35"/>
  <c r="BH228" s="1"/>
  <c r="G127"/>
  <c r="G138" s="1"/>
  <c r="G132"/>
  <c r="H127" s="1"/>
  <c r="F72"/>
  <c r="F71"/>
  <c r="G65" s="1"/>
  <c r="F78"/>
  <c r="AN327" i="26"/>
  <c r="AN227" i="35"/>
  <c r="AN228" s="1"/>
  <c r="Z327" i="26"/>
  <c r="Z227" i="35"/>
  <c r="Z228" s="1"/>
  <c r="AP327" i="26"/>
  <c r="AP227" i="35"/>
  <c r="AP228" s="1"/>
  <c r="AC327" i="26"/>
  <c r="AC227" i="35"/>
  <c r="AC228" s="1"/>
  <c r="AS327" i="26"/>
  <c r="AS227" i="35"/>
  <c r="AS228" s="1"/>
  <c r="BI327" i="26"/>
  <c r="BI227" i="35"/>
  <c r="BI228" s="1"/>
  <c r="Y327" i="26"/>
  <c r="Y227" i="35"/>
  <c r="Y228" s="1"/>
  <c r="AO327" i="26"/>
  <c r="AO227" i="35"/>
  <c r="AO228" s="1"/>
  <c r="BE327" i="26"/>
  <c r="BE227" i="35"/>
  <c r="BE228" s="1"/>
  <c r="AM327" i="26"/>
  <c r="AM227" i="35"/>
  <c r="AM228" s="1"/>
  <c r="F102"/>
  <c r="F108"/>
  <c r="F101"/>
  <c r="G95" s="1"/>
  <c r="CI29" i="12"/>
  <c r="CX28"/>
  <c r="BL122" i="26"/>
  <c r="BL130" s="1"/>
  <c r="BL113"/>
  <c r="BA8" i="12"/>
  <c r="CS19"/>
  <c r="CR19" s="1"/>
  <c r="F197" i="26"/>
  <c r="E191"/>
  <c r="E195" s="1"/>
  <c r="E189"/>
  <c r="E193" s="1"/>
  <c r="E169"/>
  <c r="E162"/>
  <c r="F156" s="1"/>
  <c r="CI8" i="12"/>
  <c r="CB21"/>
  <c r="BM112" i="26"/>
  <c r="BL127"/>
  <c r="BL138"/>
  <c r="BL136"/>
  <c r="BL137" s="1"/>
  <c r="M118" i="33"/>
  <c r="O118"/>
  <c r="U118"/>
  <c r="J51"/>
  <c r="J118"/>
  <c r="J102"/>
  <c r="J70"/>
  <c r="J86"/>
  <c r="L118"/>
  <c r="I51"/>
  <c r="I70"/>
  <c r="K100"/>
  <c r="K84"/>
  <c r="K118"/>
  <c r="Q118"/>
  <c r="S118"/>
  <c r="N118"/>
  <c r="P118"/>
  <c r="R118"/>
  <c r="T118"/>
  <c r="CC21" i="12"/>
  <c r="DC19"/>
  <c r="DB19" s="1"/>
  <c r="CR16"/>
  <c r="DB16"/>
  <c r="DA16" s="1"/>
  <c r="CR18"/>
  <c r="DB18"/>
  <c r="DA18" s="1"/>
  <c r="CE21"/>
  <c r="AZ8"/>
  <c r="CD8"/>
  <c r="DC15"/>
  <c r="CS17"/>
  <c r="DC17"/>
  <c r="DB17" s="1"/>
  <c r="DN16"/>
  <c r="DN15"/>
  <c r="DM15" s="1"/>
  <c r="DN17"/>
  <c r="DN18"/>
  <c r="DN12"/>
  <c r="CP48" s="1"/>
  <c r="DN19"/>
  <c r="DM19" s="1"/>
  <c r="BC48"/>
  <c r="BS48"/>
  <c r="CI48"/>
  <c r="CW18"/>
  <c r="E139" i="26"/>
  <c r="E79"/>
  <c r="E109"/>
  <c r="DG16" i="12"/>
  <c r="CR15"/>
  <c r="AX8"/>
  <c r="BJ8"/>
  <c r="CX8"/>
  <c r="W49"/>
  <c r="X50" s="1"/>
  <c r="W46"/>
  <c r="X47" s="1"/>
  <c r="B71"/>
  <c r="CD28"/>
  <c r="DK12"/>
  <c r="DL12"/>
  <c r="BI8"/>
  <c r="BH8"/>
  <c r="CC8"/>
  <c r="CB8"/>
  <c r="CW8"/>
  <c r="CV8"/>
  <c r="CG8"/>
  <c r="CH8"/>
  <c r="BT28"/>
  <c r="DH28"/>
  <c r="DM8"/>
  <c r="CS32"/>
  <c r="CT32"/>
  <c r="CY21"/>
  <c r="BW21"/>
  <c r="DL21"/>
  <c r="DD8"/>
  <c r="CV21"/>
  <c r="CW21"/>
  <c r="CR32"/>
  <c r="CZ32"/>
  <c r="CJ21"/>
  <c r="BN8"/>
  <c r="DK21"/>
  <c r="BO8"/>
  <c r="BE21"/>
  <c r="CS21"/>
  <c r="AC49"/>
  <c r="AC50" s="1"/>
  <c r="CS8"/>
  <c r="BD8"/>
  <c r="CR8"/>
  <c r="BO21"/>
  <c r="CI21"/>
  <c r="DC21"/>
  <c r="AC47"/>
  <c r="BE8"/>
  <c r="BF8"/>
  <c r="BP8"/>
  <c r="CT8"/>
  <c r="DM21"/>
  <c r="BZ21"/>
  <c r="BX21"/>
  <c r="BY8"/>
  <c r="BZ8"/>
  <c r="DN8"/>
  <c r="BK21"/>
  <c r="CN28"/>
  <c r="DC8"/>
  <c r="BX8"/>
  <c r="DB8"/>
  <c r="DL8"/>
  <c r="BH21"/>
  <c r="CG21"/>
  <c r="BI21"/>
  <c r="CP45"/>
  <c r="BN48"/>
  <c r="CM45"/>
  <c r="AX48"/>
  <c r="DP5"/>
  <c r="DR5"/>
  <c r="DT8"/>
  <c r="DQ5"/>
  <c r="DS5"/>
  <c r="DY5"/>
  <c r="DT21"/>
  <c r="CD48"/>
  <c r="AU20"/>
  <c r="AV20" s="1"/>
  <c r="BF48"/>
  <c r="CL48"/>
  <c r="BN21"/>
  <c r="BP21"/>
  <c r="DB21"/>
  <c r="DD21"/>
  <c r="BV48"/>
  <c r="BF21"/>
  <c r="BD21"/>
  <c r="CT21"/>
  <c r="CR21"/>
  <c r="BH45"/>
  <c r="BX45"/>
  <c r="CN45"/>
  <c r="BD48"/>
  <c r="BT48"/>
  <c r="CJ48"/>
  <c r="CQ29"/>
  <c r="DA29"/>
  <c r="CW16"/>
  <c r="DC29"/>
  <c r="AB47"/>
  <c r="AZ45"/>
  <c r="BP45"/>
  <c r="CF45"/>
  <c r="AV48"/>
  <c r="BL48"/>
  <c r="CB48"/>
  <c r="BW29"/>
  <c r="DK29"/>
  <c r="CG29"/>
  <c r="DG18"/>
  <c r="BY29"/>
  <c r="CS29"/>
  <c r="DM29"/>
  <c r="BE45"/>
  <c r="BU45"/>
  <c r="CK45"/>
  <c r="BA48"/>
  <c r="BQ48"/>
  <c r="CG48"/>
  <c r="AX45"/>
  <c r="BD45"/>
  <c r="BI45"/>
  <c r="BN45"/>
  <c r="BT45"/>
  <c r="BY45"/>
  <c r="CD45"/>
  <c r="CJ45"/>
  <c r="CO45"/>
  <c r="AW48"/>
  <c r="BB48"/>
  <c r="BH48"/>
  <c r="BM48"/>
  <c r="BR48"/>
  <c r="BX48"/>
  <c r="CC48"/>
  <c r="CH48"/>
  <c r="AY21"/>
  <c r="BA21"/>
  <c r="AZ21"/>
  <c r="AX21"/>
  <c r="CM21"/>
  <c r="CO21"/>
  <c r="CN21"/>
  <c r="CL21"/>
  <c r="CI28"/>
  <c r="DC28"/>
  <c r="BT29"/>
  <c r="CN29"/>
  <c r="DH29"/>
  <c r="DF15"/>
  <c r="L89"/>
  <c r="M90" s="1"/>
  <c r="G91"/>
  <c r="F89"/>
  <c r="CV19"/>
  <c r="AW45"/>
  <c r="BM45"/>
  <c r="CC45"/>
  <c r="BI48"/>
  <c r="BY48"/>
  <c r="CO48"/>
  <c r="AV45"/>
  <c r="BA45"/>
  <c r="BF45"/>
  <c r="BL45"/>
  <c r="BQ45"/>
  <c r="BV45"/>
  <c r="CB45"/>
  <c r="CG45"/>
  <c r="CL45"/>
  <c r="AZ48"/>
  <c r="BE48"/>
  <c r="BJ48"/>
  <c r="BP48"/>
  <c r="BU48"/>
  <c r="BZ48"/>
  <c r="CF48"/>
  <c r="CK48"/>
  <c r="BS21"/>
  <c r="BU21"/>
  <c r="BT21"/>
  <c r="BR21"/>
  <c r="DG21"/>
  <c r="DI21"/>
  <c r="DH21"/>
  <c r="DF21"/>
  <c r="BY28"/>
  <c r="CS28"/>
  <c r="DM28"/>
  <c r="CD29"/>
  <c r="CX29"/>
  <c r="J94"/>
  <c r="I95"/>
  <c r="J95" s="1"/>
  <c r="CV17"/>
  <c r="DF19"/>
  <c r="M94"/>
  <c r="L95"/>
  <c r="CV15"/>
  <c r="CQ16"/>
  <c r="DF17"/>
  <c r="AE46"/>
  <c r="AE47" s="1"/>
  <c r="I89"/>
  <c r="J91"/>
  <c r="F95"/>
  <c r="U37" i="35" l="1"/>
  <c r="U36" s="1"/>
  <c r="U38" i="26"/>
  <c r="U37" s="1"/>
  <c r="I182" i="37"/>
  <c r="J190" s="1"/>
  <c r="J189" s="1"/>
  <c r="CY32" i="12"/>
  <c r="U214" i="37"/>
  <c r="K52" i="33"/>
  <c r="L52"/>
  <c r="K71"/>
  <c r="K79"/>
  <c r="L68"/>
  <c r="K69"/>
  <c r="M49"/>
  <c r="L50"/>
  <c r="K18" i="37"/>
  <c r="K115" s="1"/>
  <c r="F63" i="39" s="1"/>
  <c r="F64" s="1"/>
  <c r="K92" i="37"/>
  <c r="K19"/>
  <c r="K98"/>
  <c r="K100"/>
  <c r="K89"/>
  <c r="K97" s="1"/>
  <c r="K96" s="1"/>
  <c r="K52"/>
  <c r="K49" s="1"/>
  <c r="K50" s="1"/>
  <c r="K54" s="1"/>
  <c r="K62"/>
  <c r="K76"/>
  <c r="K73"/>
  <c r="K70"/>
  <c r="K65"/>
  <c r="H182"/>
  <c r="J188" s="1"/>
  <c r="J187" s="1"/>
  <c r="J186" s="1"/>
  <c r="K29"/>
  <c r="K11"/>
  <c r="K15"/>
  <c r="K16" s="1"/>
  <c r="K9"/>
  <c r="F56" i="39" s="1"/>
  <c r="L8" i="37"/>
  <c r="L275" i="33"/>
  <c r="L276" s="1"/>
  <c r="M156"/>
  <c r="M154" s="1"/>
  <c r="L157"/>
  <c r="U44" i="35"/>
  <c r="U45" s="1"/>
  <c r="U46" s="1"/>
  <c r="U45" i="26"/>
  <c r="U46" s="1"/>
  <c r="U47" s="1"/>
  <c r="AU7" i="12"/>
  <c r="AV7" s="1"/>
  <c r="AX7" s="1"/>
  <c r="AY7" s="1"/>
  <c r="AZ7" s="1"/>
  <c r="BA7" s="1"/>
  <c r="BC7" s="1"/>
  <c r="BD7" s="1"/>
  <c r="BE7" s="1"/>
  <c r="BF7" s="1"/>
  <c r="BH7" s="1"/>
  <c r="BI7" s="1"/>
  <c r="BJ7" s="1"/>
  <c r="BK7" s="1"/>
  <c r="BM7" s="1"/>
  <c r="BN7" s="1"/>
  <c r="BO7" s="1"/>
  <c r="BP7" s="1"/>
  <c r="BR7" s="1"/>
  <c r="BS7" s="1"/>
  <c r="BT7" s="1"/>
  <c r="BU7" s="1"/>
  <c r="BW7" s="1"/>
  <c r="BX7" s="1"/>
  <c r="BY7" s="1"/>
  <c r="BZ7" s="1"/>
  <c r="CB7" s="1"/>
  <c r="CC7" s="1"/>
  <c r="CD7" s="1"/>
  <c r="CE7" s="1"/>
  <c r="CG7" s="1"/>
  <c r="CH7" s="1"/>
  <c r="CI7" s="1"/>
  <c r="CJ7" s="1"/>
  <c r="CL7" s="1"/>
  <c r="CM7" s="1"/>
  <c r="CN7" s="1"/>
  <c r="CO7" s="1"/>
  <c r="CQ7" s="1"/>
  <c r="CR7" s="1"/>
  <c r="CS7" s="1"/>
  <c r="CT7" s="1"/>
  <c r="CV7" s="1"/>
  <c r="CW7" s="1"/>
  <c r="CX7" s="1"/>
  <c r="CY7" s="1"/>
  <c r="DA7" s="1"/>
  <c r="DB7" s="1"/>
  <c r="DC7" s="1"/>
  <c r="DD7" s="1"/>
  <c r="DF7" s="1"/>
  <c r="DG7" s="1"/>
  <c r="DH7" s="1"/>
  <c r="DI7" s="1"/>
  <c r="DK7" s="1"/>
  <c r="DL7" s="1"/>
  <c r="DM7" s="1"/>
  <c r="DN7" s="1"/>
  <c r="G97" i="35"/>
  <c r="G67"/>
  <c r="G68" s="1"/>
  <c r="H128"/>
  <c r="H132" s="1"/>
  <c r="K133" i="33"/>
  <c r="K146" s="1"/>
  <c r="K185" s="1"/>
  <c r="K187" s="1"/>
  <c r="E192" i="26"/>
  <c r="F186" s="1"/>
  <c r="BM113"/>
  <c r="BM122"/>
  <c r="E199"/>
  <c r="G197"/>
  <c r="F191"/>
  <c r="F195" s="1"/>
  <c r="F188"/>
  <c r="F189" s="1"/>
  <c r="F193" s="1"/>
  <c r="F158"/>
  <c r="CR17" i="12"/>
  <c r="CQ17" s="1"/>
  <c r="BN112" i="26"/>
  <c r="BM127"/>
  <c r="BM138"/>
  <c r="BM136"/>
  <c r="BM137" s="1"/>
  <c r="Y90"/>
  <c r="K85" i="33"/>
  <c r="L84"/>
  <c r="K87"/>
  <c r="K103"/>
  <c r="K101"/>
  <c r="L100"/>
  <c r="V49" i="12"/>
  <c r="W50" s="1"/>
  <c r="DM18"/>
  <c r="DM16"/>
  <c r="DL16" s="1"/>
  <c r="CQ18"/>
  <c r="DB15"/>
  <c r="DS16"/>
  <c r="DS19"/>
  <c r="DM17"/>
  <c r="DS17"/>
  <c r="DR17" s="1"/>
  <c r="DS15"/>
  <c r="DR15" s="1"/>
  <c r="DS18"/>
  <c r="DR18" s="1"/>
  <c r="CN48"/>
  <c r="DL18"/>
  <c r="DL15"/>
  <c r="CQ19"/>
  <c r="CV18"/>
  <c r="DR16"/>
  <c r="DR19"/>
  <c r="CQ15"/>
  <c r="DL19"/>
  <c r="DA17"/>
  <c r="DF16"/>
  <c r="V46"/>
  <c r="U46" s="1"/>
  <c r="B72"/>
  <c r="DE32"/>
  <c r="DA32" s="1"/>
  <c r="CX32"/>
  <c r="CW32"/>
  <c r="AD49"/>
  <c r="AD50" s="1"/>
  <c r="CV32"/>
  <c r="CM48"/>
  <c r="AX20"/>
  <c r="AY20" s="1"/>
  <c r="AZ20" s="1"/>
  <c r="BA20" s="1"/>
  <c r="BC20" s="1"/>
  <c r="BD20" s="1"/>
  <c r="BE20" s="1"/>
  <c r="BF20" s="1"/>
  <c r="BH20" s="1"/>
  <c r="BI20" s="1"/>
  <c r="BJ20" s="1"/>
  <c r="BK20" s="1"/>
  <c r="BM20" s="1"/>
  <c r="BN20" s="1"/>
  <c r="BO20" s="1"/>
  <c r="BP20" s="1"/>
  <c r="BR20" s="1"/>
  <c r="BS20" s="1"/>
  <c r="BT20" s="1"/>
  <c r="BU20" s="1"/>
  <c r="BW20" s="1"/>
  <c r="BX20" s="1"/>
  <c r="BY20" s="1"/>
  <c r="BZ20" s="1"/>
  <c r="CB20" s="1"/>
  <c r="CC20" s="1"/>
  <c r="CD20" s="1"/>
  <c r="CE20" s="1"/>
  <c r="CG20" s="1"/>
  <c r="CH20" s="1"/>
  <c r="CI20" s="1"/>
  <c r="CJ20" s="1"/>
  <c r="CL20" s="1"/>
  <c r="CM20" s="1"/>
  <c r="CN20" s="1"/>
  <c r="CO20" s="1"/>
  <c r="CQ20" s="1"/>
  <c r="CR20" s="1"/>
  <c r="CS20" s="1"/>
  <c r="CT20" s="1"/>
  <c r="CV20" s="1"/>
  <c r="CW20" s="1"/>
  <c r="CX20" s="1"/>
  <c r="CY20" s="1"/>
  <c r="DA20" s="1"/>
  <c r="DB20" s="1"/>
  <c r="DC20" s="1"/>
  <c r="DD20" s="1"/>
  <c r="DF20" s="1"/>
  <c r="DG20" s="1"/>
  <c r="DH20" s="1"/>
  <c r="DI20" s="1"/>
  <c r="DK20" s="1"/>
  <c r="DL20" s="1"/>
  <c r="DM20" s="1"/>
  <c r="DN20" s="1"/>
  <c r="DS29"/>
  <c r="DQ29"/>
  <c r="DP29" s="1"/>
  <c r="DR21"/>
  <c r="DS21"/>
  <c r="DP21"/>
  <c r="DQ21"/>
  <c r="DP12"/>
  <c r="DS12"/>
  <c r="DQ12"/>
  <c r="DR12"/>
  <c r="DV5"/>
  <c r="DX5"/>
  <c r="ED5"/>
  <c r="DY21"/>
  <c r="DU5"/>
  <c r="DW5"/>
  <c r="DP33"/>
  <c r="DS33"/>
  <c r="DR33"/>
  <c r="DQ33"/>
  <c r="DP24"/>
  <c r="DQ24"/>
  <c r="DS24"/>
  <c r="DR24"/>
  <c r="DP31"/>
  <c r="DQ31"/>
  <c r="DS31"/>
  <c r="DR31"/>
  <c r="DR25"/>
  <c r="DS25"/>
  <c r="DQ25"/>
  <c r="DP25"/>
  <c r="DP11"/>
  <c r="DQ11"/>
  <c r="CR45" s="1"/>
  <c r="DR11"/>
  <c r="CS45" s="1"/>
  <c r="DS11"/>
  <c r="CT45" s="1"/>
  <c r="DP34"/>
  <c r="DS34"/>
  <c r="DQ34"/>
  <c r="DR34"/>
  <c r="DQ28"/>
  <c r="DP28" s="1"/>
  <c r="DS28"/>
  <c r="DQ8"/>
  <c r="DP8"/>
  <c r="DS8"/>
  <c r="DR8"/>
  <c r="DF18"/>
  <c r="DA19"/>
  <c r="CV16"/>
  <c r="F96"/>
  <c r="G96" s="1"/>
  <c r="F88"/>
  <c r="G90"/>
  <c r="J90"/>
  <c r="I88"/>
  <c r="AF46"/>
  <c r="M95"/>
  <c r="L96"/>
  <c r="I96"/>
  <c r="L88"/>
  <c r="G95"/>
  <c r="V37" i="35" l="1"/>
  <c r="V36" s="1"/>
  <c r="V38" i="26"/>
  <c r="V37" s="1"/>
  <c r="L18" i="37"/>
  <c r="L115" s="1"/>
  <c r="G63" i="39" s="1"/>
  <c r="G64" s="1"/>
  <c r="G55"/>
  <c r="L61" i="33"/>
  <c r="L55"/>
  <c r="L57" s="1"/>
  <c r="K74"/>
  <c r="K76" s="1"/>
  <c r="K78" s="1"/>
  <c r="F12" i="39" s="1"/>
  <c r="L71" i="33"/>
  <c r="K61"/>
  <c r="K55"/>
  <c r="K57" s="1"/>
  <c r="K60"/>
  <c r="K53"/>
  <c r="K86"/>
  <c r="M52"/>
  <c r="L53"/>
  <c r="K72"/>
  <c r="K80"/>
  <c r="L80"/>
  <c r="M68"/>
  <c r="L69"/>
  <c r="N49"/>
  <c r="M50"/>
  <c r="L19" i="37"/>
  <c r="K79"/>
  <c r="K72"/>
  <c r="K94"/>
  <c r="L98"/>
  <c r="L100"/>
  <c r="L89"/>
  <c r="L97" s="1"/>
  <c r="L96" s="1"/>
  <c r="L92"/>
  <c r="L52"/>
  <c r="L49" s="1"/>
  <c r="L50" s="1"/>
  <c r="L54" s="1"/>
  <c r="L65"/>
  <c r="L62"/>
  <c r="L76"/>
  <c r="L73"/>
  <c r="L70"/>
  <c r="K13"/>
  <c r="K87"/>
  <c r="K67"/>
  <c r="K55"/>
  <c r="K80" s="1"/>
  <c r="K24"/>
  <c r="K114" s="1"/>
  <c r="F62" i="39" s="1"/>
  <c r="L11" i="37"/>
  <c r="W47" i="12"/>
  <c r="L15" i="37"/>
  <c r="L16" s="1"/>
  <c r="M8"/>
  <c r="L9"/>
  <c r="G56" i="39" s="1"/>
  <c r="M275" i="33"/>
  <c r="N275" s="1"/>
  <c r="M157"/>
  <c r="N156"/>
  <c r="N154" s="1"/>
  <c r="K111"/>
  <c r="K112"/>
  <c r="K95"/>
  <c r="K96"/>
  <c r="V44" i="35"/>
  <c r="V45" s="1"/>
  <c r="V46" s="1"/>
  <c r="V45" i="26"/>
  <c r="V46" s="1"/>
  <c r="V47" s="1"/>
  <c r="G98" i="35"/>
  <c r="G102" s="1"/>
  <c r="H138"/>
  <c r="G101"/>
  <c r="H95" s="1"/>
  <c r="H97" s="1"/>
  <c r="G72"/>
  <c r="G71"/>
  <c r="H65" s="1"/>
  <c r="H131"/>
  <c r="I125" s="1"/>
  <c r="G78"/>
  <c r="L133" i="33"/>
  <c r="L146" s="1"/>
  <c r="K134"/>
  <c r="K135" s="1"/>
  <c r="L182"/>
  <c r="L183" s="1"/>
  <c r="L163" s="1"/>
  <c r="K205"/>
  <c r="O156"/>
  <c r="O154" s="1"/>
  <c r="K147"/>
  <c r="K149"/>
  <c r="K151" s="1"/>
  <c r="BN122" i="26"/>
  <c r="BN130" s="1"/>
  <c r="BN113"/>
  <c r="G191"/>
  <c r="G195" s="1"/>
  <c r="H197"/>
  <c r="F199"/>
  <c r="F192"/>
  <c r="G186" s="1"/>
  <c r="F159"/>
  <c r="U49" i="12"/>
  <c r="T49" s="1"/>
  <c r="S49" s="1"/>
  <c r="BO112" i="26"/>
  <c r="BN127"/>
  <c r="BN138"/>
  <c r="BN136"/>
  <c r="BN137" s="1"/>
  <c r="Z90"/>
  <c r="K104" i="33"/>
  <c r="K106"/>
  <c r="K108" s="1"/>
  <c r="L103"/>
  <c r="L101"/>
  <c r="M100"/>
  <c r="K88"/>
  <c r="K90"/>
  <c r="K92" s="1"/>
  <c r="L85"/>
  <c r="M84"/>
  <c r="L87"/>
  <c r="DA15" i="12"/>
  <c r="DX18"/>
  <c r="DW18" s="1"/>
  <c r="DX15"/>
  <c r="DX19"/>
  <c r="DX17"/>
  <c r="DX16"/>
  <c r="DL17"/>
  <c r="DK19"/>
  <c r="DQ19"/>
  <c r="DQ16"/>
  <c r="DK15"/>
  <c r="DQ18"/>
  <c r="DQ15"/>
  <c r="DQ17"/>
  <c r="CS48"/>
  <c r="DK16"/>
  <c r="DK18"/>
  <c r="B73"/>
  <c r="V50"/>
  <c r="DD32"/>
  <c r="DC32"/>
  <c r="DJ32"/>
  <c r="DG32" s="1"/>
  <c r="DB32"/>
  <c r="AE49"/>
  <c r="AF49" s="1"/>
  <c r="DP7"/>
  <c r="DQ7" s="1"/>
  <c r="DR7" s="1"/>
  <c r="DS7" s="1"/>
  <c r="CR48"/>
  <c r="DP20"/>
  <c r="DQ20" s="1"/>
  <c r="DR20" s="1"/>
  <c r="DS20" s="1"/>
  <c r="CT48"/>
  <c r="DR29"/>
  <c r="DU34"/>
  <c r="DV34"/>
  <c r="DX34"/>
  <c r="DW34"/>
  <c r="DW24"/>
  <c r="DV24"/>
  <c r="DX24"/>
  <c r="DU24"/>
  <c r="DU11"/>
  <c r="CU45" s="1"/>
  <c r="DX11"/>
  <c r="CX45" s="1"/>
  <c r="DV11"/>
  <c r="CV45" s="1"/>
  <c r="DW11"/>
  <c r="CW45" s="1"/>
  <c r="DU33"/>
  <c r="DX33"/>
  <c r="DV33"/>
  <c r="DW33"/>
  <c r="DX29"/>
  <c r="DV29"/>
  <c r="DV21"/>
  <c r="DX21"/>
  <c r="DW21"/>
  <c r="DU21"/>
  <c r="DZ5"/>
  <c r="EB5"/>
  <c r="ED8"/>
  <c r="EA5"/>
  <c r="EC5"/>
  <c r="EI5"/>
  <c r="ED21"/>
  <c r="CQ48"/>
  <c r="DR28"/>
  <c r="CQ45"/>
  <c r="DV28"/>
  <c r="DX28"/>
  <c r="DY8"/>
  <c r="DU31"/>
  <c r="DV31"/>
  <c r="DX31"/>
  <c r="DW31"/>
  <c r="DU25"/>
  <c r="DX25"/>
  <c r="DV25"/>
  <c r="DW25"/>
  <c r="DU12"/>
  <c r="DV12"/>
  <c r="DX12"/>
  <c r="DW12"/>
  <c r="L87"/>
  <c r="M88" s="1"/>
  <c r="I97"/>
  <c r="AG46"/>
  <c r="G89"/>
  <c r="F87"/>
  <c r="M96"/>
  <c r="L97"/>
  <c r="I87"/>
  <c r="J89"/>
  <c r="V47"/>
  <c r="T46"/>
  <c r="U50"/>
  <c r="F97"/>
  <c r="M89"/>
  <c r="J96"/>
  <c r="AF47"/>
  <c r="W37" i="35" l="1"/>
  <c r="W36" s="1"/>
  <c r="W38" i="26"/>
  <c r="W37" s="1"/>
  <c r="L74" i="33"/>
  <c r="L76" s="1"/>
  <c r="M18" i="37"/>
  <c r="M19" s="1"/>
  <c r="H55" i="39"/>
  <c r="L78" i="33"/>
  <c r="G12" i="39" s="1"/>
  <c r="L79" i="33"/>
  <c r="L72"/>
  <c r="M53"/>
  <c r="M55"/>
  <c r="M57" s="1"/>
  <c r="M61"/>
  <c r="L86"/>
  <c r="M71"/>
  <c r="F10" i="39"/>
  <c r="G10"/>
  <c r="N52" i="33"/>
  <c r="K62"/>
  <c r="K63" s="1"/>
  <c r="L60"/>
  <c r="M80"/>
  <c r="N68"/>
  <c r="M69"/>
  <c r="O49"/>
  <c r="N50"/>
  <c r="M276"/>
  <c r="K121" i="37"/>
  <c r="F68" i="39" s="1"/>
  <c r="K120" i="37"/>
  <c r="F67" i="39" s="1"/>
  <c r="K78" i="37"/>
  <c r="L79"/>
  <c r="K21"/>
  <c r="F58" i="39" s="1"/>
  <c r="L94" i="37"/>
  <c r="M98"/>
  <c r="M100"/>
  <c r="K14"/>
  <c r="L72"/>
  <c r="M92"/>
  <c r="M89"/>
  <c r="M97" s="1"/>
  <c r="M96" s="1"/>
  <c r="M52"/>
  <c r="M49" s="1"/>
  <c r="M50" s="1"/>
  <c r="M24" s="1"/>
  <c r="M114" s="1"/>
  <c r="H62" i="39" s="1"/>
  <c r="M65" i="37"/>
  <c r="M62"/>
  <c r="M73"/>
  <c r="M70"/>
  <c r="M76"/>
  <c r="L13"/>
  <c r="L87"/>
  <c r="L67"/>
  <c r="L24"/>
  <c r="L114" s="1"/>
  <c r="G62" i="39" s="1"/>
  <c r="M11" i="37"/>
  <c r="M15"/>
  <c r="M16" s="1"/>
  <c r="M9"/>
  <c r="H56" i="39" s="1"/>
  <c r="N8" i="37"/>
  <c r="N157" i="33"/>
  <c r="L95"/>
  <c r="L96"/>
  <c r="L111"/>
  <c r="L112"/>
  <c r="L142" s="1"/>
  <c r="L152" s="1"/>
  <c r="G21" i="39" s="1"/>
  <c r="K142" i="33"/>
  <c r="W44" i="35"/>
  <c r="W45" s="1"/>
  <c r="W46" s="1"/>
  <c r="W45" i="26"/>
  <c r="W46" s="1"/>
  <c r="W47" s="1"/>
  <c r="G108" i="35"/>
  <c r="H98"/>
  <c r="H102" s="1"/>
  <c r="K110" i="33"/>
  <c r="F16" i="39" s="1"/>
  <c r="K94" i="33"/>
  <c r="F14" i="39" s="1"/>
  <c r="K138" i="33"/>
  <c r="K139" s="1"/>
  <c r="I127" i="35"/>
  <c r="I128" s="1"/>
  <c r="H67"/>
  <c r="H68" s="1"/>
  <c r="H72" s="1"/>
  <c r="M133" i="33"/>
  <c r="M146" s="1"/>
  <c r="M185" s="1"/>
  <c r="L185"/>
  <c r="L187" s="1"/>
  <c r="L205" s="1"/>
  <c r="L147"/>
  <c r="L149"/>
  <c r="L151" s="1"/>
  <c r="K136"/>
  <c r="K137" s="1"/>
  <c r="L134"/>
  <c r="L135" s="1"/>
  <c r="P156"/>
  <c r="P154" s="1"/>
  <c r="O157"/>
  <c r="BO122" i="26"/>
  <c r="BO130" s="1"/>
  <c r="BO113"/>
  <c r="F169"/>
  <c r="F163"/>
  <c r="G188"/>
  <c r="H191"/>
  <c r="H195" s="1"/>
  <c r="I197"/>
  <c r="F162"/>
  <c r="G156" s="1"/>
  <c r="BP112"/>
  <c r="BO127"/>
  <c r="BO138"/>
  <c r="BO136"/>
  <c r="BO137" s="1"/>
  <c r="M85" i="33"/>
  <c r="N84"/>
  <c r="M87"/>
  <c r="L104"/>
  <c r="L106"/>
  <c r="O275"/>
  <c r="N276"/>
  <c r="AA90" i="26"/>
  <c r="L88" i="33"/>
  <c r="L90"/>
  <c r="L92" s="1"/>
  <c r="L94" s="1"/>
  <c r="G14" i="39" s="1"/>
  <c r="N100" i="33"/>
  <c r="M101"/>
  <c r="M103"/>
  <c r="DW17" i="12"/>
  <c r="DV17" s="1"/>
  <c r="DW16"/>
  <c r="DW19"/>
  <c r="DV19" s="1"/>
  <c r="DW15"/>
  <c r="DV15" s="1"/>
  <c r="DI32"/>
  <c r="EC19"/>
  <c r="EC17"/>
  <c r="EC15"/>
  <c r="EB15" s="1"/>
  <c r="EC18"/>
  <c r="EB18" s="1"/>
  <c r="EC16"/>
  <c r="EB16" s="1"/>
  <c r="DK17"/>
  <c r="CV48"/>
  <c r="DP17"/>
  <c r="DP15"/>
  <c r="DP18"/>
  <c r="DP16"/>
  <c r="DP19"/>
  <c r="DV18"/>
  <c r="EB19"/>
  <c r="DV16"/>
  <c r="B74"/>
  <c r="DF32"/>
  <c r="DH32"/>
  <c r="DO32"/>
  <c r="DK32" s="1"/>
  <c r="AE50"/>
  <c r="DU20"/>
  <c r="DV20" s="1"/>
  <c r="DW20" s="1"/>
  <c r="DX20" s="1"/>
  <c r="CU48"/>
  <c r="DU8"/>
  <c r="DU7" s="1"/>
  <c r="DV8"/>
  <c r="DW8"/>
  <c r="DX8"/>
  <c r="DW28"/>
  <c r="DZ34"/>
  <c r="EC34"/>
  <c r="EA34"/>
  <c r="EB34"/>
  <c r="DZ31"/>
  <c r="EC31"/>
  <c r="EB31"/>
  <c r="EA31"/>
  <c r="EB25"/>
  <c r="EC25"/>
  <c r="DZ25"/>
  <c r="EA25"/>
  <c r="EF5"/>
  <c r="EH5"/>
  <c r="EN5"/>
  <c r="EI21"/>
  <c r="EE5"/>
  <c r="EG5"/>
  <c r="DZ24"/>
  <c r="EA24"/>
  <c r="EC24"/>
  <c r="EB24"/>
  <c r="CX48"/>
  <c r="EA8"/>
  <c r="DZ8"/>
  <c r="EC8"/>
  <c r="EB8"/>
  <c r="DU28"/>
  <c r="DZ33"/>
  <c r="EA33"/>
  <c r="EC33"/>
  <c r="EB33"/>
  <c r="EA29"/>
  <c r="DZ29" s="1"/>
  <c r="EC29"/>
  <c r="EC21"/>
  <c r="DZ21"/>
  <c r="EA21"/>
  <c r="EB21"/>
  <c r="DZ12"/>
  <c r="EB12"/>
  <c r="EC12"/>
  <c r="EA12"/>
  <c r="EA28"/>
  <c r="DZ28" s="1"/>
  <c r="EC28"/>
  <c r="DZ11"/>
  <c r="CY45" s="1"/>
  <c r="EC11"/>
  <c r="DB45" s="1"/>
  <c r="EA11"/>
  <c r="CZ45" s="1"/>
  <c r="EB11"/>
  <c r="DA45" s="1"/>
  <c r="DW29"/>
  <c r="DU29"/>
  <c r="CW48"/>
  <c r="F98"/>
  <c r="G98" s="1"/>
  <c r="R49"/>
  <c r="T50"/>
  <c r="S46"/>
  <c r="U47"/>
  <c r="J88"/>
  <c r="I86"/>
  <c r="F86"/>
  <c r="G88"/>
  <c r="AG49"/>
  <c r="AG50" s="1"/>
  <c r="AH46"/>
  <c r="AH47" s="1"/>
  <c r="I98"/>
  <c r="J98" s="1"/>
  <c r="M97"/>
  <c r="L98"/>
  <c r="DM32"/>
  <c r="L86"/>
  <c r="M87" s="1"/>
  <c r="G97"/>
  <c r="AF50"/>
  <c r="AG47"/>
  <c r="J97"/>
  <c r="H10" i="39" l="1"/>
  <c r="M115" i="37"/>
  <c r="H63" i="39" s="1"/>
  <c r="H64" s="1"/>
  <c r="N97" i="37"/>
  <c r="N96" s="1"/>
  <c r="O96" s="1"/>
  <c r="P96" s="1"/>
  <c r="Q96" s="1"/>
  <c r="R96" s="1"/>
  <c r="S96" s="1"/>
  <c r="T96" s="1"/>
  <c r="X37" i="35"/>
  <c r="X36" s="1"/>
  <c r="X38" i="26"/>
  <c r="X37" s="1"/>
  <c r="N61" i="33"/>
  <c r="N55"/>
  <c r="N57" s="1"/>
  <c r="M74"/>
  <c r="M76" s="1"/>
  <c r="M78" s="1"/>
  <c r="H12" i="39" s="1"/>
  <c r="N18" i="37"/>
  <c r="N115" s="1"/>
  <c r="I63" i="39" s="1"/>
  <c r="I64" s="1"/>
  <c r="I55"/>
  <c r="N53" i="33"/>
  <c r="M79"/>
  <c r="M72"/>
  <c r="N71"/>
  <c r="M86"/>
  <c r="O52"/>
  <c r="M60"/>
  <c r="L62"/>
  <c r="L63" s="1"/>
  <c r="N80"/>
  <c r="O68"/>
  <c r="N69"/>
  <c r="O61"/>
  <c r="P49"/>
  <c r="O50"/>
  <c r="L108"/>
  <c r="L110" s="1"/>
  <c r="F19" i="39"/>
  <c r="K23" i="37"/>
  <c r="K145"/>
  <c r="F83" i="39" s="1"/>
  <c r="K122" i="37"/>
  <c r="L120"/>
  <c r="G67" i="39" s="1"/>
  <c r="K26" i="37"/>
  <c r="K27" s="1"/>
  <c r="M79"/>
  <c r="L21"/>
  <c r="G58" i="39" s="1"/>
  <c r="K22" i="37"/>
  <c r="F59" i="39" s="1"/>
  <c r="M94" i="37"/>
  <c r="M54"/>
  <c r="N98"/>
  <c r="N100"/>
  <c r="N89"/>
  <c r="N92"/>
  <c r="L14"/>
  <c r="M72"/>
  <c r="M13"/>
  <c r="M87"/>
  <c r="M67"/>
  <c r="N52"/>
  <c r="N49" s="1"/>
  <c r="N50" s="1"/>
  <c r="N65"/>
  <c r="N62"/>
  <c r="N76"/>
  <c r="N73"/>
  <c r="N70"/>
  <c r="L55"/>
  <c r="L80" s="1"/>
  <c r="N11"/>
  <c r="N15"/>
  <c r="N16" s="1"/>
  <c r="N9"/>
  <c r="I56" i="39" s="1"/>
  <c r="O8" i="37"/>
  <c r="K204" i="33"/>
  <c r="M111"/>
  <c r="M112"/>
  <c r="M95"/>
  <c r="M96"/>
  <c r="K152"/>
  <c r="F21" i="39" s="1"/>
  <c r="F22" s="1"/>
  <c r="H108" i="35"/>
  <c r="H101"/>
  <c r="I95" s="1"/>
  <c r="I97" s="1"/>
  <c r="I98" s="1"/>
  <c r="I102" s="1"/>
  <c r="X44"/>
  <c r="X45" s="1"/>
  <c r="X46" s="1"/>
  <c r="X45" i="26"/>
  <c r="X46" s="1"/>
  <c r="X47" s="1"/>
  <c r="H78" i="35"/>
  <c r="M182" i="33"/>
  <c r="M183" s="1"/>
  <c r="M163" s="1"/>
  <c r="K140"/>
  <c r="K231" s="1"/>
  <c r="N133"/>
  <c r="N146" s="1"/>
  <c r="L138"/>
  <c r="L139" s="1"/>
  <c r="I132" i="35"/>
  <c r="I138"/>
  <c r="H71"/>
  <c r="I65" s="1"/>
  <c r="I67" s="1"/>
  <c r="I68" s="1"/>
  <c r="I72" s="1"/>
  <c r="I131"/>
  <c r="J125" s="1"/>
  <c r="L136" i="33"/>
  <c r="L137" s="1"/>
  <c r="M110"/>
  <c r="H16" i="39" s="1"/>
  <c r="M134" i="33"/>
  <c r="M135" s="1"/>
  <c r="M147"/>
  <c r="M149"/>
  <c r="M151" s="1"/>
  <c r="Q156"/>
  <c r="Q154" s="1"/>
  <c r="P157"/>
  <c r="BP122" i="26"/>
  <c r="BP130" s="1"/>
  <c r="BP113"/>
  <c r="G189"/>
  <c r="G193" s="1"/>
  <c r="I191"/>
  <c r="I195" s="1"/>
  <c r="J197"/>
  <c r="G158"/>
  <c r="G159" s="1"/>
  <c r="BQ112"/>
  <c r="BP127"/>
  <c r="BP138"/>
  <c r="BP136"/>
  <c r="BP137" s="1"/>
  <c r="AB90"/>
  <c r="O100" i="33"/>
  <c r="N103"/>
  <c r="N101"/>
  <c r="P275"/>
  <c r="O276"/>
  <c r="O307"/>
  <c r="M88"/>
  <c r="M90"/>
  <c r="M92" s="1"/>
  <c r="M104"/>
  <c r="M106"/>
  <c r="M108" s="1"/>
  <c r="N85"/>
  <c r="O84"/>
  <c r="N87"/>
  <c r="DN32" i="12"/>
  <c r="EB17"/>
  <c r="EA17" s="1"/>
  <c r="EH18"/>
  <c r="EG18" s="1"/>
  <c r="EH16"/>
  <c r="EG16" s="1"/>
  <c r="EH19"/>
  <c r="EG19" s="1"/>
  <c r="EH17"/>
  <c r="EG17" s="1"/>
  <c r="EH15"/>
  <c r="EG15" s="1"/>
  <c r="CZ48"/>
  <c r="DA48"/>
  <c r="DU19"/>
  <c r="DU17"/>
  <c r="DU16"/>
  <c r="EA19"/>
  <c r="DU18"/>
  <c r="DU15"/>
  <c r="EA16"/>
  <c r="EA18"/>
  <c r="EA15"/>
  <c r="B75"/>
  <c r="DT32"/>
  <c r="DQ32" s="1"/>
  <c r="DL32"/>
  <c r="DZ20"/>
  <c r="EA20" s="1"/>
  <c r="EB20" s="1"/>
  <c r="EC20" s="1"/>
  <c r="CZ58"/>
  <c r="DA58"/>
  <c r="EF28"/>
  <c r="EH28"/>
  <c r="EG24"/>
  <c r="EF24"/>
  <c r="EE24"/>
  <c r="EH24"/>
  <c r="EE11"/>
  <c r="DC45" s="1"/>
  <c r="EH11"/>
  <c r="DF45" s="1"/>
  <c r="EF11"/>
  <c r="DD45" s="1"/>
  <c r="EG11"/>
  <c r="DE45" s="1"/>
  <c r="EE34"/>
  <c r="EH34"/>
  <c r="EG34"/>
  <c r="EF34"/>
  <c r="EE31"/>
  <c r="EF31"/>
  <c r="EH31"/>
  <c r="EG31"/>
  <c r="EG21"/>
  <c r="EE21"/>
  <c r="EF21"/>
  <c r="EH21"/>
  <c r="EJ5"/>
  <c r="EL5"/>
  <c r="EO7"/>
  <c r="EP7" s="1"/>
  <c r="EQ7" s="1"/>
  <c r="ER7" s="1"/>
  <c r="EK5"/>
  <c r="EM5"/>
  <c r="ES5"/>
  <c r="EN21"/>
  <c r="EB28"/>
  <c r="EB29"/>
  <c r="EE25"/>
  <c r="EH25"/>
  <c r="EG25"/>
  <c r="EF25"/>
  <c r="EI8"/>
  <c r="EE33"/>
  <c r="EH33"/>
  <c r="EG33"/>
  <c r="EF33"/>
  <c r="EH29"/>
  <c r="EF29"/>
  <c r="EE12"/>
  <c r="EH12"/>
  <c r="EG12"/>
  <c r="EF12"/>
  <c r="CY48"/>
  <c r="DB48"/>
  <c r="DV7"/>
  <c r="DW7" s="1"/>
  <c r="DX7" s="1"/>
  <c r="DZ7" s="1"/>
  <c r="EA7" s="1"/>
  <c r="EB7" s="1"/>
  <c r="EC7" s="1"/>
  <c r="M98"/>
  <c r="L99"/>
  <c r="AI46"/>
  <c r="AI47" s="1"/>
  <c r="AH49"/>
  <c r="G87"/>
  <c r="F85"/>
  <c r="I85"/>
  <c r="J87"/>
  <c r="L85"/>
  <c r="M86" s="1"/>
  <c r="I99"/>
  <c r="J99" s="1"/>
  <c r="T47"/>
  <c r="R46"/>
  <c r="S50"/>
  <c r="Q49"/>
  <c r="F99"/>
  <c r="G99" s="1"/>
  <c r="I10" i="39" l="1"/>
  <c r="N19" i="37"/>
  <c r="F20" i="39"/>
  <c r="Y37" i="35"/>
  <c r="Y36" s="1"/>
  <c r="Y38" i="26"/>
  <c r="Y37" s="1"/>
  <c r="O55" i="33"/>
  <c r="O57" s="1"/>
  <c r="N74"/>
  <c r="N76" s="1"/>
  <c r="N78" s="1"/>
  <c r="I12" i="39" s="1"/>
  <c r="O18" i="37"/>
  <c r="O115" s="1"/>
  <c r="J63" i="39" s="1"/>
  <c r="J64" s="1"/>
  <c r="J55"/>
  <c r="N79" i="33"/>
  <c r="O53"/>
  <c r="N72"/>
  <c r="O71"/>
  <c r="O72" s="1"/>
  <c r="M62"/>
  <c r="M63" s="1"/>
  <c r="N60"/>
  <c r="N86"/>
  <c r="P52"/>
  <c r="P68"/>
  <c r="O69"/>
  <c r="Q49"/>
  <c r="P50"/>
  <c r="K153"/>
  <c r="G16" i="39"/>
  <c r="G19" s="1"/>
  <c r="L140" i="33"/>
  <c r="L231" s="1"/>
  <c r="G22" i="39"/>
  <c r="L23" i="37"/>
  <c r="L26"/>
  <c r="L27" s="1"/>
  <c r="L78"/>
  <c r="L121"/>
  <c r="M120"/>
  <c r="H67" i="39" s="1"/>
  <c r="N79" i="37"/>
  <c r="M14"/>
  <c r="M21"/>
  <c r="H58" i="39" s="1"/>
  <c r="L22" i="37"/>
  <c r="G59" i="39" s="1"/>
  <c r="M26" i="37"/>
  <c r="M27" s="1"/>
  <c r="N94"/>
  <c r="O98"/>
  <c r="O100"/>
  <c r="N72"/>
  <c r="O92"/>
  <c r="O89"/>
  <c r="O52"/>
  <c r="O49" s="1"/>
  <c r="O50" s="1"/>
  <c r="O24" s="1"/>
  <c r="O114" s="1"/>
  <c r="J62" i="39" s="1"/>
  <c r="O65" i="37"/>
  <c r="O62"/>
  <c r="O76"/>
  <c r="O73"/>
  <c r="O70"/>
  <c r="N13"/>
  <c r="N21" s="1"/>
  <c r="I58" i="39" s="1"/>
  <c r="N87" i="37"/>
  <c r="N67"/>
  <c r="N24"/>
  <c r="N114" s="1"/>
  <c r="I62" i="39" s="1"/>
  <c r="N54" i="37"/>
  <c r="M55"/>
  <c r="M80" s="1"/>
  <c r="M121" s="1"/>
  <c r="H68" i="39" s="1"/>
  <c r="O11" i="37"/>
  <c r="O15"/>
  <c r="O16" s="1"/>
  <c r="O9"/>
  <c r="J56" i="39" s="1"/>
  <c r="P8" i="37"/>
  <c r="K161" i="33"/>
  <c r="K165" s="1"/>
  <c r="K160"/>
  <c r="K158"/>
  <c r="L204"/>
  <c r="N95"/>
  <c r="N96"/>
  <c r="N111"/>
  <c r="N112"/>
  <c r="N142" s="1"/>
  <c r="N152" s="1"/>
  <c r="I21" i="39" s="1"/>
  <c r="M142" i="33"/>
  <c r="M152" s="1"/>
  <c r="H21" i="39" s="1"/>
  <c r="H22" s="1"/>
  <c r="K198" i="33"/>
  <c r="Y44" i="35"/>
  <c r="Y45" s="1"/>
  <c r="Y46" s="1"/>
  <c r="Y45" i="26"/>
  <c r="Y46" s="1"/>
  <c r="Y47" s="1"/>
  <c r="M187" i="33"/>
  <c r="N182" s="1"/>
  <c r="N183" s="1"/>
  <c r="N163" s="1"/>
  <c r="M94"/>
  <c r="L153"/>
  <c r="L158"/>
  <c r="L161"/>
  <c r="L165" s="1"/>
  <c r="L160"/>
  <c r="N185"/>
  <c r="N147"/>
  <c r="M136"/>
  <c r="M137" s="1"/>
  <c r="M138"/>
  <c r="M139" s="1"/>
  <c r="I101" i="35"/>
  <c r="J95" s="1"/>
  <c r="J127"/>
  <c r="I71"/>
  <c r="J65" s="1"/>
  <c r="I78"/>
  <c r="I108"/>
  <c r="O133" i="33"/>
  <c r="O146" s="1"/>
  <c r="O185" s="1"/>
  <c r="N110"/>
  <c r="I16" i="39" s="1"/>
  <c r="N134" i="33"/>
  <c r="N135" s="1"/>
  <c r="N149"/>
  <c r="N151" s="1"/>
  <c r="R156"/>
  <c r="R154" s="1"/>
  <c r="Q157"/>
  <c r="BQ113" i="26"/>
  <c r="BQ122"/>
  <c r="BQ130" s="1"/>
  <c r="G162"/>
  <c r="H156" s="1"/>
  <c r="G163"/>
  <c r="G192"/>
  <c r="H186" s="1"/>
  <c r="J191"/>
  <c r="J195" s="1"/>
  <c r="K197"/>
  <c r="G169"/>
  <c r="H188"/>
  <c r="H189" s="1"/>
  <c r="H193" s="1"/>
  <c r="G199"/>
  <c r="BR112"/>
  <c r="BQ127"/>
  <c r="BQ138"/>
  <c r="BQ136"/>
  <c r="BQ137" s="1"/>
  <c r="P84" i="33"/>
  <c r="O85"/>
  <c r="O87"/>
  <c r="N104"/>
  <c r="N106"/>
  <c r="N108" s="1"/>
  <c r="AC90" i="26"/>
  <c r="N88" i="33"/>
  <c r="N90"/>
  <c r="N92" s="1"/>
  <c r="P276"/>
  <c r="Q275"/>
  <c r="P307"/>
  <c r="O101"/>
  <c r="O103"/>
  <c r="P100"/>
  <c r="AH50" i="12"/>
  <c r="DE48"/>
  <c r="DF48"/>
  <c r="DZ15"/>
  <c r="DZ18"/>
  <c r="DZ16"/>
  <c r="DZ19"/>
  <c r="DZ17"/>
  <c r="EF15"/>
  <c r="EF16"/>
  <c r="EF17"/>
  <c r="EF18"/>
  <c r="EF19"/>
  <c r="DP32"/>
  <c r="B76"/>
  <c r="DS32"/>
  <c r="DR32"/>
  <c r="DY32"/>
  <c r="DU32" s="1"/>
  <c r="DD58"/>
  <c r="DB58"/>
  <c r="DF58"/>
  <c r="DC58"/>
  <c r="DE58"/>
  <c r="DA55"/>
  <c r="E58"/>
  <c r="G58"/>
  <c r="I58"/>
  <c r="K58"/>
  <c r="M58"/>
  <c r="O58"/>
  <c r="Q58"/>
  <c r="S58"/>
  <c r="U58"/>
  <c r="W58"/>
  <c r="Y58"/>
  <c r="AB58"/>
  <c r="AF58"/>
  <c r="AH58"/>
  <c r="AM58"/>
  <c r="AO58"/>
  <c r="AR58"/>
  <c r="AV58"/>
  <c r="AX58"/>
  <c r="BC58"/>
  <c r="CI58"/>
  <c r="D58"/>
  <c r="F58"/>
  <c r="H58"/>
  <c r="J58"/>
  <c r="L58"/>
  <c r="N58"/>
  <c r="P58"/>
  <c r="R58"/>
  <c r="T58"/>
  <c r="V58"/>
  <c r="X58"/>
  <c r="Z58"/>
  <c r="AE58"/>
  <c r="AG58"/>
  <c r="AJ58"/>
  <c r="AN58"/>
  <c r="AP58"/>
  <c r="AU58"/>
  <c r="AW58"/>
  <c r="AZ58"/>
  <c r="BS58"/>
  <c r="AC58"/>
  <c r="BK58"/>
  <c r="AT58"/>
  <c r="AD58"/>
  <c r="CG58"/>
  <c r="BQ58"/>
  <c r="AY58"/>
  <c r="AQ58"/>
  <c r="AI58"/>
  <c r="AA58"/>
  <c r="CA58"/>
  <c r="AL58"/>
  <c r="BY58"/>
  <c r="BA58"/>
  <c r="AK58"/>
  <c r="BB58"/>
  <c r="BI58"/>
  <c r="AS58"/>
  <c r="CO58"/>
  <c r="CD58"/>
  <c r="CB58"/>
  <c r="BF58"/>
  <c r="CL58"/>
  <c r="CJ58"/>
  <c r="BM58"/>
  <c r="BO58"/>
  <c r="BH58"/>
  <c r="BX58"/>
  <c r="CN58"/>
  <c r="BU58"/>
  <c r="BG58"/>
  <c r="CM58"/>
  <c r="BJ58"/>
  <c r="BZ58"/>
  <c r="CP58"/>
  <c r="BN58"/>
  <c r="BT58"/>
  <c r="BV58"/>
  <c r="BD58"/>
  <c r="BL58"/>
  <c r="CC58"/>
  <c r="CE58"/>
  <c r="BP58"/>
  <c r="CF58"/>
  <c r="BE58"/>
  <c r="CK58"/>
  <c r="BW58"/>
  <c r="BR58"/>
  <c r="CH58"/>
  <c r="CS58"/>
  <c r="CT58"/>
  <c r="CR58"/>
  <c r="CV58"/>
  <c r="CX58"/>
  <c r="CQ58"/>
  <c r="CW58"/>
  <c r="CY58"/>
  <c r="CU58"/>
  <c r="EN8"/>
  <c r="EJ8" s="1"/>
  <c r="EE20"/>
  <c r="EF20" s="1"/>
  <c r="EG20" s="1"/>
  <c r="EH20" s="1"/>
  <c r="EE29"/>
  <c r="EE8"/>
  <c r="EE7" s="1"/>
  <c r="EF8"/>
  <c r="EH8"/>
  <c r="EG8"/>
  <c r="EJ34"/>
  <c r="EM34"/>
  <c r="EK34"/>
  <c r="EL34"/>
  <c r="EJ31"/>
  <c r="ES31"/>
  <c r="EK31"/>
  <c r="EM31"/>
  <c r="EL31"/>
  <c r="EK28"/>
  <c r="EJ28" s="1"/>
  <c r="EM28"/>
  <c r="ES28"/>
  <c r="EP5"/>
  <c r="ER5"/>
  <c r="EX5"/>
  <c r="ET7"/>
  <c r="EU7" s="1"/>
  <c r="EV7" s="1"/>
  <c r="EW7" s="1"/>
  <c r="EO5"/>
  <c r="EQ5"/>
  <c r="EJ24"/>
  <c r="DG58" s="1"/>
  <c r="ES24"/>
  <c r="EK24"/>
  <c r="DH58" s="1"/>
  <c r="EM24"/>
  <c r="DJ58" s="1"/>
  <c r="EL24"/>
  <c r="DI58" s="1"/>
  <c r="EM18"/>
  <c r="ES18"/>
  <c r="EM16"/>
  <c r="ES16"/>
  <c r="EJ12"/>
  <c r="EM12"/>
  <c r="ES12"/>
  <c r="EK12"/>
  <c r="EL12"/>
  <c r="EE28"/>
  <c r="DC48"/>
  <c r="EG29"/>
  <c r="EJ33"/>
  <c r="EM33"/>
  <c r="EL33"/>
  <c r="ES33"/>
  <c r="EK33"/>
  <c r="EM29"/>
  <c r="EK29"/>
  <c r="EJ29" s="1"/>
  <c r="ES29"/>
  <c r="EL21"/>
  <c r="EK21"/>
  <c r="ES21"/>
  <c r="EM21"/>
  <c r="EJ21"/>
  <c r="EL25"/>
  <c r="EK25"/>
  <c r="ES25"/>
  <c r="EM25"/>
  <c r="EJ25"/>
  <c r="ES19"/>
  <c r="EM19"/>
  <c r="ES17"/>
  <c r="EM17"/>
  <c r="ES15"/>
  <c r="EM15"/>
  <c r="EJ11"/>
  <c r="ES11"/>
  <c r="EK11"/>
  <c r="DH45" s="1"/>
  <c r="EL11"/>
  <c r="DI45" s="1"/>
  <c r="EM11"/>
  <c r="DJ45" s="1"/>
  <c r="EG28"/>
  <c r="DD48"/>
  <c r="F100"/>
  <c r="G100" s="1"/>
  <c r="P49"/>
  <c r="R50"/>
  <c r="Q46"/>
  <c r="S47"/>
  <c r="L84"/>
  <c r="M85" s="1"/>
  <c r="J86"/>
  <c r="I84"/>
  <c r="AI49"/>
  <c r="M99"/>
  <c r="L100"/>
  <c r="I100"/>
  <c r="J100" s="1"/>
  <c r="F84"/>
  <c r="G86"/>
  <c r="AJ46"/>
  <c r="AJ47" s="1"/>
  <c r="J10" i="39" l="1"/>
  <c r="G20"/>
  <c r="O19" i="37"/>
  <c r="Z38" i="26"/>
  <c r="Z37" s="1"/>
  <c r="P53" i="33"/>
  <c r="O79"/>
  <c r="P18" i="37"/>
  <c r="P115" s="1"/>
  <c r="K63" i="39" s="1"/>
  <c r="K64" s="1"/>
  <c r="K55"/>
  <c r="L122" i="37"/>
  <c r="G68" i="39"/>
  <c r="P55" i="33"/>
  <c r="P57" s="1"/>
  <c r="P61"/>
  <c r="O74"/>
  <c r="O76" s="1"/>
  <c r="O78" s="1"/>
  <c r="J12" i="39" s="1"/>
  <c r="O80" i="33"/>
  <c r="O86"/>
  <c r="Q52"/>
  <c r="P71"/>
  <c r="P72" s="1"/>
  <c r="O60"/>
  <c r="N62"/>
  <c r="N63" s="1"/>
  <c r="Q68"/>
  <c r="P69"/>
  <c r="R49"/>
  <c r="Q50"/>
  <c r="K162"/>
  <c r="L141"/>
  <c r="L198"/>
  <c r="M140"/>
  <c r="M231" s="1"/>
  <c r="H14" i="39"/>
  <c r="H19" s="1"/>
  <c r="I22"/>
  <c r="M23" i="37"/>
  <c r="M122"/>
  <c r="M78"/>
  <c r="N120"/>
  <c r="I67" i="39" s="1"/>
  <c r="O79" i="37"/>
  <c r="M22"/>
  <c r="H59" i="39" s="1"/>
  <c r="N14" i="37"/>
  <c r="N26"/>
  <c r="N27" s="1"/>
  <c r="N23"/>
  <c r="O94"/>
  <c r="P98"/>
  <c r="P100"/>
  <c r="P92"/>
  <c r="P89"/>
  <c r="O72"/>
  <c r="P52"/>
  <c r="P49" s="1"/>
  <c r="P50" s="1"/>
  <c r="P24" s="1"/>
  <c r="P114" s="1"/>
  <c r="K62" i="39" s="1"/>
  <c r="P65" i="37"/>
  <c r="P62"/>
  <c r="P76"/>
  <c r="P70"/>
  <c r="P73"/>
  <c r="P72" s="1"/>
  <c r="O13"/>
  <c r="O87"/>
  <c r="O67"/>
  <c r="O54"/>
  <c r="N55"/>
  <c r="N80" s="1"/>
  <c r="N121" s="1"/>
  <c r="I68" i="39" s="1"/>
  <c r="P11" i="37"/>
  <c r="N22"/>
  <c r="I59" i="39" s="1"/>
  <c r="P15" i="37"/>
  <c r="P16" s="1"/>
  <c r="P9"/>
  <c r="K56" i="39" s="1"/>
  <c r="Q8" i="37"/>
  <c r="M204" i="33"/>
  <c r="O111"/>
  <c r="O112"/>
  <c r="O95"/>
  <c r="O96"/>
  <c r="M205"/>
  <c r="N187"/>
  <c r="O182" s="1"/>
  <c r="O183" s="1"/>
  <c r="O163" s="1"/>
  <c r="J128" i="35"/>
  <c r="J132" s="1"/>
  <c r="L162" i="33"/>
  <c r="N94"/>
  <c r="M153"/>
  <c r="N138"/>
  <c r="N139" s="1"/>
  <c r="J67" i="35"/>
  <c r="J68" s="1"/>
  <c r="J72" s="1"/>
  <c r="J97"/>
  <c r="J98" s="1"/>
  <c r="P133" i="33"/>
  <c r="P146" s="1"/>
  <c r="N136"/>
  <c r="N137" s="1"/>
  <c r="O110"/>
  <c r="J16" i="39" s="1"/>
  <c r="O134" i="33"/>
  <c r="O135" s="1"/>
  <c r="M160"/>
  <c r="M161"/>
  <c r="O147"/>
  <c r="O149"/>
  <c r="O151" s="1"/>
  <c r="S156"/>
  <c r="S154" s="1"/>
  <c r="R157"/>
  <c r="M158"/>
  <c r="H158" i="26"/>
  <c r="H159" s="1"/>
  <c r="H163" s="1"/>
  <c r="H199"/>
  <c r="BR122"/>
  <c r="BR130" s="1"/>
  <c r="BR113"/>
  <c r="H192"/>
  <c r="I186" s="1"/>
  <c r="K191"/>
  <c r="K195" s="1"/>
  <c r="L197"/>
  <c r="BS112"/>
  <c r="BR127"/>
  <c r="BR138"/>
  <c r="BR136"/>
  <c r="BR137" s="1"/>
  <c r="O88" i="33"/>
  <c r="O90"/>
  <c r="O92" s="1"/>
  <c r="P101"/>
  <c r="Q100"/>
  <c r="P103"/>
  <c r="O104"/>
  <c r="O106"/>
  <c r="O108" s="1"/>
  <c r="R275"/>
  <c r="Q276"/>
  <c r="Q307"/>
  <c r="K279"/>
  <c r="Q84"/>
  <c r="P85"/>
  <c r="P87"/>
  <c r="DW32" i="12"/>
  <c r="EL15"/>
  <c r="EL17"/>
  <c r="EL19"/>
  <c r="DI48"/>
  <c r="DG48"/>
  <c r="EL16"/>
  <c r="EL18"/>
  <c r="EE19"/>
  <c r="EE18"/>
  <c r="EE17"/>
  <c r="EE16"/>
  <c r="EE15"/>
  <c r="DX32"/>
  <c r="EM8"/>
  <c r="ED32"/>
  <c r="EA32" s="1"/>
  <c r="DV32"/>
  <c r="B77"/>
  <c r="DE55"/>
  <c r="DD55"/>
  <c r="DJ55"/>
  <c r="EL8"/>
  <c r="EK8"/>
  <c r="DH55"/>
  <c r="DF55"/>
  <c r="DG57" s="1"/>
  <c r="ES8"/>
  <c r="EO8" s="1"/>
  <c r="DC55"/>
  <c r="DG55"/>
  <c r="EF7"/>
  <c r="EG7" s="1"/>
  <c r="EH7" s="1"/>
  <c r="EJ7" s="1"/>
  <c r="DJ48"/>
  <c r="EJ20"/>
  <c r="EK20" s="1"/>
  <c r="EL20" s="1"/>
  <c r="EM20" s="1"/>
  <c r="DH48"/>
  <c r="DE56"/>
  <c r="C55"/>
  <c r="E55"/>
  <c r="G55"/>
  <c r="I55"/>
  <c r="K55"/>
  <c r="M55"/>
  <c r="O55"/>
  <c r="Q55"/>
  <c r="S55"/>
  <c r="U55"/>
  <c r="W55"/>
  <c r="Y55"/>
  <c r="AA55"/>
  <c r="AC55"/>
  <c r="AE55"/>
  <c r="AG55"/>
  <c r="AI55"/>
  <c r="AK55"/>
  <c r="AM55"/>
  <c r="AQ55"/>
  <c r="AS55"/>
  <c r="AU55"/>
  <c r="AY55"/>
  <c r="BA55"/>
  <c r="D55"/>
  <c r="F55"/>
  <c r="H55"/>
  <c r="J55"/>
  <c r="L55"/>
  <c r="N55"/>
  <c r="P55"/>
  <c r="R55"/>
  <c r="T55"/>
  <c r="V55"/>
  <c r="X55"/>
  <c r="Z55"/>
  <c r="AB55"/>
  <c r="AD55"/>
  <c r="AF55"/>
  <c r="AH55"/>
  <c r="AJ55"/>
  <c r="AL55"/>
  <c r="AO55"/>
  <c r="AR55"/>
  <c r="AT55"/>
  <c r="AW55"/>
  <c r="AZ55"/>
  <c r="BB55"/>
  <c r="AX55"/>
  <c r="AP55"/>
  <c r="BM55"/>
  <c r="BH55"/>
  <c r="BS55"/>
  <c r="BC55"/>
  <c r="CL55"/>
  <c r="CD55"/>
  <c r="BV55"/>
  <c r="BN55"/>
  <c r="BF55"/>
  <c r="AN55"/>
  <c r="CK55"/>
  <c r="BX55"/>
  <c r="BP55"/>
  <c r="BK55"/>
  <c r="CJ55"/>
  <c r="BT55"/>
  <c r="BD55"/>
  <c r="AV55"/>
  <c r="CA55"/>
  <c r="BL55"/>
  <c r="CF55"/>
  <c r="CB55"/>
  <c r="CC55"/>
  <c r="BR55"/>
  <c r="CH55"/>
  <c r="BG55"/>
  <c r="CM55"/>
  <c r="BJ55"/>
  <c r="BZ55"/>
  <c r="CP55"/>
  <c r="CN55"/>
  <c r="CI55"/>
  <c r="BE55"/>
  <c r="BW55"/>
  <c r="BO55"/>
  <c r="CE55"/>
  <c r="BU55"/>
  <c r="BI55"/>
  <c r="BY55"/>
  <c r="CG55"/>
  <c r="CQ55"/>
  <c r="CO55"/>
  <c r="BQ55"/>
  <c r="CT55"/>
  <c r="CR55"/>
  <c r="CS55"/>
  <c r="CX55"/>
  <c r="CV55"/>
  <c r="CU55"/>
  <c r="CW55"/>
  <c r="CY55"/>
  <c r="CZ55"/>
  <c r="DB55"/>
  <c r="DG56"/>
  <c r="ER11"/>
  <c r="DN45" s="1"/>
  <c r="EO11"/>
  <c r="DK45" s="1"/>
  <c r="EP11"/>
  <c r="DL45" s="1"/>
  <c r="EX11"/>
  <c r="EQ11"/>
  <c r="DM45" s="1"/>
  <c r="ER17"/>
  <c r="EQ17" s="1"/>
  <c r="EP17" s="1"/>
  <c r="EO17" s="1"/>
  <c r="EX17"/>
  <c r="ER19"/>
  <c r="EQ19" s="1"/>
  <c r="EP19" s="1"/>
  <c r="EO19" s="1"/>
  <c r="EX19"/>
  <c r="EO21"/>
  <c r="ER21"/>
  <c r="EX21"/>
  <c r="EQ21"/>
  <c r="EP21"/>
  <c r="EX16"/>
  <c r="ER16"/>
  <c r="EQ16" s="1"/>
  <c r="EP16" s="1"/>
  <c r="EO16" s="1"/>
  <c r="EX18"/>
  <c r="ER18"/>
  <c r="EQ18" s="1"/>
  <c r="EP18" s="1"/>
  <c r="EO18" s="1"/>
  <c r="ET5"/>
  <c r="EV5"/>
  <c r="EU5"/>
  <c r="EW5"/>
  <c r="FC5"/>
  <c r="EY7"/>
  <c r="EZ7" s="1"/>
  <c r="FA7" s="1"/>
  <c r="FB7" s="1"/>
  <c r="EO34"/>
  <c r="EX34"/>
  <c r="EP34"/>
  <c r="ER34"/>
  <c r="EQ34"/>
  <c r="EL28"/>
  <c r="DI55" s="1"/>
  <c r="ER15"/>
  <c r="EQ15" s="1"/>
  <c r="EP15" s="1"/>
  <c r="EO15" s="1"/>
  <c r="EX15"/>
  <c r="EQ25"/>
  <c r="EX25"/>
  <c r="EO25"/>
  <c r="ER25"/>
  <c r="EP25"/>
  <c r="ER29"/>
  <c r="EP29"/>
  <c r="EX29"/>
  <c r="EL29"/>
  <c r="EP33"/>
  <c r="EX33"/>
  <c r="EQ33"/>
  <c r="ER33"/>
  <c r="EO33"/>
  <c r="EQ12"/>
  <c r="EP12"/>
  <c r="DL48" s="1"/>
  <c r="EX12"/>
  <c r="EO12"/>
  <c r="DK48" s="1"/>
  <c r="ER12"/>
  <c r="DN48" s="1"/>
  <c r="ER24"/>
  <c r="DN58" s="1"/>
  <c r="EP24"/>
  <c r="DL58" s="1"/>
  <c r="EX24"/>
  <c r="EO24"/>
  <c r="DK58" s="1"/>
  <c r="EQ24"/>
  <c r="DM58" s="1"/>
  <c r="EP28"/>
  <c r="EX28"/>
  <c r="ER28"/>
  <c r="EQ28" s="1"/>
  <c r="DM55" s="1"/>
  <c r="ER31"/>
  <c r="EQ31"/>
  <c r="EP31"/>
  <c r="EX31"/>
  <c r="EO31"/>
  <c r="DG45"/>
  <c r="AJ49"/>
  <c r="I83"/>
  <c r="J85"/>
  <c r="R47"/>
  <c r="P46"/>
  <c r="Q50"/>
  <c r="O49"/>
  <c r="F101"/>
  <c r="G101" s="1"/>
  <c r="AK46"/>
  <c r="AK47" s="1"/>
  <c r="G85"/>
  <c r="F83"/>
  <c r="I101"/>
  <c r="M100"/>
  <c r="L101"/>
  <c r="L83"/>
  <c r="AI50"/>
  <c r="K10" i="39" l="1"/>
  <c r="P80" i="33"/>
  <c r="P19" i="37"/>
  <c r="H20" i="39"/>
  <c r="AA38" i="26"/>
  <c r="AA37" s="1"/>
  <c r="Q18" i="37"/>
  <c r="Q19" s="1"/>
  <c r="L55" i="39"/>
  <c r="H162" i="26"/>
  <c r="I156" s="1"/>
  <c r="Q53" i="33"/>
  <c r="P74"/>
  <c r="P76" s="1"/>
  <c r="P78" s="1"/>
  <c r="K12" i="39" s="1"/>
  <c r="Q55" i="33"/>
  <c r="Q57" s="1"/>
  <c r="Q61"/>
  <c r="P86"/>
  <c r="R52"/>
  <c r="O62"/>
  <c r="O63" s="1"/>
  <c r="P60"/>
  <c r="P79"/>
  <c r="Q71"/>
  <c r="Q72" s="1"/>
  <c r="Q80"/>
  <c r="R68"/>
  <c r="Q69"/>
  <c r="S49"/>
  <c r="R50"/>
  <c r="N205"/>
  <c r="N140"/>
  <c r="N231" s="1"/>
  <c r="I14" i="39"/>
  <c r="I19" s="1"/>
  <c r="M141" i="33"/>
  <c r="M198"/>
  <c r="N78" i="37"/>
  <c r="N122"/>
  <c r="O120"/>
  <c r="J67" i="39" s="1"/>
  <c r="P79" i="37"/>
  <c r="O14"/>
  <c r="O21"/>
  <c r="J58" i="39" s="1"/>
  <c r="P94" i="37"/>
  <c r="O26"/>
  <c r="O27" s="1"/>
  <c r="Q98"/>
  <c r="Q100"/>
  <c r="Q92"/>
  <c r="Q89"/>
  <c r="Q52"/>
  <c r="Q49" s="1"/>
  <c r="Q50" s="1"/>
  <c r="Q24" s="1"/>
  <c r="Q114" s="1"/>
  <c r="L62" i="39" s="1"/>
  <c r="Q65" i="37"/>
  <c r="Q62"/>
  <c r="Q76"/>
  <c r="Q73"/>
  <c r="Q70"/>
  <c r="P13"/>
  <c r="P87"/>
  <c r="P67"/>
  <c r="P54"/>
  <c r="O55"/>
  <c r="O80" s="1"/>
  <c r="Q11"/>
  <c r="Q13" s="1"/>
  <c r="Q15"/>
  <c r="Q16" s="1"/>
  <c r="Q9"/>
  <c r="L56" i="39" s="1"/>
  <c r="R8" i="37"/>
  <c r="N204" i="33"/>
  <c r="P95"/>
  <c r="P96"/>
  <c r="P111"/>
  <c r="P112"/>
  <c r="P142" s="1"/>
  <c r="P152" s="1"/>
  <c r="K21" i="39" s="1"/>
  <c r="O142" i="33"/>
  <c r="O152" s="1"/>
  <c r="O187"/>
  <c r="P182" s="1"/>
  <c r="P183" s="1"/>
  <c r="P163" s="1"/>
  <c r="N198"/>
  <c r="DJ54" i="12"/>
  <c r="J131" i="35"/>
  <c r="K125" s="1"/>
  <c r="J102"/>
  <c r="J108"/>
  <c r="J138"/>
  <c r="J78"/>
  <c r="O138" i="33"/>
  <c r="O139" s="1"/>
  <c r="N141"/>
  <c r="O94"/>
  <c r="J14" i="39" s="1"/>
  <c r="J19" s="1"/>
  <c r="N153" i="33"/>
  <c r="N158"/>
  <c r="N161"/>
  <c r="N162" s="1"/>
  <c r="N160"/>
  <c r="J101" i="35"/>
  <c r="K95" s="1"/>
  <c r="J71"/>
  <c r="K65" s="1"/>
  <c r="P185" i="33"/>
  <c r="P149"/>
  <c r="P151" s="1"/>
  <c r="P147"/>
  <c r="Q133"/>
  <c r="Q146" s="1"/>
  <c r="Q185" s="1"/>
  <c r="O136"/>
  <c r="O137" s="1"/>
  <c r="P110"/>
  <c r="K16" i="39" s="1"/>
  <c r="P134" i="33"/>
  <c r="P135" s="1"/>
  <c r="M162"/>
  <c r="M165"/>
  <c r="H169" i="26"/>
  <c r="T156" i="33"/>
  <c r="T154" s="1"/>
  <c r="S157"/>
  <c r="DE57" i="12"/>
  <c r="I158" i="26"/>
  <c r="I159" s="1"/>
  <c r="I163" s="1"/>
  <c r="BS122"/>
  <c r="BS130" s="1"/>
  <c r="BS113"/>
  <c r="L191"/>
  <c r="M197"/>
  <c r="I188"/>
  <c r="I189" s="1"/>
  <c r="I193" s="1"/>
  <c r="BT112"/>
  <c r="BS127"/>
  <c r="BS138"/>
  <c r="BS136"/>
  <c r="BS137" s="1"/>
  <c r="P88" i="33"/>
  <c r="P90"/>
  <c r="P92" s="1"/>
  <c r="P104"/>
  <c r="P106"/>
  <c r="P108" s="1"/>
  <c r="R84"/>
  <c r="Q85"/>
  <c r="Q87"/>
  <c r="R276"/>
  <c r="S275"/>
  <c r="R307"/>
  <c r="R100"/>
  <c r="Q101"/>
  <c r="Q103"/>
  <c r="AJ50" i="12"/>
  <c r="EK18"/>
  <c r="EK16"/>
  <c r="EK19"/>
  <c r="EK17"/>
  <c r="EK15"/>
  <c r="DZ32"/>
  <c r="DF57"/>
  <c r="EC32"/>
  <c r="DE54"/>
  <c r="DF54"/>
  <c r="EB32"/>
  <c r="EI32"/>
  <c r="EG32" s="1"/>
  <c r="EQ8"/>
  <c r="B78"/>
  <c r="DD54"/>
  <c r="DJ56"/>
  <c r="DC54"/>
  <c r="EK7"/>
  <c r="EL7" s="1"/>
  <c r="EM7" s="1"/>
  <c r="DH57"/>
  <c r="DD57"/>
  <c r="EP8"/>
  <c r="DG54"/>
  <c r="DH54"/>
  <c r="DC57"/>
  <c r="ER8"/>
  <c r="EX8"/>
  <c r="FC8" s="1"/>
  <c r="DJ57"/>
  <c r="CI54"/>
  <c r="DA57"/>
  <c r="CZ54"/>
  <c r="DA54"/>
  <c r="CZ57"/>
  <c r="CW54"/>
  <c r="CW57"/>
  <c r="CV54"/>
  <c r="CV57"/>
  <c r="CS54"/>
  <c r="CS57"/>
  <c r="CT54"/>
  <c r="CT57"/>
  <c r="CO57"/>
  <c r="CO54"/>
  <c r="CG57"/>
  <c r="CG54"/>
  <c r="BJ57"/>
  <c r="BI57"/>
  <c r="BI54"/>
  <c r="CF57"/>
  <c r="CE54"/>
  <c r="CE57"/>
  <c r="BX54"/>
  <c r="BW54"/>
  <c r="BW57"/>
  <c r="CP54"/>
  <c r="CP57"/>
  <c r="BK57"/>
  <c r="BJ54"/>
  <c r="BG54"/>
  <c r="BG57"/>
  <c r="BR57"/>
  <c r="BR54"/>
  <c r="CB57"/>
  <c r="CB54"/>
  <c r="BL57"/>
  <c r="BL54"/>
  <c r="AV54"/>
  <c r="AV57"/>
  <c r="BT57"/>
  <c r="BT54"/>
  <c r="AN57"/>
  <c r="AN54"/>
  <c r="BN57"/>
  <c r="BN54"/>
  <c r="CD57"/>
  <c r="CD54"/>
  <c r="BC54"/>
  <c r="BC57"/>
  <c r="BH57"/>
  <c r="BH54"/>
  <c r="AP57"/>
  <c r="AP54"/>
  <c r="BB54"/>
  <c r="BB57"/>
  <c r="AW54"/>
  <c r="AW57"/>
  <c r="AR57"/>
  <c r="AR54"/>
  <c r="AL54"/>
  <c r="AL57"/>
  <c r="AH54"/>
  <c r="AH57"/>
  <c r="AD54"/>
  <c r="AD57"/>
  <c r="Z54"/>
  <c r="Z57"/>
  <c r="V54"/>
  <c r="V57"/>
  <c r="R54"/>
  <c r="R57"/>
  <c r="N54"/>
  <c r="N57"/>
  <c r="J54"/>
  <c r="J57"/>
  <c r="F54"/>
  <c r="F57"/>
  <c r="BA54"/>
  <c r="BA57"/>
  <c r="AU54"/>
  <c r="AU57"/>
  <c r="AQ57"/>
  <c r="AQ54"/>
  <c r="AK54"/>
  <c r="AK57"/>
  <c r="AG54"/>
  <c r="AG57"/>
  <c r="AC54"/>
  <c r="AC57"/>
  <c r="Y57"/>
  <c r="Y54"/>
  <c r="U54"/>
  <c r="U57"/>
  <c r="Q57"/>
  <c r="Q54"/>
  <c r="M54"/>
  <c r="M57"/>
  <c r="I57"/>
  <c r="I54"/>
  <c r="E54"/>
  <c r="E57"/>
  <c r="DM60"/>
  <c r="C56"/>
  <c r="E56"/>
  <c r="G56"/>
  <c r="I56"/>
  <c r="K56"/>
  <c r="M56"/>
  <c r="O56"/>
  <c r="Q56"/>
  <c r="S56"/>
  <c r="U56"/>
  <c r="W56"/>
  <c r="Y56"/>
  <c r="AA56"/>
  <c r="AC56"/>
  <c r="AE56"/>
  <c r="AG56"/>
  <c r="AJ56"/>
  <c r="AP56"/>
  <c r="AT56"/>
  <c r="BB56"/>
  <c r="D56"/>
  <c r="F56"/>
  <c r="H56"/>
  <c r="J56"/>
  <c r="L56"/>
  <c r="N56"/>
  <c r="P56"/>
  <c r="R56"/>
  <c r="T56"/>
  <c r="V56"/>
  <c r="X56"/>
  <c r="Z56"/>
  <c r="AB56"/>
  <c r="AD56"/>
  <c r="AF56"/>
  <c r="AH56"/>
  <c r="AL56"/>
  <c r="AR56"/>
  <c r="AZ56"/>
  <c r="AW56"/>
  <c r="AO56"/>
  <c r="AY56"/>
  <c r="AS56"/>
  <c r="AN56"/>
  <c r="AI56"/>
  <c r="BZ56"/>
  <c r="BJ56"/>
  <c r="AX56"/>
  <c r="AU56"/>
  <c r="BA56"/>
  <c r="AQ56"/>
  <c r="CH56"/>
  <c r="AM56"/>
  <c r="AV56"/>
  <c r="AK56"/>
  <c r="BR56"/>
  <c r="CB56"/>
  <c r="BL56"/>
  <c r="BT56"/>
  <c r="CP56"/>
  <c r="BQ56"/>
  <c r="BX56"/>
  <c r="BP56"/>
  <c r="BF56"/>
  <c r="BV56"/>
  <c r="CL56"/>
  <c r="BC56"/>
  <c r="CI56"/>
  <c r="BN56"/>
  <c r="CD56"/>
  <c r="CA56"/>
  <c r="BD56"/>
  <c r="CJ56"/>
  <c r="CF56"/>
  <c r="BH56"/>
  <c r="CN56"/>
  <c r="BS56"/>
  <c r="BK56"/>
  <c r="CR56"/>
  <c r="CO56"/>
  <c r="BG56"/>
  <c r="BW56"/>
  <c r="BO56"/>
  <c r="CG56"/>
  <c r="CC56"/>
  <c r="BE56"/>
  <c r="CT56"/>
  <c r="BI56"/>
  <c r="BY56"/>
  <c r="CM56"/>
  <c r="CE56"/>
  <c r="CK56"/>
  <c r="BM56"/>
  <c r="BU56"/>
  <c r="CQ56"/>
  <c r="CV56"/>
  <c r="CX56"/>
  <c r="CS56"/>
  <c r="DB56"/>
  <c r="CU56"/>
  <c r="CW56"/>
  <c r="CY56"/>
  <c r="CZ56"/>
  <c r="DA56"/>
  <c r="DD56"/>
  <c r="DF56"/>
  <c r="BK54"/>
  <c r="BX57"/>
  <c r="DB54"/>
  <c r="DB57"/>
  <c r="CY54"/>
  <c r="CY57"/>
  <c r="CU57"/>
  <c r="CU54"/>
  <c r="CX54"/>
  <c r="CX57"/>
  <c r="CR57"/>
  <c r="CR54"/>
  <c r="BQ54"/>
  <c r="BQ57"/>
  <c r="CQ54"/>
  <c r="CQ57"/>
  <c r="BZ54"/>
  <c r="BY54"/>
  <c r="BY57"/>
  <c r="BU54"/>
  <c r="BU57"/>
  <c r="BP57"/>
  <c r="BO54"/>
  <c r="BO57"/>
  <c r="BE57"/>
  <c r="BE54"/>
  <c r="CN54"/>
  <c r="CN57"/>
  <c r="CA54"/>
  <c r="BZ57"/>
  <c r="CM54"/>
  <c r="CM57"/>
  <c r="CI57"/>
  <c r="CH57"/>
  <c r="CH54"/>
  <c r="CC54"/>
  <c r="CC57"/>
  <c r="BD57"/>
  <c r="BD54"/>
  <c r="CJ57"/>
  <c r="CJ54"/>
  <c r="CK54"/>
  <c r="CK57"/>
  <c r="BF57"/>
  <c r="BF54"/>
  <c r="BV57"/>
  <c r="BV54"/>
  <c r="CL57"/>
  <c r="CL54"/>
  <c r="BS57"/>
  <c r="BS54"/>
  <c r="BM57"/>
  <c r="BM54"/>
  <c r="AX57"/>
  <c r="AX54"/>
  <c r="AZ57"/>
  <c r="AZ54"/>
  <c r="AT57"/>
  <c r="AT54"/>
  <c r="AO57"/>
  <c r="AO54"/>
  <c r="AJ57"/>
  <c r="AJ54"/>
  <c r="AF57"/>
  <c r="AF54"/>
  <c r="AB57"/>
  <c r="AB54"/>
  <c r="X57"/>
  <c r="X54"/>
  <c r="T57"/>
  <c r="T54"/>
  <c r="P57"/>
  <c r="P54"/>
  <c r="L54"/>
  <c r="L57"/>
  <c r="H57"/>
  <c r="H54"/>
  <c r="D57"/>
  <c r="D54"/>
  <c r="AY57"/>
  <c r="AY54"/>
  <c r="AS54"/>
  <c r="AS57"/>
  <c r="AM57"/>
  <c r="AM54"/>
  <c r="AI57"/>
  <c r="AI54"/>
  <c r="AE57"/>
  <c r="AE54"/>
  <c r="AA57"/>
  <c r="AA54"/>
  <c r="W57"/>
  <c r="W54"/>
  <c r="S57"/>
  <c r="S54"/>
  <c r="O57"/>
  <c r="O54"/>
  <c r="K57"/>
  <c r="K54"/>
  <c r="G57"/>
  <c r="G54"/>
  <c r="DI56"/>
  <c r="DH56"/>
  <c r="EO20"/>
  <c r="EP20" s="1"/>
  <c r="EQ20" s="1"/>
  <c r="ER20" s="1"/>
  <c r="ES20" s="1"/>
  <c r="DC56"/>
  <c r="CF54"/>
  <c r="CA57"/>
  <c r="BP54"/>
  <c r="EU28"/>
  <c r="ET28" s="1"/>
  <c r="DO55" s="1"/>
  <c r="FC28"/>
  <c r="EW28"/>
  <c r="EV28" s="1"/>
  <c r="DQ55" s="1"/>
  <c r="EV24"/>
  <c r="DQ58" s="1"/>
  <c r="EU24"/>
  <c r="DP58" s="1"/>
  <c r="ET24"/>
  <c r="DO58" s="1"/>
  <c r="EW24"/>
  <c r="DR58" s="1"/>
  <c r="FC24"/>
  <c r="EO29"/>
  <c r="DK56" s="1"/>
  <c r="DL56"/>
  <c r="EZ5"/>
  <c r="FB5"/>
  <c r="FH5"/>
  <c r="EY5"/>
  <c r="FA5"/>
  <c r="FD7"/>
  <c r="FE7" s="1"/>
  <c r="FF7" s="1"/>
  <c r="FG7" s="1"/>
  <c r="EW18"/>
  <c r="EV18" s="1"/>
  <c r="EU18" s="1"/>
  <c r="ET18" s="1"/>
  <c r="FC18"/>
  <c r="EW16"/>
  <c r="EV16" s="1"/>
  <c r="EU16" s="1"/>
  <c r="ET16" s="1"/>
  <c r="FC16"/>
  <c r="EW21"/>
  <c r="EV21"/>
  <c r="EU21"/>
  <c r="FC21"/>
  <c r="ET21"/>
  <c r="ET11"/>
  <c r="DO45" s="1"/>
  <c r="EU11"/>
  <c r="DP45" s="1"/>
  <c r="FC11"/>
  <c r="EV11"/>
  <c r="DQ45" s="1"/>
  <c r="EW11"/>
  <c r="DR45" s="1"/>
  <c r="EV31"/>
  <c r="EW31"/>
  <c r="ET31"/>
  <c r="EU31"/>
  <c r="FC31"/>
  <c r="EO28"/>
  <c r="DK55" s="1"/>
  <c r="DL55"/>
  <c r="EV12"/>
  <c r="DQ48" s="1"/>
  <c r="EU12"/>
  <c r="DP48" s="1"/>
  <c r="ET12"/>
  <c r="DO48" s="1"/>
  <c r="EW12"/>
  <c r="DR48" s="1"/>
  <c r="FC12"/>
  <c r="DM48"/>
  <c r="EV33"/>
  <c r="EW33"/>
  <c r="ET33"/>
  <c r="EU33"/>
  <c r="FC33"/>
  <c r="EW29"/>
  <c r="EU29"/>
  <c r="ET29" s="1"/>
  <c r="DO56" s="1"/>
  <c r="FC29"/>
  <c r="EQ29"/>
  <c r="DM56" s="1"/>
  <c r="DN56"/>
  <c r="EU25"/>
  <c r="FC25"/>
  <c r="ET25"/>
  <c r="EW25"/>
  <c r="EV25"/>
  <c r="EW15"/>
  <c r="EV15" s="1"/>
  <c r="EU15" s="1"/>
  <c r="ET15" s="1"/>
  <c r="FC15"/>
  <c r="DI54"/>
  <c r="DI57"/>
  <c r="EW34"/>
  <c r="ET34"/>
  <c r="EU34"/>
  <c r="FC34"/>
  <c r="EV34"/>
  <c r="FC19"/>
  <c r="EW19"/>
  <c r="EV19" s="1"/>
  <c r="EU19" s="1"/>
  <c r="ET19" s="1"/>
  <c r="FC17"/>
  <c r="EW17"/>
  <c r="EV17" s="1"/>
  <c r="EU17" s="1"/>
  <c r="ET17" s="1"/>
  <c r="DN55"/>
  <c r="L82"/>
  <c r="M83" s="1"/>
  <c r="I102"/>
  <c r="J102" s="1"/>
  <c r="F82"/>
  <c r="G84"/>
  <c r="M101"/>
  <c r="L102"/>
  <c r="AL46"/>
  <c r="AL47" s="1"/>
  <c r="F102"/>
  <c r="G102" s="1"/>
  <c r="N49"/>
  <c r="P50"/>
  <c r="O46"/>
  <c r="Q47"/>
  <c r="J84"/>
  <c r="I82"/>
  <c r="AK49"/>
  <c r="M84"/>
  <c r="J101"/>
  <c r="L10" i="39" l="1"/>
  <c r="Q115" i="37"/>
  <c r="L63" i="39" s="1"/>
  <c r="L64" s="1"/>
  <c r="I20"/>
  <c r="J20"/>
  <c r="R55" i="33"/>
  <c r="R57" s="1"/>
  <c r="R61"/>
  <c r="R18" i="37"/>
  <c r="R115" s="1"/>
  <c r="M63" i="39" s="1"/>
  <c r="M64" s="1"/>
  <c r="M55"/>
  <c r="Q74" i="33"/>
  <c r="Q76" s="1"/>
  <c r="Q78" s="1"/>
  <c r="L12" i="39" s="1"/>
  <c r="R53" i="33"/>
  <c r="Q86"/>
  <c r="Q79"/>
  <c r="S52"/>
  <c r="R71"/>
  <c r="R72" s="1"/>
  <c r="P62"/>
  <c r="P63" s="1"/>
  <c r="Q60"/>
  <c r="R80"/>
  <c r="S68"/>
  <c r="R69"/>
  <c r="T49"/>
  <c r="S50"/>
  <c r="O158"/>
  <c r="J21" i="39"/>
  <c r="J22" s="1"/>
  <c r="O23" i="37"/>
  <c r="O22"/>
  <c r="J59" i="39" s="1"/>
  <c r="O78" i="37"/>
  <c r="O121"/>
  <c r="P120"/>
  <c r="K67" i="39" s="1"/>
  <c r="Q21" i="37"/>
  <c r="L58" i="39" s="1"/>
  <c r="Q79" i="37"/>
  <c r="Q120" s="1"/>
  <c r="L67" i="39" s="1"/>
  <c r="P14" i="37"/>
  <c r="P21"/>
  <c r="K58" i="39" s="1"/>
  <c r="Q94" i="37"/>
  <c r="P26"/>
  <c r="P27" s="1"/>
  <c r="R98"/>
  <c r="R100"/>
  <c r="Q72"/>
  <c r="R92"/>
  <c r="R89"/>
  <c r="R52"/>
  <c r="R49" s="1"/>
  <c r="R50" s="1"/>
  <c r="R24" s="1"/>
  <c r="R114" s="1"/>
  <c r="M62" i="39" s="1"/>
  <c r="R65" i="37"/>
  <c r="R62"/>
  <c r="R76"/>
  <c r="R73"/>
  <c r="R70"/>
  <c r="Q87"/>
  <c r="Q67"/>
  <c r="Q54"/>
  <c r="P55"/>
  <c r="P80" s="1"/>
  <c r="R11"/>
  <c r="R13" s="1"/>
  <c r="R15"/>
  <c r="R16" s="1"/>
  <c r="R9"/>
  <c r="M56" i="39" s="1"/>
  <c r="S8" i="37"/>
  <c r="Q14"/>
  <c r="O204" i="33"/>
  <c r="Q111"/>
  <c r="Q112"/>
  <c r="Q95"/>
  <c r="Q96"/>
  <c r="O205"/>
  <c r="K127" i="35"/>
  <c r="K128" s="1"/>
  <c r="K129" s="1"/>
  <c r="K132" s="1"/>
  <c r="EE32" i="12"/>
  <c r="O140" i="33"/>
  <c r="O231" s="1"/>
  <c r="P94"/>
  <c r="O153"/>
  <c r="O161"/>
  <c r="N165"/>
  <c r="O160"/>
  <c r="P138"/>
  <c r="P139" s="1"/>
  <c r="K67" i="35"/>
  <c r="K68" s="1"/>
  <c r="K72" s="1"/>
  <c r="K97"/>
  <c r="R133" i="33"/>
  <c r="R146" s="1"/>
  <c r="P136"/>
  <c r="P137" s="1"/>
  <c r="Q110"/>
  <c r="L16" i="39" s="1"/>
  <c r="Q134" i="33"/>
  <c r="Q135" s="1"/>
  <c r="P187"/>
  <c r="I169" i="26"/>
  <c r="Q147" i="33"/>
  <c r="Q149"/>
  <c r="Q151" s="1"/>
  <c r="U156"/>
  <c r="U154" s="1"/>
  <c r="T157"/>
  <c r="I162" i="26"/>
  <c r="J156" s="1"/>
  <c r="J158" s="1"/>
  <c r="J159" s="1"/>
  <c r="J163" s="1"/>
  <c r="BT122"/>
  <c r="BT130" s="1"/>
  <c r="BT113"/>
  <c r="I199"/>
  <c r="L195"/>
  <c r="I192"/>
  <c r="J186" s="1"/>
  <c r="J188" s="1"/>
  <c r="J189" s="1"/>
  <c r="J193" s="1"/>
  <c r="M191"/>
  <c r="M195" s="1"/>
  <c r="N197"/>
  <c r="BU112"/>
  <c r="BT127"/>
  <c r="BT138"/>
  <c r="BT136"/>
  <c r="BT137" s="1"/>
  <c r="Q104" i="33"/>
  <c r="Q106"/>
  <c r="Q108" s="1"/>
  <c r="T275"/>
  <c r="S276"/>
  <c r="S307"/>
  <c r="Q88"/>
  <c r="Q90"/>
  <c r="Q92" s="1"/>
  <c r="R103"/>
  <c r="R101"/>
  <c r="S100"/>
  <c r="S84"/>
  <c r="R85"/>
  <c r="R87"/>
  <c r="EN32" i="12"/>
  <c r="EM32" s="1"/>
  <c r="AK50"/>
  <c r="EJ15"/>
  <c r="EJ17"/>
  <c r="EJ19"/>
  <c r="EJ16"/>
  <c r="EJ18"/>
  <c r="EF32"/>
  <c r="EH32"/>
  <c r="DP55"/>
  <c r="DQ54" s="1"/>
  <c r="B79"/>
  <c r="EV8"/>
  <c r="ET8"/>
  <c r="EU8"/>
  <c r="EW8"/>
  <c r="DO60"/>
  <c r="DQ60"/>
  <c r="ET20"/>
  <c r="EU20" s="1"/>
  <c r="EV20" s="1"/>
  <c r="EW20" s="1"/>
  <c r="EX20" s="1"/>
  <c r="DN60"/>
  <c r="DP60"/>
  <c r="DR60"/>
  <c r="DK60"/>
  <c r="DR55"/>
  <c r="DR57" s="1"/>
  <c r="DL60"/>
  <c r="DE59"/>
  <c r="D60"/>
  <c r="F60"/>
  <c r="H60"/>
  <c r="J60"/>
  <c r="L60"/>
  <c r="N60"/>
  <c r="P60"/>
  <c r="R60"/>
  <c r="T60"/>
  <c r="V60"/>
  <c r="X60"/>
  <c r="Z60"/>
  <c r="AB60"/>
  <c r="AD60"/>
  <c r="AF60"/>
  <c r="AH60"/>
  <c r="C60"/>
  <c r="E60"/>
  <c r="G60"/>
  <c r="I60"/>
  <c r="K60"/>
  <c r="M60"/>
  <c r="O60"/>
  <c r="Q60"/>
  <c r="S60"/>
  <c r="U60"/>
  <c r="W60"/>
  <c r="Y60"/>
  <c r="AA60"/>
  <c r="AC60"/>
  <c r="AE60"/>
  <c r="AG60"/>
  <c r="CA60"/>
  <c r="BK60"/>
  <c r="AU60"/>
  <c r="CE60"/>
  <c r="BO60"/>
  <c r="AY60"/>
  <c r="AI60"/>
  <c r="CI60"/>
  <c r="BC60"/>
  <c r="CM60"/>
  <c r="BG60"/>
  <c r="BS60"/>
  <c r="AM60"/>
  <c r="BW60"/>
  <c r="AQ60"/>
  <c r="BE60"/>
  <c r="BF60"/>
  <c r="CB60"/>
  <c r="AJ60"/>
  <c r="AO60"/>
  <c r="AK60"/>
  <c r="BA60"/>
  <c r="BV60"/>
  <c r="BP60"/>
  <c r="AW60"/>
  <c r="CC60"/>
  <c r="AS60"/>
  <c r="BD60"/>
  <c r="BN60"/>
  <c r="BY60"/>
  <c r="CJ60"/>
  <c r="BB60"/>
  <c r="CH60"/>
  <c r="BH60"/>
  <c r="AT60"/>
  <c r="BZ60"/>
  <c r="BX60"/>
  <c r="CF60"/>
  <c r="CP60"/>
  <c r="CK60"/>
  <c r="AV60"/>
  <c r="BQ60"/>
  <c r="CL60"/>
  <c r="BU60"/>
  <c r="AP60"/>
  <c r="BL60"/>
  <c r="CG60"/>
  <c r="BM60"/>
  <c r="AN60"/>
  <c r="AX60"/>
  <c r="BI60"/>
  <c r="BT60"/>
  <c r="CD60"/>
  <c r="AL60"/>
  <c r="BR60"/>
  <c r="CN60"/>
  <c r="BJ60"/>
  <c r="AR60"/>
  <c r="AZ60"/>
  <c r="CO60"/>
  <c r="CT60"/>
  <c r="CR60"/>
  <c r="CQ60"/>
  <c r="CS60"/>
  <c r="CV60"/>
  <c r="CX60"/>
  <c r="CW60"/>
  <c r="CU60"/>
  <c r="CY60"/>
  <c r="DB60"/>
  <c r="DA60"/>
  <c r="CZ60"/>
  <c r="DD60"/>
  <c r="DC60"/>
  <c r="DE60"/>
  <c r="DF60"/>
  <c r="DI60"/>
  <c r="DG60"/>
  <c r="DJ60"/>
  <c r="DH60"/>
  <c r="DL54"/>
  <c r="FA8"/>
  <c r="FB8"/>
  <c r="EY8"/>
  <c r="EZ8"/>
  <c r="FH8"/>
  <c r="FH15"/>
  <c r="FB15"/>
  <c r="FA15" s="1"/>
  <c r="EZ15" s="1"/>
  <c r="EY15" s="1"/>
  <c r="FB33"/>
  <c r="EY33"/>
  <c r="EZ33"/>
  <c r="FH33"/>
  <c r="FA33"/>
  <c r="FB12"/>
  <c r="DV48" s="1"/>
  <c r="FA12"/>
  <c r="DU48" s="1"/>
  <c r="EZ12"/>
  <c r="DT48" s="1"/>
  <c r="FH12"/>
  <c r="EY12"/>
  <c r="DS48" s="1"/>
  <c r="DL57"/>
  <c r="DK54"/>
  <c r="DK57"/>
  <c r="DM57"/>
  <c r="DP56"/>
  <c r="DN54"/>
  <c r="DN57"/>
  <c r="FH17"/>
  <c r="FB17"/>
  <c r="FA17" s="1"/>
  <c r="EZ17" s="1"/>
  <c r="EY17" s="1"/>
  <c r="FH19"/>
  <c r="FB19"/>
  <c r="FA19" s="1"/>
  <c r="EZ19" s="1"/>
  <c r="EY19" s="1"/>
  <c r="EY34"/>
  <c r="EZ34"/>
  <c r="FH34"/>
  <c r="FA34"/>
  <c r="FB34"/>
  <c r="EY25"/>
  <c r="EZ25"/>
  <c r="FB25"/>
  <c r="FA25"/>
  <c r="FH25"/>
  <c r="FB29"/>
  <c r="EZ29"/>
  <c r="FH29"/>
  <c r="EZ31"/>
  <c r="DT60" s="1"/>
  <c r="FH31"/>
  <c r="FA31"/>
  <c r="DU60" s="1"/>
  <c r="FB31"/>
  <c r="DV60" s="1"/>
  <c r="EY31"/>
  <c r="DS60" s="1"/>
  <c r="DO57"/>
  <c r="DO54"/>
  <c r="EZ11"/>
  <c r="DT45" s="1"/>
  <c r="FH11"/>
  <c r="FA11"/>
  <c r="DU45" s="1"/>
  <c r="FB11"/>
  <c r="DV45" s="1"/>
  <c r="EY11"/>
  <c r="DS45" s="1"/>
  <c r="EY21"/>
  <c r="EZ21"/>
  <c r="FB21"/>
  <c r="FA21"/>
  <c r="FH21"/>
  <c r="FH16"/>
  <c r="FB16"/>
  <c r="FA16" s="1"/>
  <c r="EZ16" s="1"/>
  <c r="EY16" s="1"/>
  <c r="FH18"/>
  <c r="FB18"/>
  <c r="FA18" s="1"/>
  <c r="EZ18" s="1"/>
  <c r="EY18" s="1"/>
  <c r="FD5"/>
  <c r="FF5"/>
  <c r="FE5"/>
  <c r="FG5"/>
  <c r="FM5"/>
  <c r="FI7"/>
  <c r="FJ7" s="1"/>
  <c r="FK7" s="1"/>
  <c r="FL7" s="1"/>
  <c r="FB24"/>
  <c r="DV58" s="1"/>
  <c r="FA24"/>
  <c r="DU58" s="1"/>
  <c r="EZ24"/>
  <c r="DT58" s="1"/>
  <c r="FH24"/>
  <c r="EY24"/>
  <c r="DS58" s="1"/>
  <c r="FB28"/>
  <c r="EZ28"/>
  <c r="FH28"/>
  <c r="EV29"/>
  <c r="DQ56" s="1"/>
  <c r="DM54"/>
  <c r="DR56"/>
  <c r="I81"/>
  <c r="J83"/>
  <c r="M102"/>
  <c r="L103"/>
  <c r="AL49"/>
  <c r="ES32"/>
  <c r="P47"/>
  <c r="N46"/>
  <c r="O50"/>
  <c r="M49"/>
  <c r="F103"/>
  <c r="AM46"/>
  <c r="AM47" s="1"/>
  <c r="G83"/>
  <c r="F81"/>
  <c r="I103"/>
  <c r="L81"/>
  <c r="M82" s="1"/>
  <c r="M10" i="39" l="1"/>
  <c r="R19" i="37"/>
  <c r="S53" i="33"/>
  <c r="S18" i="37"/>
  <c r="S115" s="1"/>
  <c r="N63" i="39" s="1"/>
  <c r="N64" s="1"/>
  <c r="N55"/>
  <c r="O122" i="37"/>
  <c r="J68" i="39"/>
  <c r="J162" i="26"/>
  <c r="K156" s="1"/>
  <c r="R74" i="33"/>
  <c r="R76" s="1"/>
  <c r="R78" s="1"/>
  <c r="M12" i="39" s="1"/>
  <c r="S55" i="33"/>
  <c r="S57" s="1"/>
  <c r="S61"/>
  <c r="R86"/>
  <c r="T52"/>
  <c r="R79"/>
  <c r="S71"/>
  <c r="S72" s="1"/>
  <c r="Q62"/>
  <c r="Q63" s="1"/>
  <c r="R60"/>
  <c r="T68"/>
  <c r="S69"/>
  <c r="U49"/>
  <c r="T50"/>
  <c r="P140"/>
  <c r="P231" s="1"/>
  <c r="K14" i="39"/>
  <c r="K19" s="1"/>
  <c r="K22"/>
  <c r="P23" i="37"/>
  <c r="P22"/>
  <c r="K59" i="39" s="1"/>
  <c r="S19" i="37"/>
  <c r="P78"/>
  <c r="P121"/>
  <c r="R79"/>
  <c r="R120" s="1"/>
  <c r="M67" i="39" s="1"/>
  <c r="R21" i="37"/>
  <c r="M58" i="39" s="1"/>
  <c r="Q26" i="37"/>
  <c r="Q27" s="1"/>
  <c r="Q23"/>
  <c r="R94"/>
  <c r="R72"/>
  <c r="S98"/>
  <c r="S100"/>
  <c r="S92"/>
  <c r="S89"/>
  <c r="R87"/>
  <c r="R67"/>
  <c r="S52"/>
  <c r="S49" s="1"/>
  <c r="S50" s="1"/>
  <c r="S24" s="1"/>
  <c r="S114" s="1"/>
  <c r="N62" i="39" s="1"/>
  <c r="S65" i="37"/>
  <c r="S62"/>
  <c r="S76"/>
  <c r="S73"/>
  <c r="S70"/>
  <c r="R54"/>
  <c r="Q55"/>
  <c r="Q80" s="1"/>
  <c r="Q121" s="1"/>
  <c r="S11"/>
  <c r="Q22"/>
  <c r="L59" i="39" s="1"/>
  <c r="R14" i="37"/>
  <c r="S15"/>
  <c r="S16" s="1"/>
  <c r="T8"/>
  <c r="S9"/>
  <c r="N56" i="39" s="1"/>
  <c r="P204" i="33"/>
  <c r="R95"/>
  <c r="R96"/>
  <c r="R111"/>
  <c r="R112"/>
  <c r="R142" s="1"/>
  <c r="R152" s="1"/>
  <c r="M21" i="39" s="1"/>
  <c r="Q142" i="33"/>
  <c r="Q152" s="1"/>
  <c r="L21" i="39" s="1"/>
  <c r="L22" s="1"/>
  <c r="O141" i="33"/>
  <c r="O198"/>
  <c r="K134" i="35"/>
  <c r="K138"/>
  <c r="K131"/>
  <c r="L125" s="1"/>
  <c r="K98"/>
  <c r="K102" s="1"/>
  <c r="Q94" i="33"/>
  <c r="L14" i="39" s="1"/>
  <c r="L19" s="1"/>
  <c r="O162" i="33"/>
  <c r="O165"/>
  <c r="Q138"/>
  <c r="Q139" s="1"/>
  <c r="K78" i="35"/>
  <c r="J169" i="26"/>
  <c r="K71" i="35"/>
  <c r="L65" s="1"/>
  <c r="R185" i="33"/>
  <c r="R149"/>
  <c r="R151" s="1"/>
  <c r="R147"/>
  <c r="S133"/>
  <c r="S146" s="1"/>
  <c r="S185" s="1"/>
  <c r="Q136"/>
  <c r="Q137" s="1"/>
  <c r="R110"/>
  <c r="M16" i="39" s="1"/>
  <c r="R134" i="33"/>
  <c r="R135" s="1"/>
  <c r="P205"/>
  <c r="Q182"/>
  <c r="P161"/>
  <c r="P160"/>
  <c r="P153"/>
  <c r="P158"/>
  <c r="U157"/>
  <c r="BU113" i="26"/>
  <c r="BU122"/>
  <c r="BU130" s="1"/>
  <c r="EL32" i="12"/>
  <c r="DI59" s="1"/>
  <c r="EK32"/>
  <c r="DH59" s="1"/>
  <c r="N191" i="26"/>
  <c r="N195" s="1"/>
  <c r="O197"/>
  <c r="J199"/>
  <c r="J192"/>
  <c r="K186" s="1"/>
  <c r="K188" s="1"/>
  <c r="K158"/>
  <c r="K159" s="1"/>
  <c r="BU136"/>
  <c r="BU137" s="1"/>
  <c r="BV112"/>
  <c r="BU127"/>
  <c r="BU138"/>
  <c r="R104" i="33"/>
  <c r="R106"/>
  <c r="R108" s="1"/>
  <c r="R88"/>
  <c r="R90"/>
  <c r="R92" s="1"/>
  <c r="S85"/>
  <c r="T84"/>
  <c r="S87"/>
  <c r="T100"/>
  <c r="S101"/>
  <c r="S103"/>
  <c r="U275"/>
  <c r="T276"/>
  <c r="T307"/>
  <c r="EJ32" i="12"/>
  <c r="DG59" s="1"/>
  <c r="AL50"/>
  <c r="DP57"/>
  <c r="DQ57"/>
  <c r="DP54"/>
  <c r="B80"/>
  <c r="DR54"/>
  <c r="DC59"/>
  <c r="DF59"/>
  <c r="DD59"/>
  <c r="EY20"/>
  <c r="EZ20" s="1"/>
  <c r="FA20" s="1"/>
  <c r="FB20" s="1"/>
  <c r="FC20" s="1"/>
  <c r="C59"/>
  <c r="G59"/>
  <c r="BK59"/>
  <c r="AU59"/>
  <c r="BO59"/>
  <c r="AY59"/>
  <c r="AI59"/>
  <c r="AA59"/>
  <c r="S59"/>
  <c r="Q68"/>
  <c r="BS59"/>
  <c r="AM59"/>
  <c r="W59"/>
  <c r="AQ59"/>
  <c r="K59"/>
  <c r="O59"/>
  <c r="AE59"/>
  <c r="BC59"/>
  <c r="BG59"/>
  <c r="Q71"/>
  <c r="Q70" s="1"/>
  <c r="Q69" s="1"/>
  <c r="N59"/>
  <c r="M59"/>
  <c r="D59"/>
  <c r="L59"/>
  <c r="Z59"/>
  <c r="BF59"/>
  <c r="AF59"/>
  <c r="AH59"/>
  <c r="BW59"/>
  <c r="AV59"/>
  <c r="BD59"/>
  <c r="BL59"/>
  <c r="AC59"/>
  <c r="AS59"/>
  <c r="BY59"/>
  <c r="Q74"/>
  <c r="Q73" s="1"/>
  <c r="Q72" s="1"/>
  <c r="AZ59"/>
  <c r="BJ59"/>
  <c r="BU59"/>
  <c r="Q77"/>
  <c r="Q76" s="1"/>
  <c r="Q75" s="1"/>
  <c r="BQ59"/>
  <c r="Q80"/>
  <c r="Q79" s="1"/>
  <c r="Q78" s="1"/>
  <c r="AW59"/>
  <c r="BH59"/>
  <c r="BR59"/>
  <c r="AN59"/>
  <c r="I59"/>
  <c r="H59"/>
  <c r="E59"/>
  <c r="F59"/>
  <c r="Q59"/>
  <c r="J59"/>
  <c r="AP59"/>
  <c r="R59"/>
  <c r="AX59"/>
  <c r="P59"/>
  <c r="X59"/>
  <c r="BN59"/>
  <c r="BV59"/>
  <c r="BT59"/>
  <c r="BI59"/>
  <c r="T59"/>
  <c r="Y59"/>
  <c r="AD59"/>
  <c r="AJ59"/>
  <c r="AO59"/>
  <c r="AT59"/>
  <c r="BE59"/>
  <c r="BP59"/>
  <c r="BZ59"/>
  <c r="U59"/>
  <c r="AK59"/>
  <c r="BA59"/>
  <c r="V59"/>
  <c r="AB59"/>
  <c r="AG59"/>
  <c r="AL59"/>
  <c r="AR59"/>
  <c r="BB59"/>
  <c r="BM59"/>
  <c r="BX59"/>
  <c r="CA59"/>
  <c r="CC59"/>
  <c r="CB59"/>
  <c r="CD59"/>
  <c r="CE59"/>
  <c r="CH59"/>
  <c r="CF59"/>
  <c r="CG59"/>
  <c r="CL59"/>
  <c r="CI59"/>
  <c r="CK59"/>
  <c r="CJ59"/>
  <c r="CO59"/>
  <c r="CM59"/>
  <c r="CP59"/>
  <c r="CN59"/>
  <c r="CS59"/>
  <c r="CR59"/>
  <c r="CT59"/>
  <c r="CQ59"/>
  <c r="CU59"/>
  <c r="CW59"/>
  <c r="CV59"/>
  <c r="CX59"/>
  <c r="CY59"/>
  <c r="DA59"/>
  <c r="CZ59"/>
  <c r="DB59"/>
  <c r="DS61"/>
  <c r="FG28"/>
  <c r="FE28"/>
  <c r="FD28" s="1"/>
  <c r="DW55" s="1"/>
  <c r="FM28"/>
  <c r="FA28"/>
  <c r="DU55" s="1"/>
  <c r="DV55"/>
  <c r="FF24"/>
  <c r="DY58" s="1"/>
  <c r="FM24"/>
  <c r="FD24"/>
  <c r="DW58" s="1"/>
  <c r="FE24"/>
  <c r="DX58" s="1"/>
  <c r="FG24"/>
  <c r="DZ58" s="1"/>
  <c r="FJ5"/>
  <c r="FL5"/>
  <c r="FR5"/>
  <c r="FI5"/>
  <c r="FK5"/>
  <c r="FN7"/>
  <c r="FO7" s="1"/>
  <c r="FP7" s="1"/>
  <c r="FQ7" s="1"/>
  <c r="FR7" s="1"/>
  <c r="FS7" s="1"/>
  <c r="FT7" s="1"/>
  <c r="FU7" s="1"/>
  <c r="FV7" s="1"/>
  <c r="FW7" s="1"/>
  <c r="FX7" s="1"/>
  <c r="FY7" s="1"/>
  <c r="FZ7" s="1"/>
  <c r="GA7" s="1"/>
  <c r="GB7" s="1"/>
  <c r="DZ55"/>
  <c r="FF31"/>
  <c r="DY60" s="1"/>
  <c r="FG31"/>
  <c r="DZ60" s="1"/>
  <c r="FD31"/>
  <c r="DW60" s="1"/>
  <c r="FE31"/>
  <c r="DX60" s="1"/>
  <c r="FM31"/>
  <c r="FG29"/>
  <c r="FE29"/>
  <c r="FD29" s="1"/>
  <c r="DW56" s="1"/>
  <c r="FM29"/>
  <c r="FA29"/>
  <c r="DU56" s="1"/>
  <c r="DV56"/>
  <c r="FG34"/>
  <c r="FD34"/>
  <c r="FE34"/>
  <c r="FM34"/>
  <c r="FF34"/>
  <c r="FG19"/>
  <c r="FF19" s="1"/>
  <c r="FE19" s="1"/>
  <c r="FD19" s="1"/>
  <c r="FM19"/>
  <c r="FG17"/>
  <c r="FF17" s="1"/>
  <c r="FE17" s="1"/>
  <c r="FD17" s="1"/>
  <c r="FM17"/>
  <c r="FD12"/>
  <c r="DW48" s="1"/>
  <c r="FE12"/>
  <c r="DX48" s="1"/>
  <c r="FG12"/>
  <c r="DZ48" s="1"/>
  <c r="FF12"/>
  <c r="DY48" s="1"/>
  <c r="FM12"/>
  <c r="FF33"/>
  <c r="FG33"/>
  <c r="FD33"/>
  <c r="FE33"/>
  <c r="FM33"/>
  <c r="FG8"/>
  <c r="FD8"/>
  <c r="FE8"/>
  <c r="FM8"/>
  <c r="FF8"/>
  <c r="EY28"/>
  <c r="DS55" s="1"/>
  <c r="DT55"/>
  <c r="FM18"/>
  <c r="FG18"/>
  <c r="FF18" s="1"/>
  <c r="FE18" s="1"/>
  <c r="FD18" s="1"/>
  <c r="FM16"/>
  <c r="FG16"/>
  <c r="FF16" s="1"/>
  <c r="FE16" s="1"/>
  <c r="FD16" s="1"/>
  <c r="FG21"/>
  <c r="FD21"/>
  <c r="FE21"/>
  <c r="FM21"/>
  <c r="FF21"/>
  <c r="FD11"/>
  <c r="DW45" s="1"/>
  <c r="FE11"/>
  <c r="DX45" s="1"/>
  <c r="FM11"/>
  <c r="FF11"/>
  <c r="DY45" s="1"/>
  <c r="FG11"/>
  <c r="DZ45" s="1"/>
  <c r="EY29"/>
  <c r="DS56" s="1"/>
  <c r="DT56"/>
  <c r="FE25"/>
  <c r="FM25"/>
  <c r="FF25"/>
  <c r="FG25"/>
  <c r="FD25"/>
  <c r="FM15"/>
  <c r="FG15"/>
  <c r="FF15" s="1"/>
  <c r="FE15" s="1"/>
  <c r="FD15" s="1"/>
  <c r="I104"/>
  <c r="J104" s="1"/>
  <c r="F80"/>
  <c r="G82"/>
  <c r="F104"/>
  <c r="G104" s="1"/>
  <c r="L49"/>
  <c r="N50"/>
  <c r="M46"/>
  <c r="O47"/>
  <c r="EO32"/>
  <c r="EQ32"/>
  <c r="EP32"/>
  <c r="ER32"/>
  <c r="EX32"/>
  <c r="J82"/>
  <c r="I80"/>
  <c r="L80"/>
  <c r="M81" s="1"/>
  <c r="AN46"/>
  <c r="AN47" s="1"/>
  <c r="DJ59"/>
  <c r="AM49"/>
  <c r="M103"/>
  <c r="L104"/>
  <c r="J103"/>
  <c r="G103"/>
  <c r="N10" i="39" l="1"/>
  <c r="S80" i="33"/>
  <c r="K20" i="39"/>
  <c r="Q122" i="37"/>
  <c r="L68" i="39"/>
  <c r="P122" i="37"/>
  <c r="K68" i="39"/>
  <c r="T18" i="37"/>
  <c r="T19" s="1"/>
  <c r="O55" i="39"/>
  <c r="T53" i="33"/>
  <c r="S74"/>
  <c r="S76" s="1"/>
  <c r="S78" s="1"/>
  <c r="N12" i="39" s="1"/>
  <c r="T55" i="33"/>
  <c r="T57" s="1"/>
  <c r="T61"/>
  <c r="U52"/>
  <c r="S79"/>
  <c r="S86"/>
  <c r="T71"/>
  <c r="T80" s="1"/>
  <c r="S60"/>
  <c r="R62"/>
  <c r="R63" s="1"/>
  <c r="U68"/>
  <c r="T69"/>
  <c r="U50"/>
  <c r="P141"/>
  <c r="P198"/>
  <c r="L20" i="39"/>
  <c r="M22"/>
  <c r="T115" i="37"/>
  <c r="O63" i="39" s="1"/>
  <c r="O64" s="1"/>
  <c r="Q78" i="37"/>
  <c r="S79"/>
  <c r="S120" s="1"/>
  <c r="N67" i="39" s="1"/>
  <c r="R26" i="37"/>
  <c r="R27" s="1"/>
  <c r="R23"/>
  <c r="S94"/>
  <c r="S72"/>
  <c r="T98"/>
  <c r="T100"/>
  <c r="T92"/>
  <c r="T89"/>
  <c r="T52"/>
  <c r="T49" s="1"/>
  <c r="T50" s="1"/>
  <c r="T65"/>
  <c r="T62"/>
  <c r="T73"/>
  <c r="T76"/>
  <c r="T70"/>
  <c r="S13"/>
  <c r="S21" s="1"/>
  <c r="N58" i="39" s="1"/>
  <c r="S87" i="37"/>
  <c r="S67"/>
  <c r="S54"/>
  <c r="R55"/>
  <c r="R80" s="1"/>
  <c r="R121" s="1"/>
  <c r="T11"/>
  <c r="R22"/>
  <c r="M59" i="39" s="1"/>
  <c r="T15" i="37"/>
  <c r="T16" s="1"/>
  <c r="U8"/>
  <c r="T9"/>
  <c r="O56" i="39" s="1"/>
  <c r="Q204" i="33"/>
  <c r="S111"/>
  <c r="S112"/>
  <c r="S95"/>
  <c r="S96"/>
  <c r="L127" i="35"/>
  <c r="L128" s="1"/>
  <c r="L132" s="1"/>
  <c r="K108"/>
  <c r="K101"/>
  <c r="L95" s="1"/>
  <c r="L97" s="1"/>
  <c r="L98" s="1"/>
  <c r="L102" s="1"/>
  <c r="Q140" i="33"/>
  <c r="Q231" s="1"/>
  <c r="R94"/>
  <c r="R138"/>
  <c r="R139" s="1"/>
  <c r="Q153"/>
  <c r="L67" i="35"/>
  <c r="L68" s="1"/>
  <c r="L72" s="1"/>
  <c r="T133" i="33"/>
  <c r="T146" s="1"/>
  <c r="T185" s="1"/>
  <c r="R136"/>
  <c r="R137" s="1"/>
  <c r="S110"/>
  <c r="N16" i="39" s="1"/>
  <c r="S134" i="33"/>
  <c r="S135" s="1"/>
  <c r="Q183"/>
  <c r="Q163" s="1"/>
  <c r="P162"/>
  <c r="P165"/>
  <c r="Q161"/>
  <c r="Q160"/>
  <c r="S147"/>
  <c r="S149"/>
  <c r="S151" s="1"/>
  <c r="Q158"/>
  <c r="BV122" i="26"/>
  <c r="BV130" s="1"/>
  <c r="BV113"/>
  <c r="K160"/>
  <c r="K163" s="1"/>
  <c r="K189"/>
  <c r="K193" s="1"/>
  <c r="O191"/>
  <c r="P197"/>
  <c r="BW112"/>
  <c r="BV127"/>
  <c r="BV138"/>
  <c r="BV136"/>
  <c r="BV137" s="1"/>
  <c r="S104" i="33"/>
  <c r="S106"/>
  <c r="S108" s="1"/>
  <c r="U100"/>
  <c r="T103"/>
  <c r="T101"/>
  <c r="U84"/>
  <c r="T85"/>
  <c r="T87"/>
  <c r="U276"/>
  <c r="U307"/>
  <c r="S90"/>
  <c r="S92" s="1"/>
  <c r="S94" s="1"/>
  <c r="N14" i="39" s="1"/>
  <c r="S88" i="33"/>
  <c r="AM50" i="12"/>
  <c r="DX61"/>
  <c r="DZ61"/>
  <c r="B81"/>
  <c r="DW61"/>
  <c r="DY61"/>
  <c r="DX55"/>
  <c r="DX54" s="1"/>
  <c r="DY51"/>
  <c r="J61"/>
  <c r="R61"/>
  <c r="Z61"/>
  <c r="AH61"/>
  <c r="E61"/>
  <c r="M61"/>
  <c r="U61"/>
  <c r="AC61"/>
  <c r="AP61"/>
  <c r="AK61"/>
  <c r="AA61"/>
  <c r="S61"/>
  <c r="K61"/>
  <c r="C61"/>
  <c r="CE61"/>
  <c r="BS61"/>
  <c r="BG61"/>
  <c r="AU61"/>
  <c r="AR61"/>
  <c r="AM61"/>
  <c r="AJ61"/>
  <c r="AE61"/>
  <c r="AB61"/>
  <c r="W61"/>
  <c r="T61"/>
  <c r="O61"/>
  <c r="L61"/>
  <c r="G61"/>
  <c r="D61"/>
  <c r="BO61"/>
  <c r="BC61"/>
  <c r="AQ61"/>
  <c r="AI61"/>
  <c r="AS61"/>
  <c r="AF61"/>
  <c r="X61"/>
  <c r="P61"/>
  <c r="H61"/>
  <c r="BR61"/>
  <c r="AT61"/>
  <c r="AL61"/>
  <c r="AD61"/>
  <c r="V61"/>
  <c r="N61"/>
  <c r="F61"/>
  <c r="BK61"/>
  <c r="AN61"/>
  <c r="CA61"/>
  <c r="AY61"/>
  <c r="AO61"/>
  <c r="AG61"/>
  <c r="Y61"/>
  <c r="Q61"/>
  <c r="I61"/>
  <c r="CI61"/>
  <c r="BW61"/>
  <c r="BE61"/>
  <c r="BQ61"/>
  <c r="CG61"/>
  <c r="CM61"/>
  <c r="AV61"/>
  <c r="BL61"/>
  <c r="CL61"/>
  <c r="BB61"/>
  <c r="AW61"/>
  <c r="CC61"/>
  <c r="AX61"/>
  <c r="BI61"/>
  <c r="BT61"/>
  <c r="CD61"/>
  <c r="BP61"/>
  <c r="BZ61"/>
  <c r="BX61"/>
  <c r="CP61"/>
  <c r="CO61"/>
  <c r="CK61"/>
  <c r="BF61"/>
  <c r="CB61"/>
  <c r="BU61"/>
  <c r="BA61"/>
  <c r="BV61"/>
  <c r="BM61"/>
  <c r="BD61"/>
  <c r="BN61"/>
  <c r="BY61"/>
  <c r="CJ61"/>
  <c r="AZ61"/>
  <c r="CF61"/>
  <c r="BH61"/>
  <c r="CN61"/>
  <c r="BJ61"/>
  <c r="CH61"/>
  <c r="CS61"/>
  <c r="CT61"/>
  <c r="CQ61"/>
  <c r="CR61"/>
  <c r="CV61"/>
  <c r="CX61"/>
  <c r="CU61"/>
  <c r="CW61"/>
  <c r="DA61"/>
  <c r="DB61"/>
  <c r="CZ61"/>
  <c r="CY61"/>
  <c r="DE61"/>
  <c r="DD61"/>
  <c r="DC61"/>
  <c r="DF61"/>
  <c r="DH61"/>
  <c r="DG61"/>
  <c r="DJ61"/>
  <c r="DI61"/>
  <c r="DN61"/>
  <c r="DK61"/>
  <c r="DL61"/>
  <c r="DM61"/>
  <c r="DP61"/>
  <c r="DO61"/>
  <c r="DR61"/>
  <c r="DQ61"/>
  <c r="DV61"/>
  <c r="DU61"/>
  <c r="DT61"/>
  <c r="FF28"/>
  <c r="DY55" s="1"/>
  <c r="FR15"/>
  <c r="FL15"/>
  <c r="FK15" s="1"/>
  <c r="FJ15" s="1"/>
  <c r="FI15" s="1"/>
  <c r="FL11"/>
  <c r="ED45" s="1"/>
  <c r="FI11"/>
  <c r="EA45" s="1"/>
  <c r="FJ11"/>
  <c r="EB45" s="1"/>
  <c r="FR11"/>
  <c r="FK11"/>
  <c r="EC45" s="1"/>
  <c r="FI21"/>
  <c r="FL21"/>
  <c r="FR21"/>
  <c r="FK21"/>
  <c r="FJ21"/>
  <c r="DT54"/>
  <c r="DT57"/>
  <c r="FK8"/>
  <c r="FL8"/>
  <c r="FI8"/>
  <c r="FJ8"/>
  <c r="FR8"/>
  <c r="FJ12"/>
  <c r="EB48" s="1"/>
  <c r="FR12"/>
  <c r="FK12"/>
  <c r="EC48" s="1"/>
  <c r="FL12"/>
  <c r="ED48" s="1"/>
  <c r="FI12"/>
  <c r="EA48" s="1"/>
  <c r="FI34"/>
  <c r="FJ34"/>
  <c r="FR34"/>
  <c r="FK34"/>
  <c r="FL34"/>
  <c r="FJ29"/>
  <c r="FR29"/>
  <c r="FL29"/>
  <c r="FN5"/>
  <c r="FP5"/>
  <c r="FO5"/>
  <c r="FQ5"/>
  <c r="FW5"/>
  <c r="FJ24"/>
  <c r="EB58" s="1"/>
  <c r="FR24"/>
  <c r="FK24"/>
  <c r="EC58" s="1"/>
  <c r="FL24"/>
  <c r="ED58" s="1"/>
  <c r="FI24"/>
  <c r="EA58" s="1"/>
  <c r="DV57"/>
  <c r="DV54"/>
  <c r="FJ28"/>
  <c r="FR28"/>
  <c r="FL28"/>
  <c r="FD20"/>
  <c r="FE20" s="1"/>
  <c r="FF20" s="1"/>
  <c r="FG20" s="1"/>
  <c r="FH20" s="1"/>
  <c r="FF29"/>
  <c r="DY56" s="1"/>
  <c r="DX56"/>
  <c r="DZ56"/>
  <c r="FI25"/>
  <c r="FL25"/>
  <c r="FR25"/>
  <c r="FK25"/>
  <c r="FJ25"/>
  <c r="FL16"/>
  <c r="FK16" s="1"/>
  <c r="FJ16" s="1"/>
  <c r="FI16" s="1"/>
  <c r="FR16"/>
  <c r="FL18"/>
  <c r="FK18" s="1"/>
  <c r="FJ18" s="1"/>
  <c r="FI18" s="1"/>
  <c r="FR18"/>
  <c r="DS54"/>
  <c r="DS57"/>
  <c r="FL33"/>
  <c r="ED61" s="1"/>
  <c r="FI33"/>
  <c r="EA61" s="1"/>
  <c r="FJ33"/>
  <c r="EB61" s="1"/>
  <c r="FR33"/>
  <c r="FK33"/>
  <c r="EC61" s="1"/>
  <c r="FL17"/>
  <c r="FK17" s="1"/>
  <c r="FJ17" s="1"/>
  <c r="FI17" s="1"/>
  <c r="FR17"/>
  <c r="FL19"/>
  <c r="FK19" s="1"/>
  <c r="FJ19" s="1"/>
  <c r="FI19" s="1"/>
  <c r="FR19"/>
  <c r="FL31"/>
  <c r="ED60" s="1"/>
  <c r="FI31"/>
  <c r="EA60" s="1"/>
  <c r="FJ31"/>
  <c r="EB60" s="1"/>
  <c r="FR31"/>
  <c r="FK31"/>
  <c r="EC60" s="1"/>
  <c r="DU57"/>
  <c r="DU54"/>
  <c r="DW54"/>
  <c r="DW57"/>
  <c r="M104"/>
  <c r="L105"/>
  <c r="AO46"/>
  <c r="L79"/>
  <c r="I79"/>
  <c r="J81"/>
  <c r="DN59"/>
  <c r="DM59"/>
  <c r="I105"/>
  <c r="J105" s="1"/>
  <c r="AN49"/>
  <c r="EU32"/>
  <c r="EW32"/>
  <c r="FC32"/>
  <c r="ET32"/>
  <c r="EV32"/>
  <c r="DL59"/>
  <c r="DK59"/>
  <c r="N47"/>
  <c r="L46"/>
  <c r="M50"/>
  <c r="K49"/>
  <c r="F105"/>
  <c r="G105" s="1"/>
  <c r="G81"/>
  <c r="F79"/>
  <c r="O10" i="39" l="1"/>
  <c r="U53" i="33"/>
  <c r="T74"/>
  <c r="T76" s="1"/>
  <c r="U18" i="37"/>
  <c r="U115" s="1"/>
  <c r="P63" i="39" s="1"/>
  <c r="P64" s="1"/>
  <c r="P55"/>
  <c r="R122" i="37"/>
  <c r="M68" i="39"/>
  <c r="N19"/>
  <c r="T78" i="33"/>
  <c r="O12" i="39" s="1"/>
  <c r="T79" i="33"/>
  <c r="U55"/>
  <c r="U57" s="1"/>
  <c r="U61"/>
  <c r="T72"/>
  <c r="T86"/>
  <c r="T60"/>
  <c r="S62"/>
  <c r="S63" s="1"/>
  <c r="U71"/>
  <c r="U80" s="1"/>
  <c r="U69"/>
  <c r="R140"/>
  <c r="R231" s="1"/>
  <c r="M14" i="39"/>
  <c r="M19" s="1"/>
  <c r="R78" i="37"/>
  <c r="T79"/>
  <c r="T120" s="1"/>
  <c r="O67" i="39" s="1"/>
  <c r="T94" i="37"/>
  <c r="S26"/>
  <c r="S27" s="1"/>
  <c r="S23"/>
  <c r="S14"/>
  <c r="U98"/>
  <c r="U100"/>
  <c r="T72"/>
  <c r="U89"/>
  <c r="U92"/>
  <c r="U52"/>
  <c r="U49" s="1"/>
  <c r="U50" s="1"/>
  <c r="U24" s="1"/>
  <c r="U114" s="1"/>
  <c r="P62" i="39" s="1"/>
  <c r="U65" i="37"/>
  <c r="U62"/>
  <c r="U73"/>
  <c r="U70"/>
  <c r="U76"/>
  <c r="T13"/>
  <c r="T14" s="1"/>
  <c r="T87"/>
  <c r="T67"/>
  <c r="T54"/>
  <c r="S55"/>
  <c r="S80" s="1"/>
  <c r="T24"/>
  <c r="T114" s="1"/>
  <c r="O62" i="39" s="1"/>
  <c r="U11" i="37"/>
  <c r="S22"/>
  <c r="N59" i="39" s="1"/>
  <c r="U9" i="37"/>
  <c r="P56" i="39" s="1"/>
  <c r="U15" i="37"/>
  <c r="U16" s="1"/>
  <c r="R204" i="33"/>
  <c r="T95"/>
  <c r="T96"/>
  <c r="T111"/>
  <c r="T112"/>
  <c r="T142" s="1"/>
  <c r="T152" s="1"/>
  <c r="O21" i="39" s="1"/>
  <c r="S142" i="33"/>
  <c r="S152" s="1"/>
  <c r="N21" i="39" s="1"/>
  <c r="N22" s="1"/>
  <c r="Q141" i="33"/>
  <c r="R198"/>
  <c r="Q198"/>
  <c r="L108" i="35"/>
  <c r="L101"/>
  <c r="M95" s="1"/>
  <c r="M97" s="1"/>
  <c r="M98" s="1"/>
  <c r="L131"/>
  <c r="M125" s="1"/>
  <c r="M127" s="1"/>
  <c r="L138"/>
  <c r="R153" i="33"/>
  <c r="S140"/>
  <c r="S231" s="1"/>
  <c r="U133"/>
  <c r="U146" s="1"/>
  <c r="U185" s="1"/>
  <c r="R160"/>
  <c r="S138"/>
  <c r="S139" s="1"/>
  <c r="L78" i="35"/>
  <c r="L71"/>
  <c r="M65" s="1"/>
  <c r="R161" i="33"/>
  <c r="R158"/>
  <c r="S136"/>
  <c r="S137" s="1"/>
  <c r="T110"/>
  <c r="O16" i="39" s="1"/>
  <c r="T134" i="33"/>
  <c r="T135" s="1"/>
  <c r="Q187"/>
  <c r="Q162"/>
  <c r="Q165"/>
  <c r="K165" i="26"/>
  <c r="T147" i="33"/>
  <c r="T149"/>
  <c r="T151" s="1"/>
  <c r="K192" i="26"/>
  <c r="L186" s="1"/>
  <c r="BW122"/>
  <c r="BW130" s="1"/>
  <c r="BW113"/>
  <c r="K199"/>
  <c r="P191"/>
  <c r="P195" s="1"/>
  <c r="Q197"/>
  <c r="L188"/>
  <c r="L189" s="1"/>
  <c r="L193" s="1"/>
  <c r="O195"/>
  <c r="K162"/>
  <c r="L156" s="1"/>
  <c r="L158" s="1"/>
  <c r="L159" s="1"/>
  <c r="L163" s="1"/>
  <c r="K169"/>
  <c r="BX112"/>
  <c r="BW127"/>
  <c r="BW138"/>
  <c r="BW136"/>
  <c r="BW137" s="1"/>
  <c r="T88" i="33"/>
  <c r="T90"/>
  <c r="T92" s="1"/>
  <c r="T94" s="1"/>
  <c r="O14" i="39" s="1"/>
  <c r="U85" i="33"/>
  <c r="U87"/>
  <c r="T104"/>
  <c r="T106"/>
  <c r="T108" s="1"/>
  <c r="U103"/>
  <c r="U101"/>
  <c r="AN50" i="12"/>
  <c r="B82"/>
  <c r="DX57"/>
  <c r="ED51"/>
  <c r="EA51"/>
  <c r="DY57"/>
  <c r="DW51"/>
  <c r="DZ54"/>
  <c r="DY54"/>
  <c r="DX51"/>
  <c r="DZ57"/>
  <c r="EC51"/>
  <c r="EB51"/>
  <c r="DZ51"/>
  <c r="CL51"/>
  <c r="AI51"/>
  <c r="Z51"/>
  <c r="G51"/>
  <c r="AQ51"/>
  <c r="AE51"/>
  <c r="S51"/>
  <c r="BF51"/>
  <c r="BW51"/>
  <c r="BG51"/>
  <c r="CI51"/>
  <c r="BS51"/>
  <c r="BC51"/>
  <c r="AA51"/>
  <c r="AA52" s="1"/>
  <c r="C51"/>
  <c r="AY51"/>
  <c r="W51"/>
  <c r="CE51"/>
  <c r="CA51"/>
  <c r="AM51"/>
  <c r="AU51"/>
  <c r="O51"/>
  <c r="K51"/>
  <c r="BO51"/>
  <c r="BK51"/>
  <c r="AS51"/>
  <c r="T51"/>
  <c r="AJ51"/>
  <c r="CM51"/>
  <c r="M51"/>
  <c r="N51"/>
  <c r="AO51"/>
  <c r="U51"/>
  <c r="F51"/>
  <c r="Q51"/>
  <c r="AB51"/>
  <c r="AR51"/>
  <c r="BB51"/>
  <c r="H51"/>
  <c r="AN51"/>
  <c r="AX51"/>
  <c r="P51"/>
  <c r="AV51"/>
  <c r="BN51"/>
  <c r="J51"/>
  <c r="BL51"/>
  <c r="BD51"/>
  <c r="CJ51"/>
  <c r="BQ51"/>
  <c r="AL51"/>
  <c r="BH51"/>
  <c r="BR51"/>
  <c r="CC51"/>
  <c r="CN51"/>
  <c r="BY51"/>
  <c r="BJ51"/>
  <c r="BU51"/>
  <c r="CF51"/>
  <c r="CP51"/>
  <c r="I51"/>
  <c r="Y51"/>
  <c r="Y52" s="1"/>
  <c r="AZ51"/>
  <c r="AC51"/>
  <c r="D51"/>
  <c r="AD51"/>
  <c r="AT51"/>
  <c r="AP51"/>
  <c r="E51"/>
  <c r="BA51"/>
  <c r="L51"/>
  <c r="V51"/>
  <c r="AG51"/>
  <c r="AW51"/>
  <c r="X51"/>
  <c r="R51"/>
  <c r="AF51"/>
  <c r="AH51"/>
  <c r="BV51"/>
  <c r="CD51"/>
  <c r="CB51"/>
  <c r="BT51"/>
  <c r="AK51"/>
  <c r="CG51"/>
  <c r="BM51"/>
  <c r="BX51"/>
  <c r="CH51"/>
  <c r="BI51"/>
  <c r="CO51"/>
  <c r="BE51"/>
  <c r="BP51"/>
  <c r="BZ51"/>
  <c r="CK51"/>
  <c r="CQ51"/>
  <c r="CS51"/>
  <c r="CT51"/>
  <c r="CR51"/>
  <c r="CX51"/>
  <c r="CV51"/>
  <c r="CW51"/>
  <c r="DA51"/>
  <c r="CY51"/>
  <c r="CU51"/>
  <c r="DD51"/>
  <c r="CZ51"/>
  <c r="DB51"/>
  <c r="DF51"/>
  <c r="DE51"/>
  <c r="DC51"/>
  <c r="DG51"/>
  <c r="DI51"/>
  <c r="DH51"/>
  <c r="DJ51"/>
  <c r="DL51"/>
  <c r="DN51"/>
  <c r="DM51"/>
  <c r="DK51"/>
  <c r="DP51"/>
  <c r="DO51"/>
  <c r="DQ51"/>
  <c r="DR51"/>
  <c r="DS51"/>
  <c r="DU51"/>
  <c r="DV51"/>
  <c r="DT51"/>
  <c r="FI20"/>
  <c r="FJ20" s="1"/>
  <c r="FK20" s="1"/>
  <c r="FL20" s="1"/>
  <c r="FM20" s="1"/>
  <c r="FQ19"/>
  <c r="FP19" s="1"/>
  <c r="FO19" s="1"/>
  <c r="FN19" s="1"/>
  <c r="FW19"/>
  <c r="FQ17"/>
  <c r="FP17" s="1"/>
  <c r="FO17" s="1"/>
  <c r="FN17" s="1"/>
  <c r="FW17"/>
  <c r="FQ18"/>
  <c r="FP18" s="1"/>
  <c r="FO18" s="1"/>
  <c r="FN18" s="1"/>
  <c r="FW18"/>
  <c r="FQ16"/>
  <c r="FP16" s="1"/>
  <c r="FO16" s="1"/>
  <c r="FN16" s="1"/>
  <c r="FW16"/>
  <c r="FQ28"/>
  <c r="EH55" s="1"/>
  <c r="FO28"/>
  <c r="FN28" s="1"/>
  <c r="EE55" s="1"/>
  <c r="FW28"/>
  <c r="FO29"/>
  <c r="FN29" s="1"/>
  <c r="EE56" s="1"/>
  <c r="FW29"/>
  <c r="FQ29"/>
  <c r="FP29" s="1"/>
  <c r="EG56" s="1"/>
  <c r="FP12"/>
  <c r="EG48" s="1"/>
  <c r="FO12"/>
  <c r="EF48" s="1"/>
  <c r="FN12"/>
  <c r="EE48" s="1"/>
  <c r="FQ12"/>
  <c r="EH48" s="1"/>
  <c r="FW12"/>
  <c r="FQ15"/>
  <c r="FP15" s="1"/>
  <c r="FO15" s="1"/>
  <c r="FN15" s="1"/>
  <c r="FW15"/>
  <c r="FP31"/>
  <c r="EG60" s="1"/>
  <c r="FQ31"/>
  <c r="EH60" s="1"/>
  <c r="FN31"/>
  <c r="EE60" s="1"/>
  <c r="FO31"/>
  <c r="EF60" s="1"/>
  <c r="FW31"/>
  <c r="FN33"/>
  <c r="EE61" s="1"/>
  <c r="FO33"/>
  <c r="EF61" s="1"/>
  <c r="FW33"/>
  <c r="FP33"/>
  <c r="EG61" s="1"/>
  <c r="FQ33"/>
  <c r="EH61" s="1"/>
  <c r="FO25"/>
  <c r="FW25"/>
  <c r="FN25"/>
  <c r="FQ25"/>
  <c r="FP25"/>
  <c r="FK28"/>
  <c r="EC55" s="1"/>
  <c r="ED55"/>
  <c r="FI28"/>
  <c r="EA55" s="1"/>
  <c r="EB55"/>
  <c r="FN24"/>
  <c r="EE58" s="1"/>
  <c r="FQ24"/>
  <c r="EH58" s="1"/>
  <c r="FW24"/>
  <c r="FP24"/>
  <c r="EG58" s="1"/>
  <c r="FO24"/>
  <c r="EF58" s="1"/>
  <c r="FT5"/>
  <c r="FV5"/>
  <c r="GB5"/>
  <c r="FS5"/>
  <c r="FU5"/>
  <c r="FK29"/>
  <c r="EC56" s="1"/>
  <c r="ED56"/>
  <c r="FI29"/>
  <c r="EA56" s="1"/>
  <c r="EB56"/>
  <c r="FO34"/>
  <c r="EF51" s="1"/>
  <c r="FW34"/>
  <c r="FP34"/>
  <c r="EG51" s="1"/>
  <c r="FQ34"/>
  <c r="EH51" s="1"/>
  <c r="FN34"/>
  <c r="EE51" s="1"/>
  <c r="FO8"/>
  <c r="FW8"/>
  <c r="FP8"/>
  <c r="FQ8"/>
  <c r="FN8"/>
  <c r="FO21"/>
  <c r="FW21"/>
  <c r="FN21"/>
  <c r="FQ21"/>
  <c r="FP21"/>
  <c r="FP11"/>
  <c r="EG45" s="1"/>
  <c r="FQ11"/>
  <c r="EH45" s="1"/>
  <c r="FN11"/>
  <c r="EE45" s="1"/>
  <c r="FO11"/>
  <c r="EF45" s="1"/>
  <c r="FW11"/>
  <c r="F78"/>
  <c r="G80"/>
  <c r="DO59"/>
  <c r="DR59"/>
  <c r="AO49"/>
  <c r="L78"/>
  <c r="AP46"/>
  <c r="AP47" s="1"/>
  <c r="F106"/>
  <c r="G106" s="1"/>
  <c r="J49"/>
  <c r="L50"/>
  <c r="K46"/>
  <c r="M47"/>
  <c r="DQ59"/>
  <c r="EY32"/>
  <c r="DS59" s="1"/>
  <c r="FA32"/>
  <c r="DU59" s="1"/>
  <c r="EZ32"/>
  <c r="DT59" s="1"/>
  <c r="FB32"/>
  <c r="DV59" s="1"/>
  <c r="FH32"/>
  <c r="DP59"/>
  <c r="I106"/>
  <c r="J106" s="1"/>
  <c r="J80"/>
  <c r="I78"/>
  <c r="M105"/>
  <c r="L106"/>
  <c r="M80"/>
  <c r="AO47"/>
  <c r="P10" i="39" l="1"/>
  <c r="M20"/>
  <c r="U74" i="33"/>
  <c r="U76" s="1"/>
  <c r="U78" s="1"/>
  <c r="P12" i="39" s="1"/>
  <c r="U79" i="33"/>
  <c r="U19" i="37"/>
  <c r="U72" i="33"/>
  <c r="U60"/>
  <c r="U62" s="1"/>
  <c r="U63" s="1"/>
  <c r="T62"/>
  <c r="T63" s="1"/>
  <c r="U86"/>
  <c r="O19" i="39"/>
  <c r="R141" i="33"/>
  <c r="N20" i="39"/>
  <c r="O22"/>
  <c r="S78" i="37"/>
  <c r="S121"/>
  <c r="U79"/>
  <c r="U120" s="1"/>
  <c r="P67" i="39" s="1"/>
  <c r="T21" i="37"/>
  <c r="O58" i="39" s="1"/>
  <c r="U94" i="37"/>
  <c r="U54"/>
  <c r="U55" s="1"/>
  <c r="U80" s="1"/>
  <c r="U72"/>
  <c r="U13"/>
  <c r="U87"/>
  <c r="U67"/>
  <c r="T55"/>
  <c r="T80" s="1"/>
  <c r="S204" i="33"/>
  <c r="U111"/>
  <c r="U112"/>
  <c r="U95"/>
  <c r="U96"/>
  <c r="R162"/>
  <c r="S198"/>
  <c r="M128" i="35"/>
  <c r="M132" s="1"/>
  <c r="S153" i="33"/>
  <c r="T138"/>
  <c r="T139" s="1"/>
  <c r="S141"/>
  <c r="T140"/>
  <c r="T231" s="1"/>
  <c r="M102" i="35"/>
  <c r="M101"/>
  <c r="N95" s="1"/>
  <c r="M108"/>
  <c r="M67"/>
  <c r="T136" i="33"/>
  <c r="T137" s="1"/>
  <c r="U110"/>
  <c r="P16" i="39" s="1"/>
  <c r="U134" i="33"/>
  <c r="U135" s="1"/>
  <c r="Q205"/>
  <c r="R182"/>
  <c r="S160"/>
  <c r="S161"/>
  <c r="U147"/>
  <c r="U149"/>
  <c r="U151" s="1"/>
  <c r="S158"/>
  <c r="BX122" i="26"/>
  <c r="BX130" s="1"/>
  <c r="BX113"/>
  <c r="L192"/>
  <c r="M186" s="1"/>
  <c r="L199"/>
  <c r="M188"/>
  <c r="M189" s="1"/>
  <c r="M193" s="1"/>
  <c r="Q191"/>
  <c r="R197"/>
  <c r="L162"/>
  <c r="M156" s="1"/>
  <c r="M158" s="1"/>
  <c r="EF55" i="12"/>
  <c r="EF57" s="1"/>
  <c r="L169" i="26"/>
  <c r="BY112"/>
  <c r="BX127"/>
  <c r="BX138"/>
  <c r="BX136"/>
  <c r="BX137" s="1"/>
  <c r="U104" i="33"/>
  <c r="U106"/>
  <c r="U108" s="1"/>
  <c r="U90"/>
  <c r="U92" s="1"/>
  <c r="U88"/>
  <c r="AO50" i="12"/>
  <c r="B83"/>
  <c r="EH56"/>
  <c r="EF56"/>
  <c r="AA53"/>
  <c r="AB52"/>
  <c r="X52"/>
  <c r="Z53"/>
  <c r="FV11"/>
  <c r="EL45" s="1"/>
  <c r="FS11"/>
  <c r="EI45" s="1"/>
  <c r="FT11"/>
  <c r="EJ45" s="1"/>
  <c r="GB11"/>
  <c r="FU11"/>
  <c r="EK45" s="1"/>
  <c r="FS21"/>
  <c r="FT21"/>
  <c r="FV21"/>
  <c r="FU21"/>
  <c r="GB21"/>
  <c r="FU8"/>
  <c r="FV8"/>
  <c r="FS8"/>
  <c r="FT8"/>
  <c r="GB8"/>
  <c r="FU25"/>
  <c r="GB25"/>
  <c r="FS25"/>
  <c r="FT25"/>
  <c r="FV25"/>
  <c r="FT33"/>
  <c r="EJ61" s="1"/>
  <c r="GB33"/>
  <c r="FU33"/>
  <c r="EK61" s="1"/>
  <c r="FV33"/>
  <c r="EL61" s="1"/>
  <c r="FS33"/>
  <c r="EI61" s="1"/>
  <c r="FV31"/>
  <c r="EL60" s="1"/>
  <c r="FS31"/>
  <c r="EI60" s="1"/>
  <c r="FT31"/>
  <c r="EJ60" s="1"/>
  <c r="GB31"/>
  <c r="FU31"/>
  <c r="EK60" s="1"/>
  <c r="FV15"/>
  <c r="FU15" s="1"/>
  <c r="FT15" s="1"/>
  <c r="FS15" s="1"/>
  <c r="GB15"/>
  <c r="GA15" s="1"/>
  <c r="FZ15" s="1"/>
  <c r="FY15" s="1"/>
  <c r="FX15" s="1"/>
  <c r="EE54"/>
  <c r="EE57"/>
  <c r="FV16"/>
  <c r="FU16" s="1"/>
  <c r="FT16" s="1"/>
  <c r="FS16" s="1"/>
  <c r="GB16"/>
  <c r="GA16" s="1"/>
  <c r="FZ16" s="1"/>
  <c r="FY16" s="1"/>
  <c r="FX16" s="1"/>
  <c r="FV18"/>
  <c r="FU18" s="1"/>
  <c r="FT18" s="1"/>
  <c r="FS18" s="1"/>
  <c r="GB18"/>
  <c r="GA18" s="1"/>
  <c r="FZ18" s="1"/>
  <c r="FY18" s="1"/>
  <c r="FX18" s="1"/>
  <c r="FU34"/>
  <c r="EK51" s="1"/>
  <c r="FV34"/>
  <c r="EL51" s="1"/>
  <c r="FS34"/>
  <c r="EI51" s="1"/>
  <c r="FT34"/>
  <c r="EJ51" s="1"/>
  <c r="GB34"/>
  <c r="FV24"/>
  <c r="EL58" s="1"/>
  <c r="FU24"/>
  <c r="EK58" s="1"/>
  <c r="FT24"/>
  <c r="EJ58" s="1"/>
  <c r="GB24"/>
  <c r="FS24"/>
  <c r="EI58" s="1"/>
  <c r="EA54"/>
  <c r="EA57"/>
  <c r="EC54"/>
  <c r="EC57"/>
  <c r="EF54"/>
  <c r="FX5"/>
  <c r="FZ5"/>
  <c r="FY5"/>
  <c r="GA5"/>
  <c r="EB57"/>
  <c r="EB54"/>
  <c r="ED54"/>
  <c r="ED57"/>
  <c r="FV12"/>
  <c r="EL48" s="1"/>
  <c r="FU12"/>
  <c r="EK48" s="1"/>
  <c r="FT12"/>
  <c r="EJ48" s="1"/>
  <c r="GB12"/>
  <c r="FS12"/>
  <c r="EI48" s="1"/>
  <c r="FT29"/>
  <c r="FS29" s="1"/>
  <c r="EI56" s="1"/>
  <c r="GB29"/>
  <c r="FV29"/>
  <c r="FV28"/>
  <c r="FT28"/>
  <c r="GB28"/>
  <c r="FV17"/>
  <c r="FU17" s="1"/>
  <c r="FT17" s="1"/>
  <c r="FS17" s="1"/>
  <c r="GB17"/>
  <c r="GA17" s="1"/>
  <c r="FZ17" s="1"/>
  <c r="FY17" s="1"/>
  <c r="FX17" s="1"/>
  <c r="FV19"/>
  <c r="FU19" s="1"/>
  <c r="FT19" s="1"/>
  <c r="FS19" s="1"/>
  <c r="GB19"/>
  <c r="GA19" s="1"/>
  <c r="FZ19" s="1"/>
  <c r="FY19" s="1"/>
  <c r="FX19" s="1"/>
  <c r="FN20"/>
  <c r="FO20" s="1"/>
  <c r="FP20" s="1"/>
  <c r="FQ20" s="1"/>
  <c r="FR20" s="1"/>
  <c r="FP28"/>
  <c r="EG55" s="1"/>
  <c r="I77"/>
  <c r="J79"/>
  <c r="I107"/>
  <c r="J107" s="1"/>
  <c r="L77"/>
  <c r="M78" s="1"/>
  <c r="G79"/>
  <c r="F77"/>
  <c r="M106"/>
  <c r="L107"/>
  <c r="FE32"/>
  <c r="DX59" s="1"/>
  <c r="FG32"/>
  <c r="DZ59" s="1"/>
  <c r="FM32"/>
  <c r="FD32"/>
  <c r="DW59" s="1"/>
  <c r="FF32"/>
  <c r="DY59" s="1"/>
  <c r="L47"/>
  <c r="J46"/>
  <c r="K50"/>
  <c r="I49"/>
  <c r="F107"/>
  <c r="G107" s="1"/>
  <c r="AQ46"/>
  <c r="AP49"/>
  <c r="M79"/>
  <c r="O20" i="39" l="1"/>
  <c r="S122" i="37"/>
  <c r="N68" i="39"/>
  <c r="T23" i="37"/>
  <c r="T78"/>
  <c r="U121"/>
  <c r="T121"/>
  <c r="T26"/>
  <c r="T27" s="1"/>
  <c r="U78"/>
  <c r="T22"/>
  <c r="O59" i="39" s="1"/>
  <c r="U14" i="37"/>
  <c r="U21"/>
  <c r="P58" i="39" s="1"/>
  <c r="T204" i="33"/>
  <c r="U142"/>
  <c r="U152" s="1"/>
  <c r="P21" i="39" s="1"/>
  <c r="P22" s="1"/>
  <c r="T198" i="33"/>
  <c r="M131" i="35"/>
  <c r="N125" s="1"/>
  <c r="M138"/>
  <c r="N127"/>
  <c r="N128" s="1"/>
  <c r="N132" s="1"/>
  <c r="M68"/>
  <c r="M72" s="1"/>
  <c r="U94" i="33"/>
  <c r="P14" i="39" s="1"/>
  <c r="P19" s="1"/>
  <c r="T141" i="33"/>
  <c r="T153"/>
  <c r="T160"/>
  <c r="U138"/>
  <c r="U139" s="1"/>
  <c r="N97" i="35"/>
  <c r="N98" s="1"/>
  <c r="T158" i="33"/>
  <c r="T161"/>
  <c r="U136"/>
  <c r="U137" s="1"/>
  <c r="R183"/>
  <c r="S162"/>
  <c r="BY113" i="26"/>
  <c r="BY122"/>
  <c r="BY130" s="1"/>
  <c r="M192"/>
  <c r="N186" s="1"/>
  <c r="M199"/>
  <c r="R191"/>
  <c r="R195" s="1"/>
  <c r="S197"/>
  <c r="N188"/>
  <c r="M159"/>
  <c r="M163" s="1"/>
  <c r="BZ112"/>
  <c r="BY127"/>
  <c r="BY138"/>
  <c r="BY136"/>
  <c r="BY137" s="1"/>
  <c r="AP50" i="12"/>
  <c r="B84"/>
  <c r="Q83"/>
  <c r="Q82" s="1"/>
  <c r="Q81" s="1"/>
  <c r="EJ56"/>
  <c r="Y53"/>
  <c r="W52"/>
  <c r="X53" s="1"/>
  <c r="AB53"/>
  <c r="AC52"/>
  <c r="EG57"/>
  <c r="EG54"/>
  <c r="FS28"/>
  <c r="EI55" s="1"/>
  <c r="EJ55"/>
  <c r="FU29"/>
  <c r="EK56" s="1"/>
  <c r="EL56"/>
  <c r="FZ12"/>
  <c r="EO48" s="1"/>
  <c r="GA12"/>
  <c r="EP48" s="1"/>
  <c r="FX12"/>
  <c r="EM48" s="1"/>
  <c r="FY12"/>
  <c r="EN48" s="1"/>
  <c r="FX24"/>
  <c r="EM58" s="1"/>
  <c r="FY24"/>
  <c r="EN58" s="1"/>
  <c r="FZ24"/>
  <c r="EO58" s="1"/>
  <c r="GA24"/>
  <c r="EP58" s="1"/>
  <c r="FY34"/>
  <c r="EN51" s="1"/>
  <c r="FX34"/>
  <c r="EM51" s="1"/>
  <c r="GA34"/>
  <c r="EP51" s="1"/>
  <c r="FZ34"/>
  <c r="EO51" s="1"/>
  <c r="FZ31"/>
  <c r="EO60" s="1"/>
  <c r="GA31"/>
  <c r="EP60" s="1"/>
  <c r="FX31"/>
  <c r="EM60" s="1"/>
  <c r="FY31"/>
  <c r="EN60" s="1"/>
  <c r="GA25"/>
  <c r="FZ25"/>
  <c r="FY25"/>
  <c r="FX25"/>
  <c r="FY21"/>
  <c r="FX21"/>
  <c r="GA21"/>
  <c r="FZ21"/>
  <c r="FX11"/>
  <c r="EM45" s="1"/>
  <c r="FY11"/>
  <c r="EN45" s="1"/>
  <c r="FZ11"/>
  <c r="EO45" s="1"/>
  <c r="GA11"/>
  <c r="EP45" s="1"/>
  <c r="EH57"/>
  <c r="FS20"/>
  <c r="FT20" s="1"/>
  <c r="FU20" s="1"/>
  <c r="FV20" s="1"/>
  <c r="FW20" s="1"/>
  <c r="GA28"/>
  <c r="EP55" s="1"/>
  <c r="FY28"/>
  <c r="FU28"/>
  <c r="EK55" s="1"/>
  <c r="EL55"/>
  <c r="FY29"/>
  <c r="FX29" s="1"/>
  <c r="EM56" s="1"/>
  <c r="GA29"/>
  <c r="FZ33"/>
  <c r="EO61" s="1"/>
  <c r="GA33"/>
  <c r="EP61" s="1"/>
  <c r="FX33"/>
  <c r="EM61" s="1"/>
  <c r="FY33"/>
  <c r="EN61" s="1"/>
  <c r="FY8"/>
  <c r="FX8"/>
  <c r="GA8"/>
  <c r="FZ8"/>
  <c r="EH54"/>
  <c r="AR46"/>
  <c r="AR47" s="1"/>
  <c r="F76"/>
  <c r="G78"/>
  <c r="J78"/>
  <c r="I76"/>
  <c r="AQ49"/>
  <c r="F108"/>
  <c r="G108" s="1"/>
  <c r="H49"/>
  <c r="J50"/>
  <c r="I46"/>
  <c r="K47"/>
  <c r="FI32"/>
  <c r="EA59" s="1"/>
  <c r="FK32"/>
  <c r="EC59" s="1"/>
  <c r="FJ32"/>
  <c r="EB59" s="1"/>
  <c r="FL32"/>
  <c r="ED59" s="1"/>
  <c r="FR32"/>
  <c r="M107"/>
  <c r="L108"/>
  <c r="L76"/>
  <c r="I108"/>
  <c r="J108" s="1"/>
  <c r="AQ47"/>
  <c r="P20" i="39" l="1"/>
  <c r="U122" i="37"/>
  <c r="P68" i="39"/>
  <c r="T122" i="37"/>
  <c r="O68" i="39"/>
  <c r="U26" i="37"/>
  <c r="U27" s="1"/>
  <c r="U22"/>
  <c r="P59" i="39" s="1"/>
  <c r="U23" i="37"/>
  <c r="U204" i="33"/>
  <c r="N138" i="35"/>
  <c r="M71"/>
  <c r="N65" s="1"/>
  <c r="N67" s="1"/>
  <c r="N68" s="1"/>
  <c r="N72" s="1"/>
  <c r="N131"/>
  <c r="O125" s="1"/>
  <c r="O127" s="1"/>
  <c r="O128" s="1"/>
  <c r="O132" s="1"/>
  <c r="N102"/>
  <c r="N108"/>
  <c r="N101"/>
  <c r="O95" s="1"/>
  <c r="M78"/>
  <c r="T162" i="33"/>
  <c r="U140"/>
  <c r="U231" s="1"/>
  <c r="U160"/>
  <c r="U153"/>
  <c r="R163"/>
  <c r="R165" s="1"/>
  <c r="R187"/>
  <c r="U161"/>
  <c r="U158"/>
  <c r="BZ122" i="26"/>
  <c r="BZ130" s="1"/>
  <c r="BZ113"/>
  <c r="N189"/>
  <c r="N193" s="1"/>
  <c r="S191"/>
  <c r="S195" s="1"/>
  <c r="T197"/>
  <c r="M169"/>
  <c r="M162"/>
  <c r="N156" s="1"/>
  <c r="CA112"/>
  <c r="BZ127"/>
  <c r="BZ138"/>
  <c r="BZ136"/>
  <c r="BZ137" s="1"/>
  <c r="AQ50" i="12"/>
  <c r="B85"/>
  <c r="AC53"/>
  <c r="AD52"/>
  <c r="EN56"/>
  <c r="V52"/>
  <c r="U52" s="1"/>
  <c r="FZ29"/>
  <c r="EO56" s="1"/>
  <c r="EJ54"/>
  <c r="EJ57"/>
  <c r="EL54"/>
  <c r="EL57"/>
  <c r="FX28"/>
  <c r="EM55" s="1"/>
  <c r="EN55"/>
  <c r="EK54"/>
  <c r="EK57"/>
  <c r="EI57"/>
  <c r="EI54"/>
  <c r="FZ28"/>
  <c r="EO55" s="1"/>
  <c r="EP57" s="1"/>
  <c r="FX20"/>
  <c r="FY20" s="1"/>
  <c r="FZ20" s="1"/>
  <c r="GA20" s="1"/>
  <c r="GB20" s="1"/>
  <c r="EP56"/>
  <c r="L75"/>
  <c r="M76" s="1"/>
  <c r="I109"/>
  <c r="J109" s="1"/>
  <c r="M108"/>
  <c r="L109"/>
  <c r="AS46"/>
  <c r="AS47" s="1"/>
  <c r="M77"/>
  <c r="FO32"/>
  <c r="EF59" s="1"/>
  <c r="FQ32"/>
  <c r="EH59" s="1"/>
  <c r="FW32"/>
  <c r="FN32"/>
  <c r="EE59" s="1"/>
  <c r="FP32"/>
  <c r="EG59" s="1"/>
  <c r="J47"/>
  <c r="H46"/>
  <c r="I50"/>
  <c r="G49"/>
  <c r="F109"/>
  <c r="G109" s="1"/>
  <c r="AR49"/>
  <c r="I75"/>
  <c r="J77"/>
  <c r="G77"/>
  <c r="F75"/>
  <c r="N71" i="35" l="1"/>
  <c r="O65" s="1"/>
  <c r="O67" s="1"/>
  <c r="O68" s="1"/>
  <c r="O72" s="1"/>
  <c r="N78"/>
  <c r="O97"/>
  <c r="O98" s="1"/>
  <c r="O102" s="1"/>
  <c r="U141" i="33"/>
  <c r="U198"/>
  <c r="O138" i="35"/>
  <c r="O131"/>
  <c r="P125" s="1"/>
  <c r="P127" s="1"/>
  <c r="R205" i="33"/>
  <c r="S182"/>
  <c r="U162"/>
  <c r="CA122" i="26"/>
  <c r="CA130" s="1"/>
  <c r="CA113"/>
  <c r="N192"/>
  <c r="O186" s="1"/>
  <c r="O188" s="1"/>
  <c r="O189" s="1"/>
  <c r="O193" s="1"/>
  <c r="N199"/>
  <c r="T191"/>
  <c r="T195" s="1"/>
  <c r="U197"/>
  <c r="N158"/>
  <c r="N159" s="1"/>
  <c r="N163" s="1"/>
  <c r="CB112"/>
  <c r="CA127"/>
  <c r="CA138"/>
  <c r="CA136"/>
  <c r="CA137" s="1"/>
  <c r="AR50" i="12"/>
  <c r="B86"/>
  <c r="W53"/>
  <c r="V53"/>
  <c r="T52"/>
  <c r="AE52"/>
  <c r="AD53"/>
  <c r="EO57"/>
  <c r="EO54"/>
  <c r="EN57"/>
  <c r="EN54"/>
  <c r="EP54"/>
  <c r="EM57"/>
  <c r="EM54"/>
  <c r="F74"/>
  <c r="G76"/>
  <c r="F110"/>
  <c r="G110" s="1"/>
  <c r="F49"/>
  <c r="H50"/>
  <c r="G46"/>
  <c r="I47"/>
  <c r="FS32"/>
  <c r="EI59" s="1"/>
  <c r="FU32"/>
  <c r="EK59" s="1"/>
  <c r="FT32"/>
  <c r="EJ59" s="1"/>
  <c r="FV32"/>
  <c r="EL59" s="1"/>
  <c r="GB32"/>
  <c r="I110"/>
  <c r="J76"/>
  <c r="I74"/>
  <c r="AS49"/>
  <c r="AT46"/>
  <c r="M109"/>
  <c r="L110"/>
  <c r="L74"/>
  <c r="O71" i="35" l="1"/>
  <c r="P65" s="1"/>
  <c r="P67" s="1"/>
  <c r="P68" s="1"/>
  <c r="P72" s="1"/>
  <c r="O78"/>
  <c r="P128"/>
  <c r="P132" s="1"/>
  <c r="O108"/>
  <c r="O101"/>
  <c r="P95" s="1"/>
  <c r="S183" i="33"/>
  <c r="O192" i="26"/>
  <c r="P186" s="1"/>
  <c r="P188" s="1"/>
  <c r="P189" s="1"/>
  <c r="P193" s="1"/>
  <c r="CB122"/>
  <c r="CB130" s="1"/>
  <c r="CB113"/>
  <c r="O199"/>
  <c r="U191"/>
  <c r="U195" s="1"/>
  <c r="V197"/>
  <c r="N169"/>
  <c r="N162"/>
  <c r="O156" s="1"/>
  <c r="CC112"/>
  <c r="CB127"/>
  <c r="CB138"/>
  <c r="CB136"/>
  <c r="CB137" s="1"/>
  <c r="B87" i="12"/>
  <c r="Q86"/>
  <c r="Q85" s="1"/>
  <c r="Q84" s="1"/>
  <c r="AE53"/>
  <c r="AF52"/>
  <c r="U53"/>
  <c r="S52"/>
  <c r="R52" s="1"/>
  <c r="L73"/>
  <c r="M74" s="1"/>
  <c r="M110"/>
  <c r="L111"/>
  <c r="AU46"/>
  <c r="AU47" s="1"/>
  <c r="AT49"/>
  <c r="I111"/>
  <c r="I73"/>
  <c r="J75"/>
  <c r="FY32"/>
  <c r="EN59" s="1"/>
  <c r="GA32"/>
  <c r="EP59" s="1"/>
  <c r="FX32"/>
  <c r="EM59" s="1"/>
  <c r="FZ32"/>
  <c r="EO59" s="1"/>
  <c r="H47"/>
  <c r="F46"/>
  <c r="G50"/>
  <c r="E49"/>
  <c r="F111"/>
  <c r="G75"/>
  <c r="F73"/>
  <c r="M75"/>
  <c r="AT47"/>
  <c r="AS50"/>
  <c r="J110"/>
  <c r="P199" i="26" l="1"/>
  <c r="P138" i="35"/>
  <c r="P131"/>
  <c r="Q125" s="1"/>
  <c r="Q127" s="1"/>
  <c r="Q128" s="1"/>
  <c r="Q129" s="1"/>
  <c r="Q138" s="1"/>
  <c r="P78"/>
  <c r="S163" i="33"/>
  <c r="P97" i="35"/>
  <c r="P98" s="1"/>
  <c r="P102" s="1"/>
  <c r="P71"/>
  <c r="Q65" s="1"/>
  <c r="S187" i="33"/>
  <c r="P192" i="26"/>
  <c r="Q186" s="1"/>
  <c r="Q188" s="1"/>
  <c r="Q189" s="1"/>
  <c r="Q190" s="1"/>
  <c r="CC113"/>
  <c r="CC122"/>
  <c r="CC130" s="1"/>
  <c r="V191"/>
  <c r="V195" s="1"/>
  <c r="W197"/>
  <c r="W191" s="1"/>
  <c r="W195" s="1"/>
  <c r="O158"/>
  <c r="O159" s="1"/>
  <c r="O163" s="1"/>
  <c r="CD112"/>
  <c r="CC127"/>
  <c r="CC138"/>
  <c r="CC136"/>
  <c r="CC137" s="1"/>
  <c r="AT50" i="12"/>
  <c r="B88"/>
  <c r="T53"/>
  <c r="S53"/>
  <c r="Q52"/>
  <c r="AG52"/>
  <c r="AF53"/>
  <c r="F72"/>
  <c r="G74"/>
  <c r="F112"/>
  <c r="G112" s="1"/>
  <c r="D49"/>
  <c r="F50"/>
  <c r="E46"/>
  <c r="G47"/>
  <c r="I112"/>
  <c r="J112" s="1"/>
  <c r="L72"/>
  <c r="M73" s="1"/>
  <c r="J74"/>
  <c r="I72"/>
  <c r="AU49"/>
  <c r="AV46"/>
  <c r="AV47" s="1"/>
  <c r="M111"/>
  <c r="L112"/>
  <c r="G111"/>
  <c r="J111"/>
  <c r="P101" i="35" l="1"/>
  <c r="Q95" s="1"/>
  <c r="Q97" s="1"/>
  <c r="S165" i="33"/>
  <c r="P108" i="35"/>
  <c r="Q132"/>
  <c r="Q134"/>
  <c r="Q131"/>
  <c r="R125" s="1"/>
  <c r="Q67"/>
  <c r="Q68" s="1"/>
  <c r="Q72" s="1"/>
  <c r="T182" i="33"/>
  <c r="S205"/>
  <c r="Q193" i="26"/>
  <c r="Q195"/>
  <c r="CD122"/>
  <c r="CD130" s="1"/>
  <c r="CD113"/>
  <c r="Q192"/>
  <c r="R186" s="1"/>
  <c r="Q199"/>
  <c r="O169"/>
  <c r="O162"/>
  <c r="P156" s="1"/>
  <c r="CE112"/>
  <c r="CD127"/>
  <c r="CD138"/>
  <c r="CD136"/>
  <c r="CD137" s="1"/>
  <c r="AU50" i="12"/>
  <c r="B89"/>
  <c r="AG53"/>
  <c r="AH52"/>
  <c r="R53"/>
  <c r="P52"/>
  <c r="O52" s="1"/>
  <c r="AV49"/>
  <c r="L71"/>
  <c r="M72" s="1"/>
  <c r="M112"/>
  <c r="L113"/>
  <c r="AW46"/>
  <c r="AW47" s="1"/>
  <c r="I71"/>
  <c r="J73"/>
  <c r="I113"/>
  <c r="J113" s="1"/>
  <c r="F47"/>
  <c r="D46"/>
  <c r="E50"/>
  <c r="C49"/>
  <c r="D50" s="1"/>
  <c r="F113"/>
  <c r="G113" s="1"/>
  <c r="G73"/>
  <c r="F71"/>
  <c r="R188" i="26" l="1"/>
  <c r="R189" s="1"/>
  <c r="R193" s="1"/>
  <c r="Q98" i="35"/>
  <c r="Q78"/>
  <c r="R127"/>
  <c r="R128" s="1"/>
  <c r="R132" s="1"/>
  <c r="Q71"/>
  <c r="R65" s="1"/>
  <c r="T183" i="33"/>
  <c r="CE122" i="26"/>
  <c r="CE130" s="1"/>
  <c r="CE113"/>
  <c r="R192"/>
  <c r="S186" s="1"/>
  <c r="R199"/>
  <c r="S188"/>
  <c r="S189" s="1"/>
  <c r="S193" s="1"/>
  <c r="P158"/>
  <c r="CF112"/>
  <c r="CE127"/>
  <c r="CE138"/>
  <c r="CE136"/>
  <c r="CE137" s="1"/>
  <c r="AV50" i="12"/>
  <c r="B90"/>
  <c r="Q89"/>
  <c r="Q88" s="1"/>
  <c r="Q87" s="1"/>
  <c r="Q53"/>
  <c r="P53"/>
  <c r="N52"/>
  <c r="M52" s="1"/>
  <c r="AH53"/>
  <c r="AI52"/>
  <c r="F70"/>
  <c r="G72"/>
  <c r="F114"/>
  <c r="G114" s="1"/>
  <c r="C46"/>
  <c r="D47" s="1"/>
  <c r="E47"/>
  <c r="I114"/>
  <c r="J114" s="1"/>
  <c r="J72"/>
  <c r="I70"/>
  <c r="L70"/>
  <c r="AX46"/>
  <c r="M113"/>
  <c r="L114"/>
  <c r="AW49"/>
  <c r="T163" i="33" l="1"/>
  <c r="T165" s="1"/>
  <c r="Q99" i="35"/>
  <c r="Q102" s="1"/>
  <c r="R67"/>
  <c r="R68" s="1"/>
  <c r="R72" s="1"/>
  <c r="R138"/>
  <c r="R131"/>
  <c r="S125" s="1"/>
  <c r="T187" i="33"/>
  <c r="CF122" i="26"/>
  <c r="CF130" s="1"/>
  <c r="CF113"/>
  <c r="S192"/>
  <c r="T186" s="1"/>
  <c r="T188" s="1"/>
  <c r="S199"/>
  <c r="P159"/>
  <c r="CG112"/>
  <c r="CF127"/>
  <c r="CF138"/>
  <c r="CF136"/>
  <c r="CF137" s="1"/>
  <c r="AW50" i="12"/>
  <c r="B91"/>
  <c r="O53"/>
  <c r="N53"/>
  <c r="L52"/>
  <c r="K52" s="1"/>
  <c r="AI53"/>
  <c r="AJ52"/>
  <c r="M114"/>
  <c r="L115"/>
  <c r="AY46"/>
  <c r="L69"/>
  <c r="M70" s="1"/>
  <c r="AX49"/>
  <c r="I69"/>
  <c r="J71"/>
  <c r="I115"/>
  <c r="F115"/>
  <c r="G115" s="1"/>
  <c r="G71"/>
  <c r="F69"/>
  <c r="AX47"/>
  <c r="M71"/>
  <c r="Q108" i="35" l="1"/>
  <c r="Q101"/>
  <c r="R95" s="1"/>
  <c r="R97" s="1"/>
  <c r="R98" s="1"/>
  <c r="R102" s="1"/>
  <c r="R78"/>
  <c r="S127"/>
  <c r="S128" s="1"/>
  <c r="Q104"/>
  <c r="G24"/>
  <c r="R71"/>
  <c r="S65" s="1"/>
  <c r="T205" i="33"/>
  <c r="U182"/>
  <c r="CG113" i="26"/>
  <c r="CG122"/>
  <c r="CG130" s="1"/>
  <c r="P169"/>
  <c r="P163"/>
  <c r="T189"/>
  <c r="T193" s="1"/>
  <c r="P162"/>
  <c r="Q156" s="1"/>
  <c r="CH112"/>
  <c r="CG127"/>
  <c r="CG138"/>
  <c r="CG136"/>
  <c r="CG137" s="1"/>
  <c r="B92" i="12"/>
  <c r="M53"/>
  <c r="AJ53"/>
  <c r="AK52"/>
  <c r="L53"/>
  <c r="J52"/>
  <c r="I116"/>
  <c r="J116" s="1"/>
  <c r="I68"/>
  <c r="J69" s="1"/>
  <c r="J70"/>
  <c r="AY49"/>
  <c r="AZ46"/>
  <c r="F68"/>
  <c r="G69" s="1"/>
  <c r="G70"/>
  <c r="F116"/>
  <c r="G116" s="1"/>
  <c r="L68"/>
  <c r="M69" s="1"/>
  <c r="M115"/>
  <c r="L116"/>
  <c r="J115"/>
  <c r="AX50"/>
  <c r="AY47"/>
  <c r="R101" i="35" l="1"/>
  <c r="S95" s="1"/>
  <c r="S97" s="1"/>
  <c r="R108"/>
  <c r="T192" i="26"/>
  <c r="U186" s="1"/>
  <c r="U188" s="1"/>
  <c r="S132" i="35"/>
  <c r="S131"/>
  <c r="T125" s="1"/>
  <c r="S138"/>
  <c r="S67"/>
  <c r="S68" s="1"/>
  <c r="S72" s="1"/>
  <c r="U183" i="33"/>
  <c r="T199" i="26"/>
  <c r="CH122"/>
  <c r="CH130" s="1"/>
  <c r="CH113"/>
  <c r="Q158"/>
  <c r="Q159" s="1"/>
  <c r="CI112"/>
  <c r="CH127"/>
  <c r="CH138"/>
  <c r="CH136"/>
  <c r="CH137" s="1"/>
  <c r="B93" i="12"/>
  <c r="B94" s="1"/>
  <c r="B95" s="1"/>
  <c r="Q92"/>
  <c r="Q91" s="1"/>
  <c r="Q90" s="1"/>
  <c r="K53"/>
  <c r="I52"/>
  <c r="H52" s="1"/>
  <c r="AL52"/>
  <c r="AK53"/>
  <c r="BA46"/>
  <c r="AZ49"/>
  <c r="M116"/>
  <c r="L117"/>
  <c r="F117"/>
  <c r="G117" s="1"/>
  <c r="I117"/>
  <c r="AZ47"/>
  <c r="AY50"/>
  <c r="T127" i="35" l="1"/>
  <c r="U163" i="33"/>
  <c r="S78" i="35"/>
  <c r="S98"/>
  <c r="S102" s="1"/>
  <c r="T128"/>
  <c r="T132" s="1"/>
  <c r="S71"/>
  <c r="T65" s="1"/>
  <c r="T67" s="1"/>
  <c r="U187" i="33"/>
  <c r="U205" s="1"/>
  <c r="CI122" i="26"/>
  <c r="CI130" s="1"/>
  <c r="CI113"/>
  <c r="Q160"/>
  <c r="Q165" s="1"/>
  <c r="U189"/>
  <c r="U193" s="1"/>
  <c r="CJ112"/>
  <c r="CI127"/>
  <c r="CI138"/>
  <c r="CI136"/>
  <c r="CI137" s="1"/>
  <c r="B96" i="12"/>
  <c r="Q95"/>
  <c r="Q94" s="1"/>
  <c r="Q93" s="1"/>
  <c r="J53"/>
  <c r="AM52"/>
  <c r="AL53"/>
  <c r="I53"/>
  <c r="G52"/>
  <c r="M117"/>
  <c r="L118"/>
  <c r="BA49"/>
  <c r="BB46"/>
  <c r="BB47" s="1"/>
  <c r="I118"/>
  <c r="J118" s="1"/>
  <c r="F118"/>
  <c r="G118" s="1"/>
  <c r="J117"/>
  <c r="AZ50"/>
  <c r="BA47"/>
  <c r="Q162" i="26" l="1"/>
  <c r="R156" s="1"/>
  <c r="U165" i="33"/>
  <c r="T68" i="35"/>
  <c r="T72" s="1"/>
  <c r="T138"/>
  <c r="T131"/>
  <c r="U125" s="1"/>
  <c r="S108"/>
  <c r="S101"/>
  <c r="T95" s="1"/>
  <c r="T97" s="1"/>
  <c r="CJ122" i="26"/>
  <c r="CJ130" s="1"/>
  <c r="CJ113"/>
  <c r="Q169"/>
  <c r="Q163"/>
  <c r="U199"/>
  <c r="U192"/>
  <c r="V186" s="1"/>
  <c r="V188" s="1"/>
  <c r="V189" s="1"/>
  <c r="V193" s="1"/>
  <c r="CK112"/>
  <c r="CJ127"/>
  <c r="CJ138"/>
  <c r="CJ136"/>
  <c r="CJ137" s="1"/>
  <c r="BA50" i="12"/>
  <c r="B97"/>
  <c r="B98" s="1"/>
  <c r="H53"/>
  <c r="F52"/>
  <c r="AN52"/>
  <c r="AM53"/>
  <c r="F119"/>
  <c r="G119" s="1"/>
  <c r="I119"/>
  <c r="J119" s="1"/>
  <c r="BC46"/>
  <c r="BC47" s="1"/>
  <c r="BB49"/>
  <c r="M118"/>
  <c r="L119"/>
  <c r="R158" i="26" l="1"/>
  <c r="R159" s="1"/>
  <c r="R163" s="1"/>
  <c r="T78" i="35"/>
  <c r="T98"/>
  <c r="T102" s="1"/>
  <c r="U127"/>
  <c r="U128" s="1"/>
  <c r="U132" s="1"/>
  <c r="T71"/>
  <c r="U65" s="1"/>
  <c r="CK113" i="26"/>
  <c r="CK122"/>
  <c r="CK130" s="1"/>
  <c r="V192"/>
  <c r="W186" s="1"/>
  <c r="W188" s="1"/>
  <c r="W189" s="1"/>
  <c r="W193" s="1"/>
  <c r="V199"/>
  <c r="CL112"/>
  <c r="CK127"/>
  <c r="CK138"/>
  <c r="CK136"/>
  <c r="CK137" s="1"/>
  <c r="BB50" i="12"/>
  <c r="B99"/>
  <c r="Q98"/>
  <c r="Q97" s="1"/>
  <c r="Q96" s="1"/>
  <c r="AO52"/>
  <c r="AN53"/>
  <c r="G53"/>
  <c r="E52"/>
  <c r="F53" s="1"/>
  <c r="M119"/>
  <c r="L120"/>
  <c r="I120"/>
  <c r="J120" s="1"/>
  <c r="F120"/>
  <c r="G120" s="1"/>
  <c r="BC49"/>
  <c r="BD46"/>
  <c r="R169" i="26" l="1"/>
  <c r="R162"/>
  <c r="S156" s="1"/>
  <c r="S158" s="1"/>
  <c r="S159" s="1"/>
  <c r="S163" s="1"/>
  <c r="T101" i="35"/>
  <c r="U95" s="1"/>
  <c r="U97" s="1"/>
  <c r="U98" s="1"/>
  <c r="U102" s="1"/>
  <c r="T108"/>
  <c r="U131"/>
  <c r="V125" s="1"/>
  <c r="V127" s="1"/>
  <c r="U67"/>
  <c r="U68" s="1"/>
  <c r="U138"/>
  <c r="U134" s="1"/>
  <c r="CL122" i="26"/>
  <c r="CL130" s="1"/>
  <c r="CL113"/>
  <c r="W192"/>
  <c r="X186" s="1"/>
  <c r="W199"/>
  <c r="CM112"/>
  <c r="CL127"/>
  <c r="CL138"/>
  <c r="CL136"/>
  <c r="CL137" s="1"/>
  <c r="BC50" i="12"/>
  <c r="B100"/>
  <c r="B101" s="1"/>
  <c r="AP52"/>
  <c r="AO53"/>
  <c r="D52"/>
  <c r="C52" s="1"/>
  <c r="D53" s="1"/>
  <c r="BE46"/>
  <c r="BE47" s="1"/>
  <c r="BD49"/>
  <c r="F121"/>
  <c r="G121" s="1"/>
  <c r="M120"/>
  <c r="L121"/>
  <c r="BD47"/>
  <c r="I121"/>
  <c r="J121" s="1"/>
  <c r="U101" i="35" l="1"/>
  <c r="V95" s="1"/>
  <c r="U69"/>
  <c r="U72" s="1"/>
  <c r="V128"/>
  <c r="V132" s="1"/>
  <c r="U108"/>
  <c r="U104" s="1"/>
  <c r="CM122" i="26"/>
  <c r="CM130" s="1"/>
  <c r="CM113"/>
  <c r="S162"/>
  <c r="T156" s="1"/>
  <c r="T158" s="1"/>
  <c r="S169"/>
  <c r="CN112"/>
  <c r="CM127"/>
  <c r="CM138"/>
  <c r="CM136"/>
  <c r="CM137" s="1"/>
  <c r="BD50" i="12"/>
  <c r="B102"/>
  <c r="Q101"/>
  <c r="Q100" s="1"/>
  <c r="Q99" s="1"/>
  <c r="AQ52"/>
  <c r="AP53"/>
  <c r="E53"/>
  <c r="BF46"/>
  <c r="BF47" s="1"/>
  <c r="I122"/>
  <c r="J122" s="1"/>
  <c r="M121"/>
  <c r="L122"/>
  <c r="F122"/>
  <c r="G122" s="1"/>
  <c r="BE49"/>
  <c r="V131" i="35" l="1"/>
  <c r="W125" s="1"/>
  <c r="W127" s="1"/>
  <c r="V97"/>
  <c r="V98" s="1"/>
  <c r="V138"/>
  <c r="U71"/>
  <c r="V65" s="1"/>
  <c r="V67" s="1"/>
  <c r="V68" s="1"/>
  <c r="V72" s="1"/>
  <c r="U78"/>
  <c r="U74" s="1"/>
  <c r="CN122" i="26"/>
  <c r="CN130" s="1"/>
  <c r="CN113"/>
  <c r="T159"/>
  <c r="T163" s="1"/>
  <c r="CO112"/>
  <c r="CN127"/>
  <c r="CN138"/>
  <c r="CN136"/>
  <c r="CN137" s="1"/>
  <c r="BE50" i="12"/>
  <c r="B103"/>
  <c r="B104" s="1"/>
  <c r="AR52"/>
  <c r="AQ53"/>
  <c r="BF49"/>
  <c r="F123"/>
  <c r="G123" s="1"/>
  <c r="M122"/>
  <c r="L123"/>
  <c r="I123"/>
  <c r="J123" s="1"/>
  <c r="BG46"/>
  <c r="BG47" s="1"/>
  <c r="V102" i="35" l="1"/>
  <c r="V101"/>
  <c r="W95" s="1"/>
  <c r="W128"/>
  <c r="V108"/>
  <c r="V71"/>
  <c r="W65" s="1"/>
  <c r="V78"/>
  <c r="CO113" i="26"/>
  <c r="CO122"/>
  <c r="CO130" s="1"/>
  <c r="T169"/>
  <c r="T162"/>
  <c r="U156" s="1"/>
  <c r="U158" s="1"/>
  <c r="CP112"/>
  <c r="CO127"/>
  <c r="CO138"/>
  <c r="CO136"/>
  <c r="CO137" s="1"/>
  <c r="BF50" i="12"/>
  <c r="B105"/>
  <c r="Q104"/>
  <c r="Q103" s="1"/>
  <c r="Q102" s="1"/>
  <c r="AR53"/>
  <c r="AS52"/>
  <c r="M123"/>
  <c r="L124"/>
  <c r="F124"/>
  <c r="G124" s="1"/>
  <c r="BH46"/>
  <c r="BH47" s="1"/>
  <c r="I124"/>
  <c r="J124" s="1"/>
  <c r="BG49"/>
  <c r="W67" i="35" l="1"/>
  <c r="W68" s="1"/>
  <c r="W72" s="1"/>
  <c r="W129"/>
  <c r="W97"/>
  <c r="W98" s="1"/>
  <c r="CP122" i="26"/>
  <c r="CP130" s="1"/>
  <c r="CP113"/>
  <c r="U159"/>
  <c r="U163" s="1"/>
  <c r="CQ112"/>
  <c r="CP127"/>
  <c r="CP138"/>
  <c r="CP136"/>
  <c r="CP137" s="1"/>
  <c r="BG50" i="12"/>
  <c r="B106"/>
  <c r="B107" s="1"/>
  <c r="AS53"/>
  <c r="AT52"/>
  <c r="I125"/>
  <c r="J125" s="1"/>
  <c r="BI46"/>
  <c r="BI47" s="1"/>
  <c r="F125"/>
  <c r="G125" s="1"/>
  <c r="BH49"/>
  <c r="M124"/>
  <c r="L125"/>
  <c r="W78" i="35" l="1"/>
  <c r="W102"/>
  <c r="W101"/>
  <c r="X95" s="1"/>
  <c r="W134"/>
  <c r="W138"/>
  <c r="W108"/>
  <c r="W131"/>
  <c r="X125" s="1"/>
  <c r="W132"/>
  <c r="W71"/>
  <c r="X65" s="1"/>
  <c r="CQ122" i="26"/>
  <c r="CQ130" s="1"/>
  <c r="CQ113"/>
  <c r="U162"/>
  <c r="V156" s="1"/>
  <c r="V158" s="1"/>
  <c r="V159" s="1"/>
  <c r="V163" s="1"/>
  <c r="U169"/>
  <c r="CR112"/>
  <c r="CQ127"/>
  <c r="CQ138"/>
  <c r="CQ136"/>
  <c r="CQ137" s="1"/>
  <c r="B108" i="12"/>
  <c r="B109" s="1"/>
  <c r="B110" s="1"/>
  <c r="Q107"/>
  <c r="Q106" s="1"/>
  <c r="Q105" s="1"/>
  <c r="AU52"/>
  <c r="AT53"/>
  <c r="M125"/>
  <c r="L126"/>
  <c r="BI49"/>
  <c r="F126"/>
  <c r="G126" s="1"/>
  <c r="BJ46"/>
  <c r="BJ47" s="1"/>
  <c r="I126"/>
  <c r="J126" s="1"/>
  <c r="BH50"/>
  <c r="X127" i="35" l="1"/>
  <c r="X67"/>
  <c r="X68" s="1"/>
  <c r="X128"/>
  <c r="X132" s="1"/>
  <c r="X97"/>
  <c r="X98" s="1"/>
  <c r="X102" s="1"/>
  <c r="CR122" i="26"/>
  <c r="CR130" s="1"/>
  <c r="CR113"/>
  <c r="V169"/>
  <c r="V162"/>
  <c r="W156" s="1"/>
  <c r="W158" s="1"/>
  <c r="CS112"/>
  <c r="CR127"/>
  <c r="CR138"/>
  <c r="CR136"/>
  <c r="CR137" s="1"/>
  <c r="BI50" i="12"/>
  <c r="B111"/>
  <c r="B112" s="1"/>
  <c r="B113" s="1"/>
  <c r="Q110"/>
  <c r="Q109" s="1"/>
  <c r="Q108" s="1"/>
  <c r="AV52"/>
  <c r="AU53"/>
  <c r="I127"/>
  <c r="J127" s="1"/>
  <c r="BK46"/>
  <c r="BK47" s="1"/>
  <c r="F127"/>
  <c r="G127" s="1"/>
  <c r="BJ49"/>
  <c r="M126"/>
  <c r="L127"/>
  <c r="X138" i="35" l="1"/>
  <c r="X108"/>
  <c r="X72"/>
  <c r="X71"/>
  <c r="Y65" s="1"/>
  <c r="X78"/>
  <c r="X101"/>
  <c r="Y95" s="1"/>
  <c r="X131"/>
  <c r="Y125" s="1"/>
  <c r="CS113" i="26"/>
  <c r="CS122"/>
  <c r="CS130" s="1"/>
  <c r="W159"/>
  <c r="W163" s="1"/>
  <c r="CT112"/>
  <c r="CS127"/>
  <c r="CS138"/>
  <c r="CS136"/>
  <c r="CS137" s="1"/>
  <c r="BJ50" i="12"/>
  <c r="B114"/>
  <c r="B115" s="1"/>
  <c r="B116" s="1"/>
  <c r="Q113"/>
  <c r="Q112" s="1"/>
  <c r="Q111" s="1"/>
  <c r="AV53"/>
  <c r="AW52"/>
  <c r="BK49"/>
  <c r="M127"/>
  <c r="L128"/>
  <c r="F128"/>
  <c r="G128" s="1"/>
  <c r="BL46"/>
  <c r="BL47" s="1"/>
  <c r="I128"/>
  <c r="J128" s="1"/>
  <c r="Y67" i="35" l="1"/>
  <c r="Y127"/>
  <c r="Y128" s="1"/>
  <c r="Y132" s="1"/>
  <c r="Y68"/>
  <c r="Y72" s="1"/>
  <c r="Y97"/>
  <c r="Y98" s="1"/>
  <c r="CT122" i="26"/>
  <c r="CT130" s="1"/>
  <c r="CT113"/>
  <c r="W169"/>
  <c r="W162"/>
  <c r="X156" s="1"/>
  <c r="X158" s="1"/>
  <c r="CU112"/>
  <c r="CT127"/>
  <c r="CT138"/>
  <c r="CT136"/>
  <c r="CT137" s="1"/>
  <c r="BK50" i="12"/>
  <c r="B117"/>
  <c r="B118" s="1"/>
  <c r="B119" s="1"/>
  <c r="Q116"/>
  <c r="Q115" s="1"/>
  <c r="Q114" s="1"/>
  <c r="AX52"/>
  <c r="AW53"/>
  <c r="F129"/>
  <c r="G129" s="1"/>
  <c r="I129"/>
  <c r="J129" s="1"/>
  <c r="BM46"/>
  <c r="BM47" s="1"/>
  <c r="M128"/>
  <c r="L129"/>
  <c r="BL49"/>
  <c r="Y78" i="35" l="1"/>
  <c r="Y102"/>
  <c r="Y108"/>
  <c r="Y138"/>
  <c r="Y71"/>
  <c r="Z65" s="1"/>
  <c r="Z67" s="1"/>
  <c r="Y101"/>
  <c r="Z95" s="1"/>
  <c r="Y131"/>
  <c r="Z125" s="1"/>
  <c r="CU122" i="26"/>
  <c r="CU130" s="1"/>
  <c r="CU113"/>
  <c r="X159"/>
  <c r="X163" s="1"/>
  <c r="CV112"/>
  <c r="CU127"/>
  <c r="CU138"/>
  <c r="CU136"/>
  <c r="CU137" s="1"/>
  <c r="BL50" i="12"/>
  <c r="B120"/>
  <c r="Q119"/>
  <c r="Q118" s="1"/>
  <c r="Q117" s="1"/>
  <c r="AY52"/>
  <c r="AX53"/>
  <c r="F130"/>
  <c r="G130" s="1"/>
  <c r="BM49"/>
  <c r="M129"/>
  <c r="L130"/>
  <c r="BN46"/>
  <c r="BN47" s="1"/>
  <c r="I130"/>
  <c r="J130" s="1"/>
  <c r="Z97" i="35" l="1"/>
  <c r="Z68"/>
  <c r="Z72" s="1"/>
  <c r="Z127"/>
  <c r="Z128" s="1"/>
  <c r="Z132" s="1"/>
  <c r="CV122" i="26"/>
  <c r="CV130" s="1"/>
  <c r="CV113"/>
  <c r="X162"/>
  <c r="Y156" s="1"/>
  <c r="Y158" s="1"/>
  <c r="Y159" s="1"/>
  <c r="Y163" s="1"/>
  <c r="X169"/>
  <c r="CW112"/>
  <c r="CV127"/>
  <c r="CV138"/>
  <c r="CV136"/>
  <c r="CV137" s="1"/>
  <c r="BM50" i="12"/>
  <c r="B121"/>
  <c r="B122" s="1"/>
  <c r="AY53"/>
  <c r="AZ52"/>
  <c r="I131"/>
  <c r="BO46"/>
  <c r="M130"/>
  <c r="L131"/>
  <c r="BN49"/>
  <c r="F131"/>
  <c r="Z78" i="35" l="1"/>
  <c r="Z71"/>
  <c r="AA65" s="1"/>
  <c r="AA67" s="1"/>
  <c r="AA68" s="1"/>
  <c r="AA72" s="1"/>
  <c r="Z131"/>
  <c r="AA125" s="1"/>
  <c r="Z98"/>
  <c r="Z102" s="1"/>
  <c r="AA127"/>
  <c r="Z138"/>
  <c r="Y162" i="26"/>
  <c r="Z156" s="1"/>
  <c r="Z158" s="1"/>
  <c r="CW113"/>
  <c r="CW122"/>
  <c r="CW130" s="1"/>
  <c r="Y169"/>
  <c r="CX112"/>
  <c r="AC131" s="1"/>
  <c r="CW127"/>
  <c r="CW138"/>
  <c r="CW136"/>
  <c r="CW137" s="1"/>
  <c r="BN50" i="12"/>
  <c r="Z71" i="26"/>
  <c r="Z75" s="1"/>
  <c r="F71"/>
  <c r="E71"/>
  <c r="G71"/>
  <c r="B123" i="12"/>
  <c r="B124" s="1"/>
  <c r="B125" s="1"/>
  <c r="Q122"/>
  <c r="Q121" s="1"/>
  <c r="Q120" s="1"/>
  <c r="BA52"/>
  <c r="AZ53"/>
  <c r="F132"/>
  <c r="G132" s="1"/>
  <c r="M131"/>
  <c r="L132"/>
  <c r="BP46"/>
  <c r="BP47" s="1"/>
  <c r="I132"/>
  <c r="J132" s="1"/>
  <c r="BO49"/>
  <c r="G131"/>
  <c r="BO47"/>
  <c r="J131"/>
  <c r="AA78" i="35" l="1"/>
  <c r="Z108"/>
  <c r="AA71"/>
  <c r="AB65" s="1"/>
  <c r="AB67" s="1"/>
  <c r="AB68" s="1"/>
  <c r="AA128"/>
  <c r="AA132" s="1"/>
  <c r="Z101"/>
  <c r="AA95" s="1"/>
  <c r="AA97" s="1"/>
  <c r="Z159" i="26"/>
  <c r="Z163" s="1"/>
  <c r="H131"/>
  <c r="X131"/>
  <c r="N131"/>
  <c r="N135" s="1"/>
  <c r="O131"/>
  <c r="O135" s="1"/>
  <c r="F131"/>
  <c r="J131"/>
  <c r="R131"/>
  <c r="G131"/>
  <c r="W131"/>
  <c r="L131"/>
  <c r="P131"/>
  <c r="P135" s="1"/>
  <c r="T131"/>
  <c r="T135" s="1"/>
  <c r="AB131"/>
  <c r="K131"/>
  <c r="S131"/>
  <c r="S135" s="1"/>
  <c r="AA131"/>
  <c r="AA135" s="1"/>
  <c r="V131"/>
  <c r="V135" s="1"/>
  <c r="Z131"/>
  <c r="Z135" s="1"/>
  <c r="E131"/>
  <c r="E135" s="1"/>
  <c r="I131"/>
  <c r="M131"/>
  <c r="M135" s="1"/>
  <c r="Q131"/>
  <c r="U131"/>
  <c r="U135" s="1"/>
  <c r="Y131"/>
  <c r="Y135" s="1"/>
  <c r="CX122"/>
  <c r="CX130" s="1"/>
  <c r="CX113"/>
  <c r="AG131"/>
  <c r="AG135" s="1"/>
  <c r="AK131"/>
  <c r="AK135" s="1"/>
  <c r="AO131"/>
  <c r="AS131"/>
  <c r="AS135" s="1"/>
  <c r="AW131"/>
  <c r="AW135" s="1"/>
  <c r="BA131"/>
  <c r="BE131"/>
  <c r="BE135" s="1"/>
  <c r="BI131"/>
  <c r="BI135" s="1"/>
  <c r="BM131"/>
  <c r="BQ131"/>
  <c r="BQ135" s="1"/>
  <c r="BU131"/>
  <c r="BU135" s="1"/>
  <c r="BY131"/>
  <c r="BY135" s="1"/>
  <c r="CC131"/>
  <c r="CC135" s="1"/>
  <c r="CG131"/>
  <c r="CG135" s="1"/>
  <c r="CK131"/>
  <c r="CK135" s="1"/>
  <c r="CO131"/>
  <c r="CO135" s="1"/>
  <c r="CS131"/>
  <c r="CS135" s="1"/>
  <c r="CW131"/>
  <c r="CW135" s="1"/>
  <c r="DA131"/>
  <c r="DE131"/>
  <c r="DI131"/>
  <c r="DM131"/>
  <c r="DQ131"/>
  <c r="DU131"/>
  <c r="DY131"/>
  <c r="EC131"/>
  <c r="EG131"/>
  <c r="EK131"/>
  <c r="EO131"/>
  <c r="ES131"/>
  <c r="EW131"/>
  <c r="FA131"/>
  <c r="FE131"/>
  <c r="FI131"/>
  <c r="FM131"/>
  <c r="FQ131"/>
  <c r="FU131"/>
  <c r="FY131"/>
  <c r="GC131"/>
  <c r="GG131"/>
  <c r="GK131"/>
  <c r="GO131"/>
  <c r="CX127"/>
  <c r="AF131"/>
  <c r="AF135" s="1"/>
  <c r="AJ131"/>
  <c r="AN131"/>
  <c r="AN135" s="1"/>
  <c r="AR131"/>
  <c r="AR135" s="1"/>
  <c r="AV131"/>
  <c r="AV135" s="1"/>
  <c r="AZ131"/>
  <c r="AZ135" s="1"/>
  <c r="BD131"/>
  <c r="BD135" s="1"/>
  <c r="BH131"/>
  <c r="BH135" s="1"/>
  <c r="BL131"/>
  <c r="BL135" s="1"/>
  <c r="BP131"/>
  <c r="BP135" s="1"/>
  <c r="BT131"/>
  <c r="BT135" s="1"/>
  <c r="BX131"/>
  <c r="BX135" s="1"/>
  <c r="CB131"/>
  <c r="CB135" s="1"/>
  <c r="CF131"/>
  <c r="CF135" s="1"/>
  <c r="CJ131"/>
  <c r="CJ135" s="1"/>
  <c r="CN131"/>
  <c r="CN135" s="1"/>
  <c r="CR131"/>
  <c r="CR135" s="1"/>
  <c r="CV131"/>
  <c r="CV135" s="1"/>
  <c r="CZ131"/>
  <c r="DD131"/>
  <c r="DH131"/>
  <c r="DL131"/>
  <c r="DP131"/>
  <c r="DT131"/>
  <c r="DX131"/>
  <c r="EB131"/>
  <c r="EF131"/>
  <c r="EJ131"/>
  <c r="EN131"/>
  <c r="ER131"/>
  <c r="EV131"/>
  <c r="EZ131"/>
  <c r="FD131"/>
  <c r="FH131"/>
  <c r="FL131"/>
  <c r="FP131"/>
  <c r="FT131"/>
  <c r="FX131"/>
  <c r="GB131"/>
  <c r="GF131"/>
  <c r="GJ131"/>
  <c r="GN131"/>
  <c r="CY112"/>
  <c r="AE131"/>
  <c r="AE135" s="1"/>
  <c r="AI131"/>
  <c r="AM131"/>
  <c r="AM135" s="1"/>
  <c r="AQ131"/>
  <c r="AQ135" s="1"/>
  <c r="AU131"/>
  <c r="AY131"/>
  <c r="AY135" s="1"/>
  <c r="BC131"/>
  <c r="BC135" s="1"/>
  <c r="BG131"/>
  <c r="BG135" s="1"/>
  <c r="BK131"/>
  <c r="BK135" s="1"/>
  <c r="BO131"/>
  <c r="BO135" s="1"/>
  <c r="BS131"/>
  <c r="BS135" s="1"/>
  <c r="BW131"/>
  <c r="BW135" s="1"/>
  <c r="CA131"/>
  <c r="CA135" s="1"/>
  <c r="CE131"/>
  <c r="CE135" s="1"/>
  <c r="CI131"/>
  <c r="CI135" s="1"/>
  <c r="CM131"/>
  <c r="CM135" s="1"/>
  <c r="CQ131"/>
  <c r="CQ135" s="1"/>
  <c r="CU131"/>
  <c r="CU135" s="1"/>
  <c r="CY131"/>
  <c r="DC131"/>
  <c r="DG131"/>
  <c r="DK131"/>
  <c r="DO131"/>
  <c r="DS131"/>
  <c r="DW131"/>
  <c r="EA131"/>
  <c r="EE131"/>
  <c r="EI131"/>
  <c r="EM131"/>
  <c r="EQ131"/>
  <c r="EU131"/>
  <c r="EY131"/>
  <c r="FC131"/>
  <c r="FG131"/>
  <c r="FK131"/>
  <c r="FO131"/>
  <c r="FS131"/>
  <c r="FW131"/>
  <c r="GA131"/>
  <c r="GE131"/>
  <c r="GI131"/>
  <c r="GM131"/>
  <c r="GQ131"/>
  <c r="AD131"/>
  <c r="AH131"/>
  <c r="AH135" s="1"/>
  <c r="AL131"/>
  <c r="AL135" s="1"/>
  <c r="AP131"/>
  <c r="AT131"/>
  <c r="AT135" s="1"/>
  <c r="AX131"/>
  <c r="AX135" s="1"/>
  <c r="BB131"/>
  <c r="BB135" s="1"/>
  <c r="BF131"/>
  <c r="BF135" s="1"/>
  <c r="BJ131"/>
  <c r="BJ135" s="1"/>
  <c r="BN131"/>
  <c r="BN135" s="1"/>
  <c r="BR131"/>
  <c r="BR135" s="1"/>
  <c r="BV131"/>
  <c r="BV135" s="1"/>
  <c r="BZ131"/>
  <c r="BZ135" s="1"/>
  <c r="CD131"/>
  <c r="CD135" s="1"/>
  <c r="CH131"/>
  <c r="CH135" s="1"/>
  <c r="CL131"/>
  <c r="CL135" s="1"/>
  <c r="CP131"/>
  <c r="CP135" s="1"/>
  <c r="CT131"/>
  <c r="CT135" s="1"/>
  <c r="CX131"/>
  <c r="DB131"/>
  <c r="DF131"/>
  <c r="DJ131"/>
  <c r="DN131"/>
  <c r="DR131"/>
  <c r="DV131"/>
  <c r="DZ131"/>
  <c r="ED131"/>
  <c r="EH131"/>
  <c r="EL131"/>
  <c r="EP131"/>
  <c r="ET131"/>
  <c r="EX131"/>
  <c r="FB131"/>
  <c r="FF131"/>
  <c r="FJ131"/>
  <c r="FN131"/>
  <c r="FR131"/>
  <c r="FV131"/>
  <c r="FZ131"/>
  <c r="GD131"/>
  <c r="GH131"/>
  <c r="GL131"/>
  <c r="GP131"/>
  <c r="CX138"/>
  <c r="CX136"/>
  <c r="CX137" s="1"/>
  <c r="BO50" i="12"/>
  <c r="P101" i="26"/>
  <c r="R101"/>
  <c r="T101"/>
  <c r="V101"/>
  <c r="X101"/>
  <c r="Z101"/>
  <c r="AB101"/>
  <c r="O101"/>
  <c r="Q101"/>
  <c r="S101"/>
  <c r="U101"/>
  <c r="W101"/>
  <c r="Y101"/>
  <c r="AA101"/>
  <c r="AC101"/>
  <c r="F101"/>
  <c r="H101"/>
  <c r="J101"/>
  <c r="L101"/>
  <c r="N101"/>
  <c r="G101"/>
  <c r="I101"/>
  <c r="K101"/>
  <c r="M101"/>
  <c r="E101"/>
  <c r="B126" i="12"/>
  <c r="Q125"/>
  <c r="Q124" s="1"/>
  <c r="Q123" s="1"/>
  <c r="BA53"/>
  <c r="BB52"/>
  <c r="BP49"/>
  <c r="I133"/>
  <c r="J133" s="1"/>
  <c r="M132"/>
  <c r="L133"/>
  <c r="BQ46"/>
  <c r="BQ47" s="1"/>
  <c r="F133"/>
  <c r="G133" s="1"/>
  <c r="AA131" i="35" l="1"/>
  <c r="AB125" s="1"/>
  <c r="AB127" s="1"/>
  <c r="AB128" s="1"/>
  <c r="AB132" s="1"/>
  <c r="AA138"/>
  <c r="AB72"/>
  <c r="AB78"/>
  <c r="AA98"/>
  <c r="AA102" s="1"/>
  <c r="AB71"/>
  <c r="AC65" s="1"/>
  <c r="Z162" i="26"/>
  <c r="AA156" s="1"/>
  <c r="AA158" s="1"/>
  <c r="Z169"/>
  <c r="E132"/>
  <c r="F126" s="1"/>
  <c r="F128" s="1"/>
  <c r="CY122"/>
  <c r="CY130" s="1"/>
  <c r="CY135" s="1"/>
  <c r="CY113"/>
  <c r="CX135"/>
  <c r="CZ112"/>
  <c r="CY127"/>
  <c r="CY138"/>
  <c r="CY136"/>
  <c r="CY137" s="1"/>
  <c r="BP50" i="12"/>
  <c r="E105" i="26"/>
  <c r="E102"/>
  <c r="F96" s="1"/>
  <c r="E75"/>
  <c r="F66"/>
  <c r="B127" i="12"/>
  <c r="B128" s="1"/>
  <c r="BB53"/>
  <c r="BC52"/>
  <c r="F134"/>
  <c r="G134" s="1"/>
  <c r="M133"/>
  <c r="L134"/>
  <c r="BR46"/>
  <c r="BR47" s="1"/>
  <c r="I134"/>
  <c r="J134" s="1"/>
  <c r="BQ49"/>
  <c r="AA101" i="35" l="1"/>
  <c r="AB95" s="1"/>
  <c r="AB97" s="1"/>
  <c r="AB98" s="1"/>
  <c r="AB138"/>
  <c r="AC67"/>
  <c r="AC68" s="1"/>
  <c r="AB131"/>
  <c r="AC125" s="1"/>
  <c r="AA108"/>
  <c r="AA159" i="26"/>
  <c r="CZ122"/>
  <c r="CZ130" s="1"/>
  <c r="CZ135" s="1"/>
  <c r="CZ113"/>
  <c r="I58" i="30"/>
  <c r="E200" i="26"/>
  <c r="DA112"/>
  <c r="CZ127"/>
  <c r="CZ138"/>
  <c r="CZ136"/>
  <c r="CZ137" s="1"/>
  <c r="BQ50" i="12"/>
  <c r="F129" i="26"/>
  <c r="F133" s="1"/>
  <c r="F68"/>
  <c r="F69" s="1"/>
  <c r="F98"/>
  <c r="F99" s="1"/>
  <c r="B129" i="12"/>
  <c r="B130" s="1"/>
  <c r="B131" s="1"/>
  <c r="Q128"/>
  <c r="Q127" s="1"/>
  <c r="Q126" s="1"/>
  <c r="BC53"/>
  <c r="BD52"/>
  <c r="BR49"/>
  <c r="F135"/>
  <c r="G135" s="1"/>
  <c r="I135"/>
  <c r="J135" s="1"/>
  <c r="F200" i="26" s="1"/>
  <c r="BS46" i="12"/>
  <c r="BS47" s="1"/>
  <c r="M134"/>
  <c r="L135"/>
  <c r="AC72" i="35" l="1"/>
  <c r="AC71"/>
  <c r="AD65" s="1"/>
  <c r="AC78"/>
  <c r="AB102"/>
  <c r="AB101"/>
  <c r="AC95" s="1"/>
  <c r="AC127"/>
  <c r="AC128" s="1"/>
  <c r="AB108"/>
  <c r="AA163" i="26"/>
  <c r="AA162"/>
  <c r="AB156" s="1"/>
  <c r="AA169"/>
  <c r="DA113"/>
  <c r="DA122"/>
  <c r="DA130" s="1"/>
  <c r="DA135" s="1"/>
  <c r="F75"/>
  <c r="F73"/>
  <c r="F100"/>
  <c r="F105" s="1"/>
  <c r="DB112"/>
  <c r="DA127"/>
  <c r="DA138"/>
  <c r="DA136"/>
  <c r="DA137" s="1"/>
  <c r="F135"/>
  <c r="BR50" i="12"/>
  <c r="F79" i="26"/>
  <c r="F72"/>
  <c r="B132" i="12"/>
  <c r="B133" s="1"/>
  <c r="B134" s="1"/>
  <c r="Q131"/>
  <c r="Q130" s="1"/>
  <c r="Q129" s="1"/>
  <c r="BD53"/>
  <c r="BE52"/>
  <c r="M135"/>
  <c r="L136"/>
  <c r="F136"/>
  <c r="G136" s="1"/>
  <c r="BS49"/>
  <c r="BT46"/>
  <c r="BT47" s="1"/>
  <c r="I136"/>
  <c r="J136" s="1"/>
  <c r="G200" i="26" s="1"/>
  <c r="AC129" i="35" l="1"/>
  <c r="AC132" s="1"/>
  <c r="AD67"/>
  <c r="AD68" s="1"/>
  <c r="AD72" s="1"/>
  <c r="AC97"/>
  <c r="AC98" s="1"/>
  <c r="AD71"/>
  <c r="AE65" s="1"/>
  <c r="AB158" i="26"/>
  <c r="AB159" s="1"/>
  <c r="AB163" s="1"/>
  <c r="F102"/>
  <c r="G96" s="1"/>
  <c r="DB122"/>
  <c r="DB130" s="1"/>
  <c r="DB135" s="1"/>
  <c r="DB113"/>
  <c r="F109"/>
  <c r="F103"/>
  <c r="G66"/>
  <c r="G68" s="1"/>
  <c r="DC112"/>
  <c r="DB127"/>
  <c r="DB138"/>
  <c r="DB136"/>
  <c r="DB137" s="1"/>
  <c r="F132"/>
  <c r="G126" s="1"/>
  <c r="F139"/>
  <c r="BS50" i="12"/>
  <c r="B135"/>
  <c r="B136" s="1"/>
  <c r="B137" s="1"/>
  <c r="Q134"/>
  <c r="Q133" s="1"/>
  <c r="Q132" s="1"/>
  <c r="BE53"/>
  <c r="BF52"/>
  <c r="I137"/>
  <c r="J137" s="1"/>
  <c r="H200" i="26" s="1"/>
  <c r="BU46" i="12"/>
  <c r="BU47" s="1"/>
  <c r="F137"/>
  <c r="G137" s="1"/>
  <c r="BT49"/>
  <c r="M136"/>
  <c r="L137"/>
  <c r="AD78" i="35" l="1"/>
  <c r="AC131"/>
  <c r="AD125" s="1"/>
  <c r="AD127" s="1"/>
  <c r="AC99"/>
  <c r="AC104" s="1"/>
  <c r="AE67"/>
  <c r="AE68" s="1"/>
  <c r="AE72" s="1"/>
  <c r="AC101"/>
  <c r="AD95" s="1"/>
  <c r="AC138"/>
  <c r="AC134"/>
  <c r="AB169" i="26"/>
  <c r="AB162"/>
  <c r="AC156" s="1"/>
  <c r="AC158" s="1"/>
  <c r="AC159" s="1"/>
  <c r="G98"/>
  <c r="G99" s="1"/>
  <c r="AC160"/>
  <c r="DC122"/>
  <c r="DC130" s="1"/>
  <c r="DC135" s="1"/>
  <c r="DC113"/>
  <c r="DD112"/>
  <c r="DC127"/>
  <c r="DC138"/>
  <c r="DC136"/>
  <c r="DC137" s="1"/>
  <c r="G128"/>
  <c r="G129" s="1"/>
  <c r="G133" s="1"/>
  <c r="BT50" i="12"/>
  <c r="G69" i="26"/>
  <c r="B138" i="12"/>
  <c r="B139" s="1"/>
  <c r="B140" s="1"/>
  <c r="Q137"/>
  <c r="Q136" s="1"/>
  <c r="Q135" s="1"/>
  <c r="BG52"/>
  <c r="BF53"/>
  <c r="M137"/>
  <c r="L138"/>
  <c r="F138"/>
  <c r="BV46"/>
  <c r="I138"/>
  <c r="BU49"/>
  <c r="AE71" i="35" l="1"/>
  <c r="AF65" s="1"/>
  <c r="AF67" s="1"/>
  <c r="AF68" s="1"/>
  <c r="AF72" s="1"/>
  <c r="AE78"/>
  <c r="AC108"/>
  <c r="H24"/>
  <c r="AD128"/>
  <c r="AD132" s="1"/>
  <c r="AC102"/>
  <c r="AD97" s="1"/>
  <c r="AC163" i="26"/>
  <c r="AC165"/>
  <c r="AC169"/>
  <c r="AC162"/>
  <c r="AD156" s="1"/>
  <c r="DD122"/>
  <c r="DD130" s="1"/>
  <c r="DD135" s="1"/>
  <c r="DD113"/>
  <c r="G100"/>
  <c r="G103" s="1"/>
  <c r="G70"/>
  <c r="G73" s="1"/>
  <c r="DE112"/>
  <c r="DD127"/>
  <c r="DD138"/>
  <c r="DD136"/>
  <c r="DD137" s="1"/>
  <c r="G135"/>
  <c r="G132"/>
  <c r="H126" s="1"/>
  <c r="G139"/>
  <c r="BU50" i="12"/>
  <c r="R140"/>
  <c r="B141"/>
  <c r="Q140"/>
  <c r="Q139" s="1"/>
  <c r="Q138" s="1"/>
  <c r="BG53"/>
  <c r="BH52"/>
  <c r="I139"/>
  <c r="J139" s="1"/>
  <c r="J200" i="26" s="1"/>
  <c r="BW46" i="12"/>
  <c r="BW47" s="1"/>
  <c r="F139"/>
  <c r="G139" s="1"/>
  <c r="M138"/>
  <c r="L139"/>
  <c r="BV49"/>
  <c r="J138"/>
  <c r="I200" i="26" s="1"/>
  <c r="BV47" i="12"/>
  <c r="G138"/>
  <c r="AD138" i="35" l="1"/>
  <c r="AD131"/>
  <c r="AE125" s="1"/>
  <c r="AE127" s="1"/>
  <c r="AE128" s="1"/>
  <c r="AE132" s="1"/>
  <c r="AF71"/>
  <c r="AG65" s="1"/>
  <c r="AD98"/>
  <c r="AD102" s="1"/>
  <c r="AF78"/>
  <c r="G75" i="26"/>
  <c r="AD158"/>
  <c r="AD159" s="1"/>
  <c r="AD163" s="1"/>
  <c r="G105"/>
  <c r="AD169"/>
  <c r="G79"/>
  <c r="DE113"/>
  <c r="DE122"/>
  <c r="DE130" s="1"/>
  <c r="DE135" s="1"/>
  <c r="H128"/>
  <c r="H129" s="1"/>
  <c r="H133" s="1"/>
  <c r="DF112"/>
  <c r="DE127"/>
  <c r="DE138"/>
  <c r="DE136"/>
  <c r="DE137" s="1"/>
  <c r="H135"/>
  <c r="G102"/>
  <c r="H96" s="1"/>
  <c r="G72"/>
  <c r="G109"/>
  <c r="BV50" i="12"/>
  <c r="B142"/>
  <c r="BI52"/>
  <c r="BH53"/>
  <c r="BW49"/>
  <c r="BX46"/>
  <c r="I140"/>
  <c r="M139"/>
  <c r="L140"/>
  <c r="F140"/>
  <c r="G140" s="1"/>
  <c r="AE131" i="35" l="1"/>
  <c r="AF125" s="1"/>
  <c r="AF127" s="1"/>
  <c r="AE138"/>
  <c r="AF128"/>
  <c r="AF132" s="1"/>
  <c r="AD101"/>
  <c r="AE95" s="1"/>
  <c r="AE97" s="1"/>
  <c r="AE98" s="1"/>
  <c r="AG67"/>
  <c r="AG68" s="1"/>
  <c r="AG72" s="1"/>
  <c r="AD108"/>
  <c r="AD162" i="26"/>
  <c r="AE156" s="1"/>
  <c r="DF122"/>
  <c r="DF130" s="1"/>
  <c r="DF135" s="1"/>
  <c r="DF113"/>
  <c r="H98"/>
  <c r="H99" s="1"/>
  <c r="H66"/>
  <c r="H68" s="1"/>
  <c r="H69" s="1"/>
  <c r="DG112"/>
  <c r="DF127"/>
  <c r="DF138"/>
  <c r="DF136"/>
  <c r="DF137" s="1"/>
  <c r="H139"/>
  <c r="H132"/>
  <c r="I126" s="1"/>
  <c r="I128" s="1"/>
  <c r="B143" i="12"/>
  <c r="BI53"/>
  <c r="BJ52"/>
  <c r="M140"/>
  <c r="L141"/>
  <c r="I141"/>
  <c r="J141" s="1"/>
  <c r="L200" i="26" s="1"/>
  <c r="BY46" i="12"/>
  <c r="BY47" s="1"/>
  <c r="BX49"/>
  <c r="F141"/>
  <c r="G141" s="1"/>
  <c r="J140"/>
  <c r="K200" i="26" s="1"/>
  <c r="BX47" i="12"/>
  <c r="BW50"/>
  <c r="AF131" i="35" l="1"/>
  <c r="AG125" s="1"/>
  <c r="AG127" s="1"/>
  <c r="AF138"/>
  <c r="AE102"/>
  <c r="AE108"/>
  <c r="AG78"/>
  <c r="AE101"/>
  <c r="AF95" s="1"/>
  <c r="AG71"/>
  <c r="AH65" s="1"/>
  <c r="AE158" i="26"/>
  <c r="AE159" s="1"/>
  <c r="AE163" s="1"/>
  <c r="DG122"/>
  <c r="DG130" s="1"/>
  <c r="DG135" s="1"/>
  <c r="DG113"/>
  <c r="H100"/>
  <c r="H105" s="1"/>
  <c r="H70"/>
  <c r="H73" s="1"/>
  <c r="DH112"/>
  <c r="DG127"/>
  <c r="DG138"/>
  <c r="DG136"/>
  <c r="DG137" s="1"/>
  <c r="BX50" i="12"/>
  <c r="R143"/>
  <c r="B144"/>
  <c r="Q143"/>
  <c r="Q142" s="1"/>
  <c r="Q141" s="1"/>
  <c r="BJ53"/>
  <c r="BK52"/>
  <c r="BY49"/>
  <c r="F142"/>
  <c r="G142" s="1"/>
  <c r="BZ46"/>
  <c r="BZ47" s="1"/>
  <c r="I142"/>
  <c r="J142" s="1"/>
  <c r="M200" i="26" s="1"/>
  <c r="M141" i="12"/>
  <c r="L142"/>
  <c r="AF97" i="35" l="1"/>
  <c r="AF98" s="1"/>
  <c r="AF102" s="1"/>
  <c r="AG128"/>
  <c r="AG132" s="1"/>
  <c r="AE169" i="26"/>
  <c r="AH67" i="35"/>
  <c r="AH68" s="1"/>
  <c r="AE162" i="26"/>
  <c r="AF156" s="1"/>
  <c r="AF158" s="1"/>
  <c r="AF159" s="1"/>
  <c r="AF163" s="1"/>
  <c r="H102"/>
  <c r="I96" s="1"/>
  <c r="H109"/>
  <c r="H79"/>
  <c r="DH122"/>
  <c r="DH130" s="1"/>
  <c r="DH113"/>
  <c r="H103"/>
  <c r="H72"/>
  <c r="I66" s="1"/>
  <c r="I68" s="1"/>
  <c r="I69" s="1"/>
  <c r="H75"/>
  <c r="DI112"/>
  <c r="DH127"/>
  <c r="DH138"/>
  <c r="DH135"/>
  <c r="DH136"/>
  <c r="DH137" s="1"/>
  <c r="BY50" i="12"/>
  <c r="R142"/>
  <c r="B145"/>
  <c r="BL52"/>
  <c r="BK53"/>
  <c r="M142"/>
  <c r="L143"/>
  <c r="F143"/>
  <c r="G143" s="1"/>
  <c r="I143"/>
  <c r="J143" s="1"/>
  <c r="N200" i="26" s="1"/>
  <c r="CA46" i="12"/>
  <c r="CA47" s="1"/>
  <c r="BZ49"/>
  <c r="AG131" i="35" l="1"/>
  <c r="AH125" s="1"/>
  <c r="AH127" s="1"/>
  <c r="AG138"/>
  <c r="AF108"/>
  <c r="I98" i="26"/>
  <c r="I99" s="1"/>
  <c r="I100" s="1"/>
  <c r="I103" s="1"/>
  <c r="AF101" i="35"/>
  <c r="AG95" s="1"/>
  <c r="AG97" s="1"/>
  <c r="AH71"/>
  <c r="AI65" s="1"/>
  <c r="AH72"/>
  <c r="AH78"/>
  <c r="AF162" i="26"/>
  <c r="AG156" s="1"/>
  <c r="AF169"/>
  <c r="DI113"/>
  <c r="DI122"/>
  <c r="DI130" s="1"/>
  <c r="DI135" s="1"/>
  <c r="I70"/>
  <c r="I73" s="1"/>
  <c r="DJ112"/>
  <c r="DI127"/>
  <c r="DI138"/>
  <c r="DI136"/>
  <c r="DI137" s="1"/>
  <c r="BZ50" i="12"/>
  <c r="R141"/>
  <c r="B146"/>
  <c r="BL53"/>
  <c r="BM52"/>
  <c r="CA49"/>
  <c r="CB46"/>
  <c r="CB47" s="1"/>
  <c r="I144"/>
  <c r="J144" s="1"/>
  <c r="O200" i="26" s="1"/>
  <c r="F144" i="12"/>
  <c r="G144" s="1"/>
  <c r="M143"/>
  <c r="L144"/>
  <c r="AH128" i="35" l="1"/>
  <c r="AH138" s="1"/>
  <c r="AG98"/>
  <c r="AG102" s="1"/>
  <c r="AI67"/>
  <c r="AI68" s="1"/>
  <c r="AI72" s="1"/>
  <c r="AG158" i="26"/>
  <c r="I109"/>
  <c r="I105"/>
  <c r="DJ122"/>
  <c r="DJ130" s="1"/>
  <c r="DJ135" s="1"/>
  <c r="DJ113"/>
  <c r="I75"/>
  <c r="DK112"/>
  <c r="DJ127"/>
  <c r="DJ138"/>
  <c r="DJ136"/>
  <c r="DJ137" s="1"/>
  <c r="I79"/>
  <c r="I72"/>
  <c r="I102"/>
  <c r="J96" s="1"/>
  <c r="CA50" i="12"/>
  <c r="B147"/>
  <c r="R146"/>
  <c r="Q146"/>
  <c r="Q145" s="1"/>
  <c r="Q144" s="1"/>
  <c r="BN52"/>
  <c r="BM53"/>
  <c r="F145"/>
  <c r="G145" s="1"/>
  <c r="CB49"/>
  <c r="M144"/>
  <c r="L145"/>
  <c r="I145"/>
  <c r="CC46"/>
  <c r="AH132" i="35" l="1"/>
  <c r="AH131"/>
  <c r="AI125" s="1"/>
  <c r="AG101"/>
  <c r="AH95" s="1"/>
  <c r="AI78"/>
  <c r="AG108"/>
  <c r="AI71"/>
  <c r="AJ65" s="1"/>
  <c r="AG159" i="26"/>
  <c r="AG169" s="1"/>
  <c r="DK122"/>
  <c r="DK130" s="1"/>
  <c r="DK113"/>
  <c r="J66"/>
  <c r="DL112"/>
  <c r="DK127"/>
  <c r="DK138"/>
  <c r="DK135"/>
  <c r="DK136"/>
  <c r="DK137" s="1"/>
  <c r="J68"/>
  <c r="J98"/>
  <c r="J99" s="1"/>
  <c r="CB50" i="12"/>
  <c r="B148"/>
  <c r="R145"/>
  <c r="BN53"/>
  <c r="BO52"/>
  <c r="CD46"/>
  <c r="CD47" s="1"/>
  <c r="I146"/>
  <c r="J146" s="1"/>
  <c r="CC49"/>
  <c r="M145"/>
  <c r="L146"/>
  <c r="F146"/>
  <c r="G146" s="1"/>
  <c r="CC47"/>
  <c r="J145"/>
  <c r="P200" i="26" s="1"/>
  <c r="AI127" i="35" l="1"/>
  <c r="AI128" s="1"/>
  <c r="AI129" s="1"/>
  <c r="AH97"/>
  <c r="AH98" s="1"/>
  <c r="AH102" s="1"/>
  <c r="AJ67"/>
  <c r="AJ68" s="1"/>
  <c r="AJ72" s="1"/>
  <c r="AG163" i="26"/>
  <c r="AG162"/>
  <c r="AH156" s="1"/>
  <c r="DL122"/>
  <c r="DL130" s="1"/>
  <c r="DL135" s="1"/>
  <c r="DL113"/>
  <c r="J100"/>
  <c r="J103" s="1"/>
  <c r="I59" i="30"/>
  <c r="J59" s="1"/>
  <c r="C56" s="1"/>
  <c r="Q200" i="26"/>
  <c r="DM112"/>
  <c r="DL127"/>
  <c r="DL138"/>
  <c r="DL136"/>
  <c r="DL137" s="1"/>
  <c r="CC50" i="12"/>
  <c r="R144"/>
  <c r="B149"/>
  <c r="BP52"/>
  <c r="BO53"/>
  <c r="F147"/>
  <c r="G147" s="1"/>
  <c r="CE46"/>
  <c r="CE47" s="1"/>
  <c r="M146"/>
  <c r="L147"/>
  <c r="CD49"/>
  <c r="I147"/>
  <c r="J147" s="1"/>
  <c r="R200" i="26" s="1"/>
  <c r="AI131" i="35" l="1"/>
  <c r="AJ125" s="1"/>
  <c r="AI134"/>
  <c r="AI132"/>
  <c r="AJ127" s="1"/>
  <c r="AI138"/>
  <c r="AH108"/>
  <c r="AH101"/>
  <c r="AI95" s="1"/>
  <c r="AJ71"/>
  <c r="AK65" s="1"/>
  <c r="AK67" s="1"/>
  <c r="AK68" s="1"/>
  <c r="AK72" s="1"/>
  <c r="J109" i="26"/>
  <c r="AJ78" i="35"/>
  <c r="AH158" i="26"/>
  <c r="J102"/>
  <c r="K96" s="1"/>
  <c r="K98" s="1"/>
  <c r="J105"/>
  <c r="DM113"/>
  <c r="DM122"/>
  <c r="DM130" s="1"/>
  <c r="DM135" s="1"/>
  <c r="DM136"/>
  <c r="DM137" s="1"/>
  <c r="DN112"/>
  <c r="DM127"/>
  <c r="DM138"/>
  <c r="CD50" i="12"/>
  <c r="R149"/>
  <c r="B150"/>
  <c r="Q149"/>
  <c r="Q148" s="1"/>
  <c r="Q147" s="1"/>
  <c r="BQ52"/>
  <c r="BP53"/>
  <c r="I148"/>
  <c r="J148" s="1"/>
  <c r="S200" i="26" s="1"/>
  <c r="CE49" i="12"/>
  <c r="M147"/>
  <c r="L148"/>
  <c r="CF46"/>
  <c r="F148"/>
  <c r="G148" s="1"/>
  <c r="AJ128" i="35" l="1"/>
  <c r="AJ132" s="1"/>
  <c r="AI97"/>
  <c r="AK78"/>
  <c r="AK71"/>
  <c r="AL65" s="1"/>
  <c r="AH159" i="26"/>
  <c r="F26"/>
  <c r="G20" s="1"/>
  <c r="DN122"/>
  <c r="DN130" s="1"/>
  <c r="DN135" s="1"/>
  <c r="DN113"/>
  <c r="K99"/>
  <c r="DO112"/>
  <c r="DN127"/>
  <c r="DN138"/>
  <c r="DN136"/>
  <c r="DN137" s="1"/>
  <c r="CE50" i="12"/>
  <c r="R148"/>
  <c r="B151"/>
  <c r="BQ53"/>
  <c r="BR52"/>
  <c r="CG46"/>
  <c r="CG47" s="1"/>
  <c r="M148"/>
  <c r="L149"/>
  <c r="CF49"/>
  <c r="F149"/>
  <c r="G149" s="1"/>
  <c r="I149"/>
  <c r="J149" s="1"/>
  <c r="T200" i="26" s="1"/>
  <c r="CF47" i="12"/>
  <c r="AJ138" i="35" l="1"/>
  <c r="AJ131"/>
  <c r="AK125" s="1"/>
  <c r="AK127" s="1"/>
  <c r="AK128" s="1"/>
  <c r="AK132" s="1"/>
  <c r="AI98"/>
  <c r="AI102" s="1"/>
  <c r="AL67"/>
  <c r="AH163" i="26"/>
  <c r="AH169"/>
  <c r="AH162"/>
  <c r="AI156" s="1"/>
  <c r="DO122"/>
  <c r="DO130" s="1"/>
  <c r="DO135" s="1"/>
  <c r="DO113"/>
  <c r="K100"/>
  <c r="DP112"/>
  <c r="DO127"/>
  <c r="DO138"/>
  <c r="DO136"/>
  <c r="DO137" s="1"/>
  <c r="CF50" i="12"/>
  <c r="R147"/>
  <c r="B152"/>
  <c r="BR53"/>
  <c r="BS52"/>
  <c r="I150"/>
  <c r="J150" s="1"/>
  <c r="U200" i="26" s="1"/>
  <c r="CH46" i="12"/>
  <c r="CH47" s="1"/>
  <c r="F150"/>
  <c r="G150" s="1"/>
  <c r="CG49"/>
  <c r="M149"/>
  <c r="L150"/>
  <c r="AK131" i="35" l="1"/>
  <c r="AL125" s="1"/>
  <c r="AL127" s="1"/>
  <c r="AK138"/>
  <c r="AI108"/>
  <c r="AI101"/>
  <c r="AJ95" s="1"/>
  <c r="AJ97" s="1"/>
  <c r="AL68"/>
  <c r="AL72" s="1"/>
  <c r="AI158" i="26"/>
  <c r="K103"/>
  <c r="DP122"/>
  <c r="DP130" s="1"/>
  <c r="DP113"/>
  <c r="K105"/>
  <c r="K102"/>
  <c r="K109"/>
  <c r="DQ112"/>
  <c r="DP127"/>
  <c r="DP138"/>
  <c r="DP135"/>
  <c r="DP136"/>
  <c r="DP137" s="1"/>
  <c r="B153" i="12"/>
  <c r="B154" s="1"/>
  <c r="B155" s="1"/>
  <c r="Q152"/>
  <c r="Q151" s="1"/>
  <c r="Q150" s="1"/>
  <c r="R152"/>
  <c r="BT52"/>
  <c r="BS53"/>
  <c r="CH49"/>
  <c r="I151"/>
  <c r="J151" s="1"/>
  <c r="V200" i="26" s="1"/>
  <c r="M150" i="12"/>
  <c r="L151"/>
  <c r="F151"/>
  <c r="G151" s="1"/>
  <c r="CI46"/>
  <c r="CI47" s="1"/>
  <c r="CG50"/>
  <c r="AL128" i="35" l="1"/>
  <c r="AL132" s="1"/>
  <c r="AJ98"/>
  <c r="AJ102" s="1"/>
  <c r="AL71"/>
  <c r="AM65" s="1"/>
  <c r="AL78"/>
  <c r="AI159" i="26"/>
  <c r="AI163" s="1"/>
  <c r="DQ113"/>
  <c r="DQ122"/>
  <c r="DQ130" s="1"/>
  <c r="DQ135" s="1"/>
  <c r="L96"/>
  <c r="L98" s="1"/>
  <c r="L105"/>
  <c r="DR112"/>
  <c r="DQ127"/>
  <c r="DQ138"/>
  <c r="DQ136"/>
  <c r="DQ137" s="1"/>
  <c r="CH50" i="12"/>
  <c r="R151"/>
  <c r="H155"/>
  <c r="E155"/>
  <c r="E154" s="1"/>
  <c r="E153" s="1"/>
  <c r="Q155"/>
  <c r="Q154" s="1"/>
  <c r="Q153" s="1"/>
  <c r="B156"/>
  <c r="B157" s="1"/>
  <c r="B158" s="1"/>
  <c r="R155"/>
  <c r="BU52"/>
  <c r="BT53"/>
  <c r="M151"/>
  <c r="L152"/>
  <c r="CI49"/>
  <c r="CJ46"/>
  <c r="CJ47" s="1"/>
  <c r="F152"/>
  <c r="G152" s="1"/>
  <c r="I152"/>
  <c r="J152" s="1"/>
  <c r="W200" i="26" s="1"/>
  <c r="AL131" i="35" l="1"/>
  <c r="AM125" s="1"/>
  <c r="AM127" s="1"/>
  <c r="AL138"/>
  <c r="AI162" i="26"/>
  <c r="AJ156" s="1"/>
  <c r="AJ158" s="1"/>
  <c r="AJ108" i="35"/>
  <c r="AJ101"/>
  <c r="AK95" s="1"/>
  <c r="AK97" s="1"/>
  <c r="AI169" i="26"/>
  <c r="AM67" i="35"/>
  <c r="AM68" s="1"/>
  <c r="DR122" i="26"/>
  <c r="DR130" s="1"/>
  <c r="DR113"/>
  <c r="H154" i="12"/>
  <c r="Z179" i="26"/>
  <c r="Z196" s="1"/>
  <c r="L99"/>
  <c r="DS112"/>
  <c r="DR127"/>
  <c r="DR138"/>
  <c r="DR136"/>
  <c r="DR137" s="1"/>
  <c r="CI50" i="12"/>
  <c r="R154"/>
  <c r="R150"/>
  <c r="R158"/>
  <c r="E158"/>
  <c r="E157" s="1"/>
  <c r="E156" s="1"/>
  <c r="B159"/>
  <c r="B160" s="1"/>
  <c r="B161" s="1"/>
  <c r="Q158"/>
  <c r="Q157" s="1"/>
  <c r="Q156" s="1"/>
  <c r="H158"/>
  <c r="BV52"/>
  <c r="BU53"/>
  <c r="F153"/>
  <c r="G153" s="1"/>
  <c r="CJ49"/>
  <c r="CK46"/>
  <c r="CK47" s="1"/>
  <c r="M152"/>
  <c r="L153"/>
  <c r="AM128" i="35" l="1"/>
  <c r="AM132" s="1"/>
  <c r="AK98"/>
  <c r="AK102" s="1"/>
  <c r="AM72"/>
  <c r="AM78"/>
  <c r="AM71"/>
  <c r="AN65" s="1"/>
  <c r="AJ159" i="26"/>
  <c r="AJ163" s="1"/>
  <c r="L103"/>
  <c r="DR135"/>
  <c r="DS122"/>
  <c r="DS130" s="1"/>
  <c r="DS135" s="1"/>
  <c r="DS113"/>
  <c r="H153" i="12"/>
  <c r="Y179" i="26"/>
  <c r="Y196" s="1"/>
  <c r="H157" i="12"/>
  <c r="AC179" i="26"/>
  <c r="AC196" s="1"/>
  <c r="L109"/>
  <c r="L102"/>
  <c r="DT112"/>
  <c r="DS127"/>
  <c r="DS138"/>
  <c r="DS136"/>
  <c r="DS137" s="1"/>
  <c r="M105"/>
  <c r="CJ50" i="12"/>
  <c r="R157"/>
  <c r="R153"/>
  <c r="B162"/>
  <c r="B163" s="1"/>
  <c r="B164" s="1"/>
  <c r="Q161"/>
  <c r="Q160" s="1"/>
  <c r="Q159" s="1"/>
  <c r="E161"/>
  <c r="E160" s="1"/>
  <c r="E159" s="1"/>
  <c r="R161"/>
  <c r="H161"/>
  <c r="BV53"/>
  <c r="BW52"/>
  <c r="M153"/>
  <c r="L154"/>
  <c r="CL46"/>
  <c r="CL47" s="1"/>
  <c r="CK49"/>
  <c r="F154"/>
  <c r="AK101" i="35" l="1"/>
  <c r="AL95" s="1"/>
  <c r="AL97" s="1"/>
  <c r="AL98" s="1"/>
  <c r="AL101" s="1"/>
  <c r="AM95" s="1"/>
  <c r="AM131"/>
  <c r="AN125" s="1"/>
  <c r="AN127" s="1"/>
  <c r="AN128" s="1"/>
  <c r="AN132" s="1"/>
  <c r="AM138"/>
  <c r="AK108"/>
  <c r="AJ169" i="26"/>
  <c r="AJ162"/>
  <c r="AK156" s="1"/>
  <c r="AK158" s="1"/>
  <c r="AN67" i="35"/>
  <c r="AN68" s="1"/>
  <c r="DT122" i="26"/>
  <c r="DT130" s="1"/>
  <c r="DT113"/>
  <c r="X179"/>
  <c r="X196" s="1"/>
  <c r="I153" i="12"/>
  <c r="H160"/>
  <c r="AF179" i="26"/>
  <c r="AF196" s="1"/>
  <c r="H156" i="12"/>
  <c r="AA179" i="26" s="1"/>
  <c r="AA196" s="1"/>
  <c r="AB179"/>
  <c r="AB196" s="1"/>
  <c r="M96"/>
  <c r="M98" s="1"/>
  <c r="DU112"/>
  <c r="DT127"/>
  <c r="DT138"/>
  <c r="DT135"/>
  <c r="DT136"/>
  <c r="DT137" s="1"/>
  <c r="R160" i="12"/>
  <c r="R156"/>
  <c r="B165"/>
  <c r="B166" s="1"/>
  <c r="B167" s="1"/>
  <c r="R164"/>
  <c r="E164"/>
  <c r="E163" s="1"/>
  <c r="E162" s="1"/>
  <c r="H164"/>
  <c r="Q164"/>
  <c r="Q163" s="1"/>
  <c r="Q162" s="1"/>
  <c r="BW53"/>
  <c r="BX52"/>
  <c r="F155"/>
  <c r="G155" s="1"/>
  <c r="CL49"/>
  <c r="CM46"/>
  <c r="CM47" s="1"/>
  <c r="M154"/>
  <c r="L155"/>
  <c r="G154"/>
  <c r="CK50"/>
  <c r="AN131" i="35" l="1"/>
  <c r="AO125" s="1"/>
  <c r="AN138"/>
  <c r="AO127"/>
  <c r="AO128" s="1"/>
  <c r="AL102"/>
  <c r="AM97" s="1"/>
  <c r="AM98" s="1"/>
  <c r="AM102" s="1"/>
  <c r="AL108"/>
  <c r="AM101"/>
  <c r="AN95" s="1"/>
  <c r="AO129"/>
  <c r="AN72"/>
  <c r="AN78"/>
  <c r="AN71"/>
  <c r="AO65" s="1"/>
  <c r="AK159" i="26"/>
  <c r="AK163" s="1"/>
  <c r="DU113"/>
  <c r="DU122"/>
  <c r="DU130" s="1"/>
  <c r="DU135" s="1"/>
  <c r="H163" i="12"/>
  <c r="AI179" i="26"/>
  <c r="AI196" s="1"/>
  <c r="X197"/>
  <c r="X188"/>
  <c r="H159" i="12"/>
  <c r="AD179" i="26" s="1"/>
  <c r="AD196" s="1"/>
  <c r="AE179"/>
  <c r="AE196" s="1"/>
  <c r="J153" i="12"/>
  <c r="X200" i="26" s="1"/>
  <c r="I154" i="12"/>
  <c r="M99" i="26"/>
  <c r="DV112"/>
  <c r="DU127"/>
  <c r="DU138"/>
  <c r="DU136"/>
  <c r="DU137" s="1"/>
  <c r="CL50" i="12"/>
  <c r="R163"/>
  <c r="R159"/>
  <c r="B168"/>
  <c r="B169" s="1"/>
  <c r="B170" s="1"/>
  <c r="R167"/>
  <c r="H167"/>
  <c r="E167"/>
  <c r="E166" s="1"/>
  <c r="E165" s="1"/>
  <c r="Q167"/>
  <c r="Q166" s="1"/>
  <c r="Q165" s="1"/>
  <c r="BY52"/>
  <c r="BX53"/>
  <c r="CM49"/>
  <c r="M155"/>
  <c r="L156"/>
  <c r="CN46"/>
  <c r="F156"/>
  <c r="AM108" i="35" l="1"/>
  <c r="AO134"/>
  <c r="AO131"/>
  <c r="AP125" s="1"/>
  <c r="AN97"/>
  <c r="AO138"/>
  <c r="AO132"/>
  <c r="AK169" i="26"/>
  <c r="AO67" i="35"/>
  <c r="AO68" s="1"/>
  <c r="AK162" i="26"/>
  <c r="AL156" s="1"/>
  <c r="AL158" s="1"/>
  <c r="DV122"/>
  <c r="DV130" s="1"/>
  <c r="DV135" s="1"/>
  <c r="DV113"/>
  <c r="M102"/>
  <c r="M103"/>
  <c r="M109"/>
  <c r="X191"/>
  <c r="Y197"/>
  <c r="H162" i="12"/>
  <c r="AG179" i="26" s="1"/>
  <c r="AG196" s="1"/>
  <c r="AH179"/>
  <c r="AH196" s="1"/>
  <c r="H166" i="12"/>
  <c r="AL179" i="26"/>
  <c r="AL196" s="1"/>
  <c r="I155" i="12"/>
  <c r="J154"/>
  <c r="Y200" i="26" s="1"/>
  <c r="X189"/>
  <c r="X193" s="1"/>
  <c r="N96"/>
  <c r="DW112"/>
  <c r="DV127"/>
  <c r="DV138"/>
  <c r="DV136"/>
  <c r="DV137" s="1"/>
  <c r="R166" i="12"/>
  <c r="R162"/>
  <c r="R170"/>
  <c r="E170"/>
  <c r="E169" s="1"/>
  <c r="E168" s="1"/>
  <c r="B171"/>
  <c r="B172" s="1"/>
  <c r="B173" s="1"/>
  <c r="H170"/>
  <c r="Q170"/>
  <c r="Q169" s="1"/>
  <c r="Q168" s="1"/>
  <c r="BZ52"/>
  <c r="BY53"/>
  <c r="F157"/>
  <c r="G157" s="1"/>
  <c r="CO46"/>
  <c r="CO47" s="1"/>
  <c r="CN49"/>
  <c r="M156"/>
  <c r="L157"/>
  <c r="G156"/>
  <c r="CN47"/>
  <c r="CM50"/>
  <c r="AP127" i="35" l="1"/>
  <c r="AP128" s="1"/>
  <c r="AP132" s="1"/>
  <c r="AN98"/>
  <c r="AN102" s="1"/>
  <c r="AP131"/>
  <c r="AQ125" s="1"/>
  <c r="AO69"/>
  <c r="AO78" s="1"/>
  <c r="AL159" i="26"/>
  <c r="AL163" s="1"/>
  <c r="DW122"/>
  <c r="DW130" s="1"/>
  <c r="DW135" s="1"/>
  <c r="DW113"/>
  <c r="X195"/>
  <c r="H169" i="12"/>
  <c r="AO179" i="26"/>
  <c r="AO196" s="1"/>
  <c r="I156" i="12"/>
  <c r="J155"/>
  <c r="Z200" i="26" s="1"/>
  <c r="H165" i="12"/>
  <c r="AJ179" i="26" s="1"/>
  <c r="AJ196" s="1"/>
  <c r="AK179"/>
  <c r="AK196" s="1"/>
  <c r="Y191"/>
  <c r="Y195" s="1"/>
  <c r="Z197"/>
  <c r="N98"/>
  <c r="X199"/>
  <c r="X192"/>
  <c r="Y186" s="1"/>
  <c r="DX112"/>
  <c r="DW127"/>
  <c r="DW138"/>
  <c r="DW136"/>
  <c r="DW137" s="1"/>
  <c r="CN50" i="12"/>
  <c r="R169"/>
  <c r="R165"/>
  <c r="R173"/>
  <c r="H173"/>
  <c r="B174"/>
  <c r="Q173"/>
  <c r="Q172" s="1"/>
  <c r="Q171" s="1"/>
  <c r="E173"/>
  <c r="E172" s="1"/>
  <c r="E171" s="1"/>
  <c r="BZ53"/>
  <c r="CA52"/>
  <c r="M157"/>
  <c r="L158"/>
  <c r="CO49"/>
  <c r="CP46"/>
  <c r="CP47" s="1"/>
  <c r="F158"/>
  <c r="AQ127" i="35" l="1"/>
  <c r="AQ128" s="1"/>
  <c r="AQ132" s="1"/>
  <c r="AP138"/>
  <c r="AN108"/>
  <c r="AN101"/>
  <c r="AO95" s="1"/>
  <c r="AO97" s="1"/>
  <c r="AO74"/>
  <c r="AO71"/>
  <c r="AP65" s="1"/>
  <c r="AO72"/>
  <c r="AL169" i="26"/>
  <c r="AL162"/>
  <c r="AM156" s="1"/>
  <c r="N99"/>
  <c r="DX122"/>
  <c r="DX130" s="1"/>
  <c r="DX135" s="1"/>
  <c r="DX113"/>
  <c r="Z191"/>
  <c r="AA197"/>
  <c r="H172" i="12"/>
  <c r="AR179" i="26"/>
  <c r="AR196" s="1"/>
  <c r="Y188"/>
  <c r="Y189" s="1"/>
  <c r="Y193" s="1"/>
  <c r="J156" i="12"/>
  <c r="AA200" i="26" s="1"/>
  <c r="I157" i="12"/>
  <c r="H168"/>
  <c r="AM179" i="26" s="1"/>
  <c r="AM196" s="1"/>
  <c r="AN179"/>
  <c r="AN196" s="1"/>
  <c r="DY112"/>
  <c r="DX127"/>
  <c r="DX138"/>
  <c r="DX136"/>
  <c r="DX137" s="1"/>
  <c r="CO50" i="12"/>
  <c r="R172"/>
  <c r="R168"/>
  <c r="B175"/>
  <c r="B176" s="1"/>
  <c r="CB52"/>
  <c r="CA53"/>
  <c r="F159"/>
  <c r="G159" s="1"/>
  <c r="CQ46"/>
  <c r="CQ47" s="1"/>
  <c r="CP49"/>
  <c r="M158"/>
  <c r="L159"/>
  <c r="G158"/>
  <c r="AQ138" i="35" l="1"/>
  <c r="AQ131"/>
  <c r="AR125" s="1"/>
  <c r="AO98"/>
  <c r="AP67"/>
  <c r="AP68" s="1"/>
  <c r="AP72" s="1"/>
  <c r="AM158" i="26"/>
  <c r="AM159" s="1"/>
  <c r="AM163" s="1"/>
  <c r="N103"/>
  <c r="DY113"/>
  <c r="DY122"/>
  <c r="DY130" s="1"/>
  <c r="DY135" s="1"/>
  <c r="N109"/>
  <c r="Y199"/>
  <c r="J157" i="12"/>
  <c r="AB200" i="26" s="1"/>
  <c r="I158" i="12"/>
  <c r="H171"/>
  <c r="AP179" i="26" s="1"/>
  <c r="AP196" s="1"/>
  <c r="AQ179"/>
  <c r="AQ196" s="1"/>
  <c r="Z195"/>
  <c r="AA191"/>
  <c r="AA195" s="1"/>
  <c r="AB197"/>
  <c r="Y192"/>
  <c r="Z186" s="1"/>
  <c r="N105"/>
  <c r="N102"/>
  <c r="DZ112"/>
  <c r="DY127"/>
  <c r="DY138"/>
  <c r="DY136"/>
  <c r="DY137" s="1"/>
  <c r="CP50" i="12"/>
  <c r="R171"/>
  <c r="R176"/>
  <c r="Q176"/>
  <c r="Q175" s="1"/>
  <c r="Q174" s="1"/>
  <c r="B177"/>
  <c r="E176"/>
  <c r="E175" s="1"/>
  <c r="E174" s="1"/>
  <c r="H176"/>
  <c r="CC52"/>
  <c r="CB53"/>
  <c r="M159"/>
  <c r="L160"/>
  <c r="CQ49"/>
  <c r="CQ50" s="1"/>
  <c r="CR46"/>
  <c r="CR47" s="1"/>
  <c r="F160"/>
  <c r="AP71" i="35" l="1"/>
  <c r="AQ65" s="1"/>
  <c r="AR127"/>
  <c r="AR128" s="1"/>
  <c r="AR132" s="1"/>
  <c r="AP78"/>
  <c r="AO99"/>
  <c r="AO108" s="1"/>
  <c r="AQ67"/>
  <c r="AQ68" s="1"/>
  <c r="AQ72" s="1"/>
  <c r="AM169" i="26"/>
  <c r="H26" i="35"/>
  <c r="W26"/>
  <c r="X26"/>
  <c r="Y26"/>
  <c r="G26"/>
  <c r="AM162" i="26"/>
  <c r="AN156" s="1"/>
  <c r="DZ122"/>
  <c r="DZ130" s="1"/>
  <c r="DZ135" s="1"/>
  <c r="DZ113"/>
  <c r="J158" i="12"/>
  <c r="I159"/>
  <c r="Z188" i="26"/>
  <c r="Z189" s="1"/>
  <c r="Z193" s="1"/>
  <c r="AB191"/>
  <c r="AC197"/>
  <c r="H175" i="12"/>
  <c r="AU179" i="26"/>
  <c r="AU196" s="1"/>
  <c r="O96"/>
  <c r="EA112"/>
  <c r="DZ127"/>
  <c r="DZ138"/>
  <c r="DZ136"/>
  <c r="DZ137" s="1"/>
  <c r="R175" i="12"/>
  <c r="Q105" i="26"/>
  <c r="B178" i="12"/>
  <c r="B179" s="1"/>
  <c r="CD52"/>
  <c r="CC53"/>
  <c r="F161"/>
  <c r="G161" s="1"/>
  <c r="M160"/>
  <c r="L161"/>
  <c r="CS46"/>
  <c r="CS47" s="1"/>
  <c r="CR49"/>
  <c r="CR50" s="1"/>
  <c r="G160"/>
  <c r="AR131" i="35" l="1"/>
  <c r="AS125" s="1"/>
  <c r="AR138"/>
  <c r="AO104"/>
  <c r="I24"/>
  <c r="AO101"/>
  <c r="AO102"/>
  <c r="AQ71"/>
  <c r="AR65" s="1"/>
  <c r="AR67" s="1"/>
  <c r="AR68" s="1"/>
  <c r="AR72" s="1"/>
  <c r="AQ78"/>
  <c r="H20"/>
  <c r="G27"/>
  <c r="K212" i="33" s="1"/>
  <c r="Y27" i="35"/>
  <c r="Y28" s="1"/>
  <c r="H27"/>
  <c r="L212" i="33" s="1"/>
  <c r="I20" i="35"/>
  <c r="G22"/>
  <c r="H22"/>
  <c r="I22"/>
  <c r="Y20"/>
  <c r="X27"/>
  <c r="X28" s="1"/>
  <c r="X20"/>
  <c r="W27"/>
  <c r="W28" s="1"/>
  <c r="AN158" i="26"/>
  <c r="AN159" s="1"/>
  <c r="AN163" s="1"/>
  <c r="EA122"/>
  <c r="EA130" s="1"/>
  <c r="EA135" s="1"/>
  <c r="EA113"/>
  <c r="Z199"/>
  <c r="H174" i="12"/>
  <c r="AS179" i="26" s="1"/>
  <c r="AS196" s="1"/>
  <c r="AT179"/>
  <c r="AT196" s="1"/>
  <c r="AB195"/>
  <c r="J159" i="12"/>
  <c r="AD200" i="26" s="1"/>
  <c r="I160" i="12"/>
  <c r="AC191" i="26"/>
  <c r="AD197"/>
  <c r="AC200"/>
  <c r="I60" i="30"/>
  <c r="J60" s="1"/>
  <c r="Z192" i="26"/>
  <c r="AA186" s="1"/>
  <c r="O98"/>
  <c r="EB112"/>
  <c r="EA127"/>
  <c r="EA138"/>
  <c r="EA136"/>
  <c r="EA137" s="1"/>
  <c r="R174" i="12"/>
  <c r="B180"/>
  <c r="Q179"/>
  <c r="Q178" s="1"/>
  <c r="Q177" s="1"/>
  <c r="C179"/>
  <c r="R179"/>
  <c r="H179"/>
  <c r="E179"/>
  <c r="E178" s="1"/>
  <c r="E177" s="1"/>
  <c r="O179"/>
  <c r="K179"/>
  <c r="K178" s="1"/>
  <c r="K177" s="1"/>
  <c r="P179"/>
  <c r="CE52"/>
  <c r="CD53"/>
  <c r="CS49"/>
  <c r="CS50" s="1"/>
  <c r="CT46"/>
  <c r="CT47" s="1"/>
  <c r="M161"/>
  <c r="L162"/>
  <c r="F162"/>
  <c r="G162" s="1"/>
  <c r="AS127" i="35" l="1"/>
  <c r="AS128" s="1"/>
  <c r="AS132" s="1"/>
  <c r="AP95"/>
  <c r="I26"/>
  <c r="AP97"/>
  <c r="AP98" s="1"/>
  <c r="AP102" s="1"/>
  <c r="AR78"/>
  <c r="AN162" i="26"/>
  <c r="AO156" s="1"/>
  <c r="AO158" s="1"/>
  <c r="AO159" s="1"/>
  <c r="BD89" i="35"/>
  <c r="BD59"/>
  <c r="BF119"/>
  <c r="AR71"/>
  <c r="AS65" s="1"/>
  <c r="AS67" s="1"/>
  <c r="AS68" s="1"/>
  <c r="AS72" s="1"/>
  <c r="H28"/>
  <c r="G28"/>
  <c r="G23"/>
  <c r="K168" i="33" s="1"/>
  <c r="H23" i="35"/>
  <c r="L168" i="33" s="1"/>
  <c r="I23" i="35"/>
  <c r="AN169" i="26"/>
  <c r="EB122"/>
  <c r="EB130" s="1"/>
  <c r="EB135" s="1"/>
  <c r="EB113"/>
  <c r="AA188"/>
  <c r="AA189" s="1"/>
  <c r="AA193" s="1"/>
  <c r="H178" i="12"/>
  <c r="AX179" i="26"/>
  <c r="AX196" s="1"/>
  <c r="AD191"/>
  <c r="AE197"/>
  <c r="J160" i="12"/>
  <c r="AE200" i="26" s="1"/>
  <c r="I161" i="12"/>
  <c r="O99" i="26"/>
  <c r="AX150"/>
  <c r="AX120"/>
  <c r="EC112"/>
  <c r="EB127"/>
  <c r="EB138"/>
  <c r="EB136"/>
  <c r="EB137" s="1"/>
  <c r="R178" i="12"/>
  <c r="C178"/>
  <c r="N177"/>
  <c r="N179"/>
  <c r="N178"/>
  <c r="B181"/>
  <c r="B182" s="1"/>
  <c r="CE53"/>
  <c r="CF52"/>
  <c r="M162"/>
  <c r="L163"/>
  <c r="F163"/>
  <c r="G163" s="1"/>
  <c r="CU46"/>
  <c r="CU47" s="1"/>
  <c r="CT49"/>
  <c r="CT50" s="1"/>
  <c r="AS138" i="35" l="1"/>
  <c r="AS131"/>
  <c r="AT125" s="1"/>
  <c r="AT127" s="1"/>
  <c r="I27"/>
  <c r="M212" i="33" s="1"/>
  <c r="J20" i="35"/>
  <c r="I28"/>
  <c r="M218" i="33" s="1"/>
  <c r="M237" s="1"/>
  <c r="AP101" i="35"/>
  <c r="AQ95" s="1"/>
  <c r="AP108"/>
  <c r="AQ97"/>
  <c r="M217" i="33"/>
  <c r="K166"/>
  <c r="K218"/>
  <c r="K237" s="1"/>
  <c r="L218"/>
  <c r="L237" s="1"/>
  <c r="AS71" i="35"/>
  <c r="AT65" s="1"/>
  <c r="AT67" s="1"/>
  <c r="AS78"/>
  <c r="BC59"/>
  <c r="BC89"/>
  <c r="BE119"/>
  <c r="AO160" i="26"/>
  <c r="AO163" s="1"/>
  <c r="O103"/>
  <c r="EC113"/>
  <c r="EC122"/>
  <c r="EC130" s="1"/>
  <c r="EC135" s="1"/>
  <c r="AA192"/>
  <c r="AB186" s="1"/>
  <c r="AB188" s="1"/>
  <c r="AB189" s="1"/>
  <c r="AB193" s="1"/>
  <c r="AD195"/>
  <c r="H177" i="12"/>
  <c r="AV179" i="26" s="1"/>
  <c r="AV196" s="1"/>
  <c r="AW179"/>
  <c r="AW196" s="1"/>
  <c r="AA199"/>
  <c r="J161" i="12"/>
  <c r="AF200" i="26" s="1"/>
  <c r="I162" i="12"/>
  <c r="AE191" i="26"/>
  <c r="AE195" s="1"/>
  <c r="AF197"/>
  <c r="O102"/>
  <c r="AW150"/>
  <c r="AW120"/>
  <c r="ED112"/>
  <c r="EC127"/>
  <c r="EC138"/>
  <c r="EC136"/>
  <c r="EC137" s="1"/>
  <c r="C177" i="12"/>
  <c r="R177"/>
  <c r="O177"/>
  <c r="O178" s="1"/>
  <c r="P177"/>
  <c r="P178" s="1"/>
  <c r="P182"/>
  <c r="Q182"/>
  <c r="Q181" s="1"/>
  <c r="Q180" s="1"/>
  <c r="K182"/>
  <c r="K181" s="1"/>
  <c r="K180" s="1"/>
  <c r="E182"/>
  <c r="E181" s="1"/>
  <c r="E180" s="1"/>
  <c r="B183"/>
  <c r="O182"/>
  <c r="H182"/>
  <c r="C182"/>
  <c r="R182"/>
  <c r="CF53"/>
  <c r="CG52"/>
  <c r="CU49"/>
  <c r="CU50" s="1"/>
  <c r="CV46"/>
  <c r="CV47" s="1"/>
  <c r="M163"/>
  <c r="L164"/>
  <c r="F164"/>
  <c r="AT128" i="35" l="1"/>
  <c r="AT131" s="1"/>
  <c r="AU125" s="1"/>
  <c r="K217" i="33"/>
  <c r="AQ98" i="35"/>
  <c r="AQ102" s="1"/>
  <c r="K169" i="33"/>
  <c r="K170" s="1"/>
  <c r="L217"/>
  <c r="AO169" i="26"/>
  <c r="BB59" i="35"/>
  <c r="BB89"/>
  <c r="BD119"/>
  <c r="AT68"/>
  <c r="AT72" s="1"/>
  <c r="BG89"/>
  <c r="BG59"/>
  <c r="BI119"/>
  <c r="AO165" i="26"/>
  <c r="AO162"/>
  <c r="AP156" s="1"/>
  <c r="ED122"/>
  <c r="ED130" s="1"/>
  <c r="ED113"/>
  <c r="AB199"/>
  <c r="H181" i="12"/>
  <c r="BA179" i="26"/>
  <c r="BA196" s="1"/>
  <c r="AF191"/>
  <c r="AF195" s="1"/>
  <c r="AG197"/>
  <c r="J162" i="12"/>
  <c r="AG200" i="26" s="1"/>
  <c r="I163" i="12"/>
  <c r="AB192" i="26"/>
  <c r="AC186" s="1"/>
  <c r="R105"/>
  <c r="O105"/>
  <c r="O109"/>
  <c r="P96"/>
  <c r="P98" s="1"/>
  <c r="I129"/>
  <c r="BA150"/>
  <c r="BA120"/>
  <c r="AV150"/>
  <c r="AV120"/>
  <c r="EE112"/>
  <c r="ED127"/>
  <c r="ED138"/>
  <c r="ED135"/>
  <c r="ED136"/>
  <c r="ED137" s="1"/>
  <c r="R181" i="12"/>
  <c r="C181"/>
  <c r="D177"/>
  <c r="D178" s="1"/>
  <c r="D179" s="1"/>
  <c r="B184"/>
  <c r="B185" s="1"/>
  <c r="N182"/>
  <c r="N180"/>
  <c r="N181"/>
  <c r="CG53"/>
  <c r="CH52"/>
  <c r="F165"/>
  <c r="CW46"/>
  <c r="M164"/>
  <c r="L165"/>
  <c r="CV49"/>
  <c r="CV50" s="1"/>
  <c r="G164"/>
  <c r="AT132" i="35" l="1"/>
  <c r="AU127" s="1"/>
  <c r="AU128" s="1"/>
  <c r="AU132" s="1"/>
  <c r="AT138"/>
  <c r="AT78"/>
  <c r="AQ108"/>
  <c r="AQ101"/>
  <c r="AR95" s="1"/>
  <c r="AR97" s="1"/>
  <c r="AR98" s="1"/>
  <c r="AR102" s="1"/>
  <c r="K172" i="33"/>
  <c r="F23" i="39" s="1"/>
  <c r="F24" s="1"/>
  <c r="K203" i="33"/>
  <c r="BF89" i="35"/>
  <c r="BF59"/>
  <c r="BH119"/>
  <c r="AT71"/>
  <c r="AU65" s="1"/>
  <c r="AU67" s="1"/>
  <c r="AU68" s="1"/>
  <c r="AU72" s="1"/>
  <c r="AP158" i="26"/>
  <c r="AP159" s="1"/>
  <c r="AP163" s="1"/>
  <c r="I133"/>
  <c r="EE122"/>
  <c r="EE130" s="1"/>
  <c r="EE135" s="1"/>
  <c r="EE113"/>
  <c r="J163" i="12"/>
  <c r="AH200" i="26" s="1"/>
  <c r="I164" i="12"/>
  <c r="AG191" i="26"/>
  <c r="AG195" s="1"/>
  <c r="AH197"/>
  <c r="H180" i="12"/>
  <c r="AY179" i="26" s="1"/>
  <c r="AY196" s="1"/>
  <c r="AZ179"/>
  <c r="AZ196" s="1"/>
  <c r="AC188"/>
  <c r="AC189" s="1"/>
  <c r="I135"/>
  <c r="P99"/>
  <c r="AZ150"/>
  <c r="AZ120"/>
  <c r="EF112"/>
  <c r="EE127"/>
  <c r="EE138"/>
  <c r="EE136"/>
  <c r="EE137" s="1"/>
  <c r="I132"/>
  <c r="J126" s="1"/>
  <c r="I139"/>
  <c r="C180" i="12"/>
  <c r="R180"/>
  <c r="O185"/>
  <c r="H185"/>
  <c r="K185"/>
  <c r="K184" s="1"/>
  <c r="K183" s="1"/>
  <c r="Q185"/>
  <c r="Q184" s="1"/>
  <c r="Q183" s="1"/>
  <c r="B186"/>
  <c r="R185"/>
  <c r="C185"/>
  <c r="E185"/>
  <c r="E184" s="1"/>
  <c r="E183" s="1"/>
  <c r="P185"/>
  <c r="O180"/>
  <c r="O181" s="1"/>
  <c r="P180"/>
  <c r="P181" s="1"/>
  <c r="CH53"/>
  <c r="CI52"/>
  <c r="CX46"/>
  <c r="F166"/>
  <c r="G166" s="1"/>
  <c r="CW49"/>
  <c r="CW50" s="1"/>
  <c r="M165"/>
  <c r="L166"/>
  <c r="CW47"/>
  <c r="G165"/>
  <c r="AU131" i="35" l="1"/>
  <c r="AV125" s="1"/>
  <c r="AV127" s="1"/>
  <c r="AU138"/>
  <c r="K173" i="33"/>
  <c r="K271"/>
  <c r="K342" s="1"/>
  <c r="F30" i="39" s="1"/>
  <c r="AR108" i="35"/>
  <c r="AR101"/>
  <c r="AS95" s="1"/>
  <c r="AS97" s="1"/>
  <c r="AS98" s="1"/>
  <c r="AS102" s="1"/>
  <c r="K176" i="33"/>
  <c r="K177" s="1"/>
  <c r="F25" i="39" s="1"/>
  <c r="AP162" i="26"/>
  <c r="AQ156" s="1"/>
  <c r="AQ158" s="1"/>
  <c r="AQ159" s="1"/>
  <c r="AQ163" s="1"/>
  <c r="K222" i="33"/>
  <c r="BJ89" i="35"/>
  <c r="BJ59"/>
  <c r="BL119"/>
  <c r="BE59"/>
  <c r="BE89"/>
  <c r="BG119"/>
  <c r="AU71"/>
  <c r="AV65" s="1"/>
  <c r="AU78"/>
  <c r="AP169" i="26"/>
  <c r="P103"/>
  <c r="EF122"/>
  <c r="EF130" s="1"/>
  <c r="EF135" s="1"/>
  <c r="EF113"/>
  <c r="AC190"/>
  <c r="AC193" s="1"/>
  <c r="H184" i="12"/>
  <c r="BD179" i="26"/>
  <c r="BD196" s="1"/>
  <c r="AH191"/>
  <c r="AH195" s="1"/>
  <c r="AI197"/>
  <c r="J164" i="12"/>
  <c r="AI200" i="26" s="1"/>
  <c r="I165" i="12"/>
  <c r="P102" i="26"/>
  <c r="AY150"/>
  <c r="AY120"/>
  <c r="BD150"/>
  <c r="BD120"/>
  <c r="EG112"/>
  <c r="EF127"/>
  <c r="EF138"/>
  <c r="EF136"/>
  <c r="EF137" s="1"/>
  <c r="J128"/>
  <c r="C184" i="12"/>
  <c r="R184"/>
  <c r="D180"/>
  <c r="D181" s="1"/>
  <c r="D182" s="1"/>
  <c r="B187"/>
  <c r="B188" s="1"/>
  <c r="N183"/>
  <c r="N185"/>
  <c r="N184"/>
  <c r="CJ52"/>
  <c r="CI53"/>
  <c r="CY46"/>
  <c r="CY47" s="1"/>
  <c r="M166"/>
  <c r="L167"/>
  <c r="CX49"/>
  <c r="F167"/>
  <c r="G167" s="1"/>
  <c r="CX47"/>
  <c r="F31" i="39" l="1"/>
  <c r="K314" i="33"/>
  <c r="F41" i="39" s="1"/>
  <c r="K223" i="33"/>
  <c r="K221"/>
  <c r="K216"/>
  <c r="K343" s="1"/>
  <c r="F32" i="39" s="1"/>
  <c r="AS101" i="35"/>
  <c r="AT95" s="1"/>
  <c r="AS108"/>
  <c r="AT97"/>
  <c r="AT98" s="1"/>
  <c r="AT102" s="1"/>
  <c r="AQ169" i="26"/>
  <c r="AV67" i="35"/>
  <c r="AV68" s="1"/>
  <c r="AV72" s="1"/>
  <c r="BI59"/>
  <c r="BI89"/>
  <c r="BK119"/>
  <c r="AV128"/>
  <c r="AQ162" i="26"/>
  <c r="AR156" s="1"/>
  <c r="AC192"/>
  <c r="AD186" s="1"/>
  <c r="EG113"/>
  <c r="EG122"/>
  <c r="EG130" s="1"/>
  <c r="P109"/>
  <c r="J165" i="12"/>
  <c r="AJ200" i="26" s="1"/>
  <c r="I166" i="12"/>
  <c r="AI191" i="26"/>
  <c r="AI195" s="1"/>
  <c r="AJ197"/>
  <c r="AC195"/>
  <c r="AC199"/>
  <c r="H183" i="12"/>
  <c r="BB179" i="26" s="1"/>
  <c r="BB196" s="1"/>
  <c r="BC179"/>
  <c r="BC196" s="1"/>
  <c r="AD188"/>
  <c r="AD189" s="1"/>
  <c r="AD193" s="1"/>
  <c r="Q96"/>
  <c r="P105"/>
  <c r="BC150"/>
  <c r="BC120"/>
  <c r="EH112"/>
  <c r="EG127"/>
  <c r="EG138"/>
  <c r="EG135"/>
  <c r="EG136"/>
  <c r="EG137" s="1"/>
  <c r="S105"/>
  <c r="R183" i="12"/>
  <c r="C183"/>
  <c r="O183"/>
  <c r="O184" s="1"/>
  <c r="P183"/>
  <c r="P184" s="1"/>
  <c r="B189"/>
  <c r="O188"/>
  <c r="H188"/>
  <c r="E188"/>
  <c r="E187" s="1"/>
  <c r="E186" s="1"/>
  <c r="P188"/>
  <c r="K188"/>
  <c r="K187" s="1"/>
  <c r="K186" s="1"/>
  <c r="Q188"/>
  <c r="Q187" s="1"/>
  <c r="Q186" s="1"/>
  <c r="C188"/>
  <c r="R188"/>
  <c r="CJ53"/>
  <c r="CK52"/>
  <c r="CY49"/>
  <c r="CY50" s="1"/>
  <c r="CZ46"/>
  <c r="F168"/>
  <c r="G168" s="1"/>
  <c r="M167"/>
  <c r="L168"/>
  <c r="CX50"/>
  <c r="K232" i="33" l="1"/>
  <c r="K233" s="1"/>
  <c r="K347"/>
  <c r="K228"/>
  <c r="K220"/>
  <c r="K309"/>
  <c r="K211"/>
  <c r="AT101" i="35"/>
  <c r="AU95" s="1"/>
  <c r="AT108"/>
  <c r="AU97"/>
  <c r="AU98" s="1"/>
  <c r="AU102" s="1"/>
  <c r="AV132"/>
  <c r="AV138"/>
  <c r="AV131"/>
  <c r="AW125" s="1"/>
  <c r="AV78"/>
  <c r="BM59"/>
  <c r="BM89"/>
  <c r="BO119"/>
  <c r="BH59"/>
  <c r="BH89"/>
  <c r="BJ119"/>
  <c r="AV71"/>
  <c r="AW65" s="1"/>
  <c r="AW67" s="1"/>
  <c r="AR158" i="26"/>
  <c r="AR159" s="1"/>
  <c r="AR163" s="1"/>
  <c r="EH122"/>
  <c r="EH130" s="1"/>
  <c r="EH135" s="1"/>
  <c r="EH113"/>
  <c r="AD199"/>
  <c r="H187" i="12"/>
  <c r="BG179" i="26"/>
  <c r="BG196" s="1"/>
  <c r="AJ191"/>
  <c r="AK197"/>
  <c r="J166" i="12"/>
  <c r="AK200" i="26" s="1"/>
  <c r="I167" i="12"/>
  <c r="AD192" i="26"/>
  <c r="AE186" s="1"/>
  <c r="Q98"/>
  <c r="J60"/>
  <c r="J69" s="1"/>
  <c r="BG150"/>
  <c r="BG120"/>
  <c r="BB150"/>
  <c r="BB120"/>
  <c r="EI112"/>
  <c r="EH127"/>
  <c r="EH138"/>
  <c r="EH136"/>
  <c r="EH137" s="1"/>
  <c r="R187" i="12"/>
  <c r="C187"/>
  <c r="D183"/>
  <c r="D184" s="1"/>
  <c r="D185" s="1"/>
  <c r="B190"/>
  <c r="B191" s="1"/>
  <c r="N186"/>
  <c r="N188"/>
  <c r="N187"/>
  <c r="CL52"/>
  <c r="CK53"/>
  <c r="DA46"/>
  <c r="CZ49"/>
  <c r="CZ50" s="1"/>
  <c r="M168"/>
  <c r="L169"/>
  <c r="F169"/>
  <c r="G169" s="1"/>
  <c r="CZ47"/>
  <c r="K236" i="33" l="1"/>
  <c r="K238" s="1"/>
  <c r="K241" s="1"/>
  <c r="H38" i="35"/>
  <c r="I33"/>
  <c r="K349" i="33"/>
  <c r="F34" i="39"/>
  <c r="K195" i="33"/>
  <c r="K313"/>
  <c r="AU108" i="35"/>
  <c r="AU101"/>
  <c r="AV95" s="1"/>
  <c r="K281" i="33"/>
  <c r="K272"/>
  <c r="K277"/>
  <c r="AW127" i="35"/>
  <c r="AW128" s="1"/>
  <c r="BL89"/>
  <c r="BL59"/>
  <c r="BN119"/>
  <c r="AW68"/>
  <c r="AW72" s="1"/>
  <c r="AR169" i="26"/>
  <c r="AR162"/>
  <c r="AS156" s="1"/>
  <c r="EI122"/>
  <c r="EI130" s="1"/>
  <c r="EI135" s="1"/>
  <c r="EI113"/>
  <c r="J70"/>
  <c r="J73" s="1"/>
  <c r="I168" i="12"/>
  <c r="J167"/>
  <c r="AL200" i="26" s="1"/>
  <c r="AK191"/>
  <c r="AK195" s="1"/>
  <c r="AL197"/>
  <c r="AJ195"/>
  <c r="H186" i="12"/>
  <c r="BE179" i="26" s="1"/>
  <c r="BE196" s="1"/>
  <c r="BF179"/>
  <c r="BF196" s="1"/>
  <c r="AE188"/>
  <c r="AE189" s="1"/>
  <c r="AE193" s="1"/>
  <c r="T105"/>
  <c r="Q99"/>
  <c r="BF150"/>
  <c r="BF120"/>
  <c r="EJ112"/>
  <c r="EI127"/>
  <c r="EI138"/>
  <c r="EI136"/>
  <c r="EI137" s="1"/>
  <c r="C186" i="12"/>
  <c r="R186"/>
  <c r="R191"/>
  <c r="B192"/>
  <c r="K191"/>
  <c r="K190" s="1"/>
  <c r="K189" s="1"/>
  <c r="C191"/>
  <c r="P191"/>
  <c r="E191"/>
  <c r="E190" s="1"/>
  <c r="E189" s="1"/>
  <c r="H191"/>
  <c r="Q191"/>
  <c r="Q190" s="1"/>
  <c r="Q189" s="1"/>
  <c r="O191"/>
  <c r="P186"/>
  <c r="P187" s="1"/>
  <c r="O186"/>
  <c r="O187" s="1"/>
  <c r="CM52"/>
  <c r="CL53"/>
  <c r="DB46"/>
  <c r="DB47" s="1"/>
  <c r="F170"/>
  <c r="G170" s="1"/>
  <c r="M169"/>
  <c r="L170"/>
  <c r="DA49"/>
  <c r="DA50" s="1"/>
  <c r="DA47"/>
  <c r="H34" i="35" l="1"/>
  <c r="H35"/>
  <c r="K239" i="33"/>
  <c r="AW71" i="35"/>
  <c r="AX65" s="1"/>
  <c r="AX67" s="1"/>
  <c r="AX68" s="1"/>
  <c r="AV97"/>
  <c r="AV98" s="1"/>
  <c r="AV102" s="1"/>
  <c r="AW78"/>
  <c r="AV101"/>
  <c r="AW95" s="1"/>
  <c r="AW97" s="1"/>
  <c r="K282" i="33"/>
  <c r="K273"/>
  <c r="K284" s="1"/>
  <c r="K285" s="1"/>
  <c r="BP89" i="35"/>
  <c r="BP59"/>
  <c r="BR119"/>
  <c r="AW132"/>
  <c r="BK59"/>
  <c r="BK89"/>
  <c r="BM119"/>
  <c r="AW98"/>
  <c r="AW102" s="1"/>
  <c r="AW131"/>
  <c r="AX125" s="1"/>
  <c r="AW138"/>
  <c r="J79" i="26"/>
  <c r="AS158"/>
  <c r="AS159" s="1"/>
  <c r="AS163" s="1"/>
  <c r="Q103"/>
  <c r="J75"/>
  <c r="J72"/>
  <c r="EJ122"/>
  <c r="EJ130" s="1"/>
  <c r="EJ135" s="1"/>
  <c r="EJ113"/>
  <c r="I169" i="12"/>
  <c r="J168"/>
  <c r="AM200" i="26" s="1"/>
  <c r="AE199"/>
  <c r="H190" i="12"/>
  <c r="BJ179" i="26"/>
  <c r="BJ196" s="1"/>
  <c r="AL191"/>
  <c r="AM197"/>
  <c r="AE192"/>
  <c r="AF186" s="1"/>
  <c r="AF188" s="1"/>
  <c r="Q109"/>
  <c r="Q102"/>
  <c r="BE150"/>
  <c r="BE120"/>
  <c r="BJ150"/>
  <c r="BJ120"/>
  <c r="EK112"/>
  <c r="EJ127"/>
  <c r="EJ138"/>
  <c r="EJ136"/>
  <c r="EJ137" s="1"/>
  <c r="C190" i="12"/>
  <c r="R190"/>
  <c r="D186"/>
  <c r="D187" s="1"/>
  <c r="D188" s="1"/>
  <c r="N190"/>
  <c r="N189"/>
  <c r="N191"/>
  <c r="B193"/>
  <c r="B194" s="1"/>
  <c r="CM53"/>
  <c r="CN52"/>
  <c r="F171"/>
  <c r="G171" s="1"/>
  <c r="DB49"/>
  <c r="DB50" s="1"/>
  <c r="M170"/>
  <c r="L171"/>
  <c r="DC46"/>
  <c r="DC47" s="1"/>
  <c r="AW101" i="35" l="1"/>
  <c r="AX95" s="1"/>
  <c r="AX97" s="1"/>
  <c r="AX98" s="1"/>
  <c r="AX102" s="1"/>
  <c r="AV108"/>
  <c r="AX72"/>
  <c r="AX78"/>
  <c r="BO59"/>
  <c r="BO89"/>
  <c r="BQ119"/>
  <c r="AW108"/>
  <c r="AX71"/>
  <c r="AY65" s="1"/>
  <c r="AX127"/>
  <c r="AX128" s="1"/>
  <c r="AS162" i="26"/>
  <c r="AT156" s="1"/>
  <c r="AS169"/>
  <c r="K66"/>
  <c r="K68" s="1"/>
  <c r="EK113"/>
  <c r="EK122"/>
  <c r="EK130" s="1"/>
  <c r="EK135" s="1"/>
  <c r="AL195"/>
  <c r="AF189"/>
  <c r="AF193" s="1"/>
  <c r="AM191"/>
  <c r="AM195" s="1"/>
  <c r="AN197"/>
  <c r="H189" i="12"/>
  <c r="BH179" i="26" s="1"/>
  <c r="BH196" s="1"/>
  <c r="BI179"/>
  <c r="BI196" s="1"/>
  <c r="J169" i="12"/>
  <c r="AN200" i="26" s="1"/>
  <c r="I170" i="12"/>
  <c r="R96" i="26"/>
  <c r="R98" s="1"/>
  <c r="BI150"/>
  <c r="BI120"/>
  <c r="EL112"/>
  <c r="EK127"/>
  <c r="EK138"/>
  <c r="EK136"/>
  <c r="EK137" s="1"/>
  <c r="R189" i="12"/>
  <c r="C189"/>
  <c r="O194"/>
  <c r="C194"/>
  <c r="Q194"/>
  <c r="Q193" s="1"/>
  <c r="Q192" s="1"/>
  <c r="P194"/>
  <c r="B195"/>
  <c r="R194"/>
  <c r="K194"/>
  <c r="K193" s="1"/>
  <c r="K192" s="1"/>
  <c r="E194"/>
  <c r="E193" s="1"/>
  <c r="E192" s="1"/>
  <c r="H194"/>
  <c r="O189"/>
  <c r="O190" s="1"/>
  <c r="P189"/>
  <c r="P190" s="1"/>
  <c r="CO52"/>
  <c r="CN53"/>
  <c r="F172"/>
  <c r="DD46"/>
  <c r="DD47" s="1"/>
  <c r="M171"/>
  <c r="L172"/>
  <c r="DC49"/>
  <c r="DC50" s="1"/>
  <c r="AX138" i="35" l="1"/>
  <c r="BS59"/>
  <c r="BS89"/>
  <c r="BU119"/>
  <c r="BN59"/>
  <c r="BN89"/>
  <c r="BP119"/>
  <c r="AX101"/>
  <c r="AY95" s="1"/>
  <c r="AY67"/>
  <c r="AY68" s="1"/>
  <c r="AY72" s="1"/>
  <c r="AX132"/>
  <c r="AX108"/>
  <c r="AX131"/>
  <c r="AY125" s="1"/>
  <c r="AT158" i="26"/>
  <c r="AT159" s="1"/>
  <c r="AT163" s="1"/>
  <c r="EL122"/>
  <c r="EL130" s="1"/>
  <c r="EL135" s="1"/>
  <c r="EL113"/>
  <c r="AF192"/>
  <c r="AG186" s="1"/>
  <c r="AG188" s="1"/>
  <c r="AG189" s="1"/>
  <c r="AG193" s="1"/>
  <c r="AF199"/>
  <c r="H193" i="12"/>
  <c r="BM179" i="26"/>
  <c r="BM196" s="1"/>
  <c r="J170" i="12"/>
  <c r="I171"/>
  <c r="AN191" i="26"/>
  <c r="AO197"/>
  <c r="R99"/>
  <c r="V105"/>
  <c r="J129"/>
  <c r="BM150"/>
  <c r="BM120"/>
  <c r="BH150"/>
  <c r="BH120"/>
  <c r="EM112"/>
  <c r="EL127"/>
  <c r="EL138"/>
  <c r="EL136"/>
  <c r="EL137" s="1"/>
  <c r="R193" i="12"/>
  <c r="C193"/>
  <c r="D189"/>
  <c r="D190" s="1"/>
  <c r="D191" s="1"/>
  <c r="B196"/>
  <c r="B197" s="1"/>
  <c r="N193"/>
  <c r="N194"/>
  <c r="N192"/>
  <c r="CP52"/>
  <c r="CO53"/>
  <c r="M172"/>
  <c r="L173"/>
  <c r="F173"/>
  <c r="G173" s="1"/>
  <c r="DD49"/>
  <c r="DD50" s="1"/>
  <c r="DE46"/>
  <c r="DE47" s="1"/>
  <c r="G172"/>
  <c r="BR59" i="35" l="1"/>
  <c r="BR89"/>
  <c r="BT119"/>
  <c r="AY97"/>
  <c r="AY98" s="1"/>
  <c r="AY102" s="1"/>
  <c r="AT169" i="26"/>
  <c r="AY127" i="35"/>
  <c r="AY78"/>
  <c r="AY128"/>
  <c r="AY71"/>
  <c r="AZ65" s="1"/>
  <c r="AT162" i="26"/>
  <c r="AU156" s="1"/>
  <c r="AN195"/>
  <c r="J133"/>
  <c r="EM122"/>
  <c r="EM130" s="1"/>
  <c r="EM135" s="1"/>
  <c r="EM113"/>
  <c r="R102"/>
  <c r="R103"/>
  <c r="R109"/>
  <c r="I61" i="30"/>
  <c r="J61" s="1"/>
  <c r="AO200" i="26"/>
  <c r="H192" i="12"/>
  <c r="BK179" i="26" s="1"/>
  <c r="BK196" s="1"/>
  <c r="BL179"/>
  <c r="BL196" s="1"/>
  <c r="AG199"/>
  <c r="AO191"/>
  <c r="AP197"/>
  <c r="J171" i="12"/>
  <c r="AP200" i="26" s="1"/>
  <c r="I172" i="12"/>
  <c r="AG192" i="26"/>
  <c r="AH186" s="1"/>
  <c r="AH188" s="1"/>
  <c r="BL150"/>
  <c r="BL120"/>
  <c r="J139"/>
  <c r="EN112"/>
  <c r="EM127"/>
  <c r="EM138"/>
  <c r="EM136"/>
  <c r="EM137" s="1"/>
  <c r="C192" i="12"/>
  <c r="R192"/>
  <c r="P192"/>
  <c r="P193" s="1"/>
  <c r="O192"/>
  <c r="O193" s="1"/>
  <c r="B198"/>
  <c r="Q197"/>
  <c r="Q196" s="1"/>
  <c r="Q195" s="1"/>
  <c r="R197"/>
  <c r="H197"/>
  <c r="O197"/>
  <c r="C197"/>
  <c r="K197"/>
  <c r="K196" s="1"/>
  <c r="K195" s="1"/>
  <c r="E197"/>
  <c r="E196" s="1"/>
  <c r="E195" s="1"/>
  <c r="P197"/>
  <c r="CP53"/>
  <c r="CQ52"/>
  <c r="DF46"/>
  <c r="DF47" s="1"/>
  <c r="DE49"/>
  <c r="DE50" s="1"/>
  <c r="F174"/>
  <c r="M173"/>
  <c r="L174"/>
  <c r="AY138" i="35" l="1"/>
  <c r="S96" i="26"/>
  <c r="S98" s="1"/>
  <c r="AY131" i="35"/>
  <c r="AZ125" s="1"/>
  <c r="AY108"/>
  <c r="BQ89"/>
  <c r="BQ59"/>
  <c r="BS119"/>
  <c r="AY132"/>
  <c r="BV89"/>
  <c r="BV59"/>
  <c r="BX119"/>
  <c r="AZ67"/>
  <c r="AZ68" s="1"/>
  <c r="AZ72" s="1"/>
  <c r="AY101"/>
  <c r="AZ95" s="1"/>
  <c r="AU158" i="26"/>
  <c r="AU159" s="1"/>
  <c r="AU163" s="1"/>
  <c r="EN122"/>
  <c r="EN130" s="1"/>
  <c r="EN135" s="1"/>
  <c r="EN113"/>
  <c r="H196" i="12"/>
  <c r="BP179" i="26"/>
  <c r="BP196" s="1"/>
  <c r="AH189"/>
  <c r="AH193" s="1"/>
  <c r="J172" i="12"/>
  <c r="AQ200" i="26" s="1"/>
  <c r="I173" i="12"/>
  <c r="AP191" i="26"/>
  <c r="AP195" s="1"/>
  <c r="AQ197"/>
  <c r="J135"/>
  <c r="J132"/>
  <c r="K126" s="1"/>
  <c r="K128" s="1"/>
  <c r="BK150"/>
  <c r="BK120"/>
  <c r="BP150"/>
  <c r="BP120"/>
  <c r="EO112"/>
  <c r="EN127"/>
  <c r="EN138"/>
  <c r="EN136"/>
  <c r="EN137" s="1"/>
  <c r="C196" i="12"/>
  <c r="R196"/>
  <c r="D192"/>
  <c r="D193" s="1"/>
  <c r="D194" s="1"/>
  <c r="N197"/>
  <c r="N196"/>
  <c r="N195"/>
  <c r="B199"/>
  <c r="B200" s="1"/>
  <c r="CQ53"/>
  <c r="CR52"/>
  <c r="F175"/>
  <c r="G175" s="1"/>
  <c r="DF49"/>
  <c r="DF50" s="1"/>
  <c r="DG46"/>
  <c r="DG47" s="1"/>
  <c r="M174"/>
  <c r="L175"/>
  <c r="G174"/>
  <c r="AZ127" i="35" l="1"/>
  <c r="AZ78"/>
  <c r="AU169" i="26"/>
  <c r="BU59" i="35"/>
  <c r="BU89"/>
  <c r="BW119"/>
  <c r="AZ97"/>
  <c r="AZ98" s="1"/>
  <c r="AZ102" s="1"/>
  <c r="AZ71"/>
  <c r="BA65" s="1"/>
  <c r="BA67" s="1"/>
  <c r="BA68" s="1"/>
  <c r="BA72" s="1"/>
  <c r="AZ128"/>
  <c r="AZ132" s="1"/>
  <c r="AU162" i="26"/>
  <c r="AV156" s="1"/>
  <c r="EO113"/>
  <c r="EO122"/>
  <c r="EO130" s="1"/>
  <c r="AH192"/>
  <c r="AI186" s="1"/>
  <c r="AH199"/>
  <c r="AQ191"/>
  <c r="AQ195" s="1"/>
  <c r="AR197"/>
  <c r="J173" i="12"/>
  <c r="AR200" i="26" s="1"/>
  <c r="I174" i="12"/>
  <c r="AI188" i="26"/>
  <c r="AI189" s="1"/>
  <c r="AI193" s="1"/>
  <c r="H195" i="12"/>
  <c r="BN179" i="26" s="1"/>
  <c r="BN196" s="1"/>
  <c r="BO179"/>
  <c r="BO196" s="1"/>
  <c r="S99"/>
  <c r="BO150"/>
  <c r="BO120"/>
  <c r="EP112"/>
  <c r="EO127"/>
  <c r="EO138"/>
  <c r="EO135"/>
  <c r="EO136"/>
  <c r="EO137" s="1"/>
  <c r="R195" i="12"/>
  <c r="C195"/>
  <c r="W105" i="26"/>
  <c r="P195" i="12"/>
  <c r="P196" s="1"/>
  <c r="O195"/>
  <c r="O196" s="1"/>
  <c r="R200"/>
  <c r="E200"/>
  <c r="E199" s="1"/>
  <c r="E198" s="1"/>
  <c r="C200"/>
  <c r="K200"/>
  <c r="K199" s="1"/>
  <c r="K198" s="1"/>
  <c r="B201"/>
  <c r="P200"/>
  <c r="H200"/>
  <c r="O200"/>
  <c r="Q200"/>
  <c r="Q199" s="1"/>
  <c r="Q198" s="1"/>
  <c r="CR53"/>
  <c r="CS52"/>
  <c r="DH46"/>
  <c r="F176"/>
  <c r="M175"/>
  <c r="L176"/>
  <c r="DG49"/>
  <c r="DG50" s="1"/>
  <c r="AZ131" i="35" l="1"/>
  <c r="BA125" s="1"/>
  <c r="AZ108"/>
  <c r="BA71"/>
  <c r="BB65" s="1"/>
  <c r="BB67" s="1"/>
  <c r="BB68" s="1"/>
  <c r="BB72" s="1"/>
  <c r="BA78"/>
  <c r="BA127"/>
  <c r="AZ101"/>
  <c r="BA95" s="1"/>
  <c r="AZ138"/>
  <c r="BY59"/>
  <c r="BY89"/>
  <c r="CA119"/>
  <c r="BT59"/>
  <c r="BT89"/>
  <c r="BV119"/>
  <c r="AV158" i="26"/>
  <c r="AV159" s="1"/>
  <c r="EP122"/>
  <c r="EP130" s="1"/>
  <c r="EP113"/>
  <c r="S102"/>
  <c r="T96" s="1"/>
  <c r="S103"/>
  <c r="AI192"/>
  <c r="AJ186" s="1"/>
  <c r="S109"/>
  <c r="AI199"/>
  <c r="H199" i="12"/>
  <c r="BS179" i="26"/>
  <c r="BS196" s="1"/>
  <c r="J174" i="12"/>
  <c r="AS200" i="26" s="1"/>
  <c r="I175" i="12"/>
  <c r="AR191" i="26"/>
  <c r="AR195" s="1"/>
  <c r="AS197"/>
  <c r="BN150"/>
  <c r="BN120"/>
  <c r="K60"/>
  <c r="K69" s="1"/>
  <c r="BS150"/>
  <c r="BS120"/>
  <c r="EQ112"/>
  <c r="EP127"/>
  <c r="EP138"/>
  <c r="EP136"/>
  <c r="EP137" s="1"/>
  <c r="C199" i="12"/>
  <c r="R199"/>
  <c r="D195"/>
  <c r="D196" s="1"/>
  <c r="D197" s="1"/>
  <c r="B202"/>
  <c r="N199"/>
  <c r="N198"/>
  <c r="N200"/>
  <c r="CT52"/>
  <c r="CS53"/>
  <c r="F177"/>
  <c r="G177" s="1"/>
  <c r="DI46"/>
  <c r="DI47" s="1"/>
  <c r="DH49"/>
  <c r="M176"/>
  <c r="L177"/>
  <c r="G176"/>
  <c r="DH47"/>
  <c r="BA128" i="35" l="1"/>
  <c r="BA132" s="1"/>
  <c r="AV163" i="26"/>
  <c r="AV162"/>
  <c r="AW156" s="1"/>
  <c r="BX89" i="35"/>
  <c r="BX59"/>
  <c r="BZ119"/>
  <c r="BB78"/>
  <c r="BB71"/>
  <c r="BC65" s="1"/>
  <c r="BA97"/>
  <c r="BA98" s="1"/>
  <c r="AV169" i="26"/>
  <c r="EP135"/>
  <c r="EQ122"/>
  <c r="EQ130" s="1"/>
  <c r="EQ135" s="1"/>
  <c r="EQ113"/>
  <c r="AJ188"/>
  <c r="AJ189" s="1"/>
  <c r="AJ193" s="1"/>
  <c r="K70"/>
  <c r="K73" s="1"/>
  <c r="AS191"/>
  <c r="AS195" s="1"/>
  <c r="AT197"/>
  <c r="J175" i="12"/>
  <c r="AT200" i="26" s="1"/>
  <c r="I176" i="12"/>
  <c r="T98" i="26"/>
  <c r="H198" i="12"/>
  <c r="BQ179" i="26" s="1"/>
  <c r="BQ196" s="1"/>
  <c r="BR179"/>
  <c r="BR196" s="1"/>
  <c r="X105"/>
  <c r="BR150"/>
  <c r="BR120"/>
  <c r="ER112"/>
  <c r="EQ127"/>
  <c r="EQ138"/>
  <c r="EQ136"/>
  <c r="EQ137" s="1"/>
  <c r="R198" i="12"/>
  <c r="C198"/>
  <c r="B203"/>
  <c r="P198"/>
  <c r="P199" s="1"/>
  <c r="O198"/>
  <c r="O199" s="1"/>
  <c r="CU52"/>
  <c r="CT53"/>
  <c r="DI49"/>
  <c r="DI50" s="1"/>
  <c r="DJ46"/>
  <c r="DJ47" s="1"/>
  <c r="M177"/>
  <c r="L178"/>
  <c r="F178"/>
  <c r="DH50"/>
  <c r="BA138" i="35" l="1"/>
  <c r="BA131"/>
  <c r="BB125" s="1"/>
  <c r="BB127" s="1"/>
  <c r="AW158" i="26"/>
  <c r="AW159" s="1"/>
  <c r="AW163" s="1"/>
  <c r="BA99" i="35"/>
  <c r="BA102" s="1"/>
  <c r="BW59"/>
  <c r="BW89"/>
  <c r="BY119"/>
  <c r="BA101"/>
  <c r="BC67"/>
  <c r="BC68" s="1"/>
  <c r="BC72" s="1"/>
  <c r="K75" i="26"/>
  <c r="K79"/>
  <c r="AJ192"/>
  <c r="AK186" s="1"/>
  <c r="AK188" s="1"/>
  <c r="AK189" s="1"/>
  <c r="AK193" s="1"/>
  <c r="T99"/>
  <c r="T103" s="1"/>
  <c r="AJ199"/>
  <c r="ER122"/>
  <c r="ER130" s="1"/>
  <c r="ER135" s="1"/>
  <c r="ER113"/>
  <c r="K72"/>
  <c r="J176" i="12"/>
  <c r="AU200" i="26" s="1"/>
  <c r="I177" i="12"/>
  <c r="AT191" i="26"/>
  <c r="AT195" s="1"/>
  <c r="AU197"/>
  <c r="BQ150"/>
  <c r="BQ120"/>
  <c r="ES112"/>
  <c r="ER127"/>
  <c r="ER138"/>
  <c r="ER136"/>
  <c r="ER137" s="1"/>
  <c r="D198" i="12"/>
  <c r="D199" s="1"/>
  <c r="D200" s="1"/>
  <c r="H203"/>
  <c r="C203"/>
  <c r="O203"/>
  <c r="K203"/>
  <c r="K202" s="1"/>
  <c r="K201" s="1"/>
  <c r="R203"/>
  <c r="B204"/>
  <c r="Q203"/>
  <c r="Q202" s="1"/>
  <c r="Q201" s="1"/>
  <c r="E203"/>
  <c r="E202" s="1"/>
  <c r="E201" s="1"/>
  <c r="P203"/>
  <c r="CU53"/>
  <c r="CV52"/>
  <c r="F179"/>
  <c r="G179" s="1"/>
  <c r="DK46"/>
  <c r="DK47" s="1"/>
  <c r="M178"/>
  <c r="L179"/>
  <c r="DJ49"/>
  <c r="DJ50" s="1"/>
  <c r="G178"/>
  <c r="BB128" i="35" l="1"/>
  <c r="BB132" s="1"/>
  <c r="AW169" i="26"/>
  <c r="AW162"/>
  <c r="AX156" s="1"/>
  <c r="AX158" s="1"/>
  <c r="AX159" s="1"/>
  <c r="AX163" s="1"/>
  <c r="T102"/>
  <c r="U96" s="1"/>
  <c r="U98" s="1"/>
  <c r="CB59" i="35"/>
  <c r="CB89"/>
  <c r="CD119"/>
  <c r="BC71"/>
  <c r="BD65" s="1"/>
  <c r="BD67" s="1"/>
  <c r="BD68" s="1"/>
  <c r="BD72" s="1"/>
  <c r="BA108"/>
  <c r="BB95"/>
  <c r="BB97" s="1"/>
  <c r="J24"/>
  <c r="BA104"/>
  <c r="AK199" i="26"/>
  <c r="BC78" i="35"/>
  <c r="AK192" i="26"/>
  <c r="AL186" s="1"/>
  <c r="AL188" s="1"/>
  <c r="AL189" s="1"/>
  <c r="AL193" s="1"/>
  <c r="T109"/>
  <c r="L66"/>
  <c r="L68" s="1"/>
  <c r="ES113"/>
  <c r="ES122"/>
  <c r="ES130" s="1"/>
  <c r="AU191"/>
  <c r="AU195" s="1"/>
  <c r="AV197"/>
  <c r="J177" i="12"/>
  <c r="AV200" i="26" s="1"/>
  <c r="I178" i="12"/>
  <c r="H202"/>
  <c r="BV179" i="26"/>
  <c r="BV196" s="1"/>
  <c r="BV150"/>
  <c r="BV120"/>
  <c r="ET112"/>
  <c r="ES127"/>
  <c r="ES138"/>
  <c r="ES136"/>
  <c r="ES137" s="1"/>
  <c r="R202" i="12"/>
  <c r="C202"/>
  <c r="N203"/>
  <c r="N202"/>
  <c r="N201"/>
  <c r="B205"/>
  <c r="B206" s="1"/>
  <c r="CV53"/>
  <c r="CW52"/>
  <c r="DK49"/>
  <c r="DK50" s="1"/>
  <c r="M179"/>
  <c r="L180"/>
  <c r="DL46"/>
  <c r="DL47" s="1"/>
  <c r="F180"/>
  <c r="G180" s="1"/>
  <c r="AL192" i="26" l="1"/>
  <c r="AM186" s="1"/>
  <c r="BB138" i="35"/>
  <c r="BB131"/>
  <c r="BC125" s="1"/>
  <c r="BC127" s="1"/>
  <c r="BC128" s="1"/>
  <c r="AX162" i="26"/>
  <c r="AY156" s="1"/>
  <c r="AY158" s="1"/>
  <c r="BC132" i="35"/>
  <c r="CA59"/>
  <c r="CA89"/>
  <c r="CC119"/>
  <c r="AX169" i="26"/>
  <c r="BB98" i="35"/>
  <c r="BB102" s="1"/>
  <c r="BD71"/>
  <c r="BE65" s="1"/>
  <c r="BE67" s="1"/>
  <c r="BE68" s="1"/>
  <c r="BE72" s="1"/>
  <c r="BD78"/>
  <c r="AL199" i="26"/>
  <c r="U99"/>
  <c r="ET122"/>
  <c r="ET130" s="1"/>
  <c r="ET135" s="1"/>
  <c r="ET113"/>
  <c r="AM188"/>
  <c r="AM189" s="1"/>
  <c r="AM193" s="1"/>
  <c r="H201" i="12"/>
  <c r="BT179" i="26" s="1"/>
  <c r="BT196" s="1"/>
  <c r="BU179"/>
  <c r="BU196" s="1"/>
  <c r="J178" i="12"/>
  <c r="AW200" i="26" s="1"/>
  <c r="I179" i="12"/>
  <c r="AV191" i="26"/>
  <c r="AW197"/>
  <c r="Y105"/>
  <c r="ES135"/>
  <c r="BU150"/>
  <c r="BU120"/>
  <c r="EU112"/>
  <c r="ET127"/>
  <c r="ET138"/>
  <c r="ET136"/>
  <c r="ET137" s="1"/>
  <c r="C201" i="12"/>
  <c r="R201"/>
  <c r="P201"/>
  <c r="P202" s="1"/>
  <c r="O201"/>
  <c r="O202" s="1"/>
  <c r="O206"/>
  <c r="R206"/>
  <c r="Q206"/>
  <c r="Q205" s="1"/>
  <c r="Q204" s="1"/>
  <c r="E206"/>
  <c r="E205" s="1"/>
  <c r="E204" s="1"/>
  <c r="B207"/>
  <c r="P206"/>
  <c r="H206"/>
  <c r="C206"/>
  <c r="K206"/>
  <c r="K205" s="1"/>
  <c r="K204" s="1"/>
  <c r="CW53"/>
  <c r="CX52"/>
  <c r="F181"/>
  <c r="G181" s="1"/>
  <c r="DM46"/>
  <c r="DM47" s="1"/>
  <c r="M180"/>
  <c r="L181"/>
  <c r="DL49"/>
  <c r="DL50" s="1"/>
  <c r="BB101" i="35" l="1"/>
  <c r="BC95" s="1"/>
  <c r="BC97" s="1"/>
  <c r="BC98" s="1"/>
  <c r="BC102" s="1"/>
  <c r="BC138"/>
  <c r="BC131"/>
  <c r="J26" s="1"/>
  <c r="BB108"/>
  <c r="CE59"/>
  <c r="CE89"/>
  <c r="CG119"/>
  <c r="BZ89"/>
  <c r="BZ59"/>
  <c r="CB119"/>
  <c r="BE78"/>
  <c r="BE71"/>
  <c r="BF65" s="1"/>
  <c r="BF67" s="1"/>
  <c r="BD125"/>
  <c r="AY159" i="26"/>
  <c r="AY163" s="1"/>
  <c r="U103"/>
  <c r="EU122"/>
  <c r="EU130" s="1"/>
  <c r="EU135" s="1"/>
  <c r="EU113"/>
  <c r="AM192"/>
  <c r="AN186" s="1"/>
  <c r="AN188" s="1"/>
  <c r="AN189" s="1"/>
  <c r="AN193" s="1"/>
  <c r="U109"/>
  <c r="H205" i="12"/>
  <c r="BY179" i="26"/>
  <c r="BY196" s="1"/>
  <c r="AW191"/>
  <c r="AW195" s="1"/>
  <c r="AX197"/>
  <c r="J179" i="12"/>
  <c r="AX200" i="26" s="1"/>
  <c r="I180" i="12"/>
  <c r="AM199" i="26"/>
  <c r="AV195"/>
  <c r="U105"/>
  <c r="U102"/>
  <c r="K129"/>
  <c r="BY150"/>
  <c r="BY120"/>
  <c r="BT150"/>
  <c r="BT120"/>
  <c r="EV112"/>
  <c r="EU127"/>
  <c r="EU138"/>
  <c r="EU136"/>
  <c r="EU137" s="1"/>
  <c r="C205" i="12"/>
  <c r="R205"/>
  <c r="D201"/>
  <c r="D202" s="1"/>
  <c r="D203" s="1"/>
  <c r="B208"/>
  <c r="B209" s="1"/>
  <c r="N205"/>
  <c r="N204"/>
  <c r="N206"/>
  <c r="CX53"/>
  <c r="CY52"/>
  <c r="M181"/>
  <c r="L182"/>
  <c r="DM49"/>
  <c r="DM50" s="1"/>
  <c r="DN46"/>
  <c r="DN47" s="1"/>
  <c r="F182"/>
  <c r="G182" s="1"/>
  <c r="BC101" i="35" l="1"/>
  <c r="BD95" s="1"/>
  <c r="BD127"/>
  <c r="BD128" s="1"/>
  <c r="BD131" s="1"/>
  <c r="BE125" s="1"/>
  <c r="BD97"/>
  <c r="BD98" s="1"/>
  <c r="BD102" s="1"/>
  <c r="AY169" i="26"/>
  <c r="CD59" i="35"/>
  <c r="CD89"/>
  <c r="CF119"/>
  <c r="K20"/>
  <c r="J27"/>
  <c r="N212" i="33" s="1"/>
  <c r="BF68" i="35"/>
  <c r="BF72" s="1"/>
  <c r="BC108"/>
  <c r="AY162" i="26"/>
  <c r="AZ156" s="1"/>
  <c r="EV122"/>
  <c r="EV130" s="1"/>
  <c r="EV113"/>
  <c r="K130"/>
  <c r="H204" i="12"/>
  <c r="BW179" i="26" s="1"/>
  <c r="BW196" s="1"/>
  <c r="BX179"/>
  <c r="BX196" s="1"/>
  <c r="AN199"/>
  <c r="AN192"/>
  <c r="AO186" s="1"/>
  <c r="AO188" s="1"/>
  <c r="AO189" s="1"/>
  <c r="J180" i="12"/>
  <c r="AY200" i="26" s="1"/>
  <c r="I181" i="12"/>
  <c r="AX191" i="26"/>
  <c r="AY197"/>
  <c r="Z105"/>
  <c r="V96"/>
  <c r="BX150"/>
  <c r="BX120"/>
  <c r="EW112"/>
  <c r="EV127"/>
  <c r="EV138"/>
  <c r="EV135"/>
  <c r="EV136"/>
  <c r="EV137" s="1"/>
  <c r="R204" i="12"/>
  <c r="C204"/>
  <c r="P204"/>
  <c r="P205" s="1"/>
  <c r="O204"/>
  <c r="O205" s="1"/>
  <c r="R209"/>
  <c r="Q209"/>
  <c r="Q208" s="1"/>
  <c r="Q207" s="1"/>
  <c r="C209"/>
  <c r="E209"/>
  <c r="E208" s="1"/>
  <c r="E207" s="1"/>
  <c r="B210"/>
  <c r="O209"/>
  <c r="H209"/>
  <c r="K209"/>
  <c r="K208" s="1"/>
  <c r="K207" s="1"/>
  <c r="P209"/>
  <c r="CZ52"/>
  <c r="CY53"/>
  <c r="M182"/>
  <c r="L183"/>
  <c r="F183"/>
  <c r="G183" s="1"/>
  <c r="DO46"/>
  <c r="DO47" s="1"/>
  <c r="DN49"/>
  <c r="DN50" s="1"/>
  <c r="BF71" i="35" l="1"/>
  <c r="BG65" s="1"/>
  <c r="BF78"/>
  <c r="BD108"/>
  <c r="BD138"/>
  <c r="CH59"/>
  <c r="CH89"/>
  <c r="CJ119"/>
  <c r="BD132"/>
  <c r="BE127" s="1"/>
  <c r="BG67"/>
  <c r="BG68" s="1"/>
  <c r="BG72" s="1"/>
  <c r="BD101"/>
  <c r="BE95" s="1"/>
  <c r="BE97" s="1"/>
  <c r="BE98" s="1"/>
  <c r="BE102" s="1"/>
  <c r="AZ158" i="26"/>
  <c r="CC59" i="35"/>
  <c r="CC89"/>
  <c r="CE119"/>
  <c r="J28"/>
  <c r="BE128"/>
  <c r="BE132" s="1"/>
  <c r="K133" i="26"/>
  <c r="EW113"/>
  <c r="EW122"/>
  <c r="EW130" s="1"/>
  <c r="EW135" s="1"/>
  <c r="AO190"/>
  <c r="AO193" s="1"/>
  <c r="H208" i="12"/>
  <c r="CB179" i="26"/>
  <c r="CB196" s="1"/>
  <c r="AX195"/>
  <c r="AY191"/>
  <c r="AY195" s="1"/>
  <c r="AZ197"/>
  <c r="J181" i="12"/>
  <c r="AZ200" i="26" s="1"/>
  <c r="I182" i="12"/>
  <c r="AO192" i="26"/>
  <c r="AP186" s="1"/>
  <c r="V98"/>
  <c r="K135"/>
  <c r="K139"/>
  <c r="K132"/>
  <c r="CB150"/>
  <c r="CB120"/>
  <c r="BW150"/>
  <c r="BW120"/>
  <c r="EX112"/>
  <c r="EW127"/>
  <c r="EW138"/>
  <c r="EW136"/>
  <c r="EW137" s="1"/>
  <c r="C208" i="12"/>
  <c r="R208"/>
  <c r="D204"/>
  <c r="D205" s="1"/>
  <c r="D206" s="1"/>
  <c r="AB135" i="26"/>
  <c r="B211" i="12"/>
  <c r="B212" s="1"/>
  <c r="N208"/>
  <c r="N207"/>
  <c r="N209"/>
  <c r="DA52"/>
  <c r="CZ53"/>
  <c r="M183"/>
  <c r="L184"/>
  <c r="DO49"/>
  <c r="DO50" s="1"/>
  <c r="DP46"/>
  <c r="DP47" s="1"/>
  <c r="F184"/>
  <c r="G184" s="1"/>
  <c r="BE138" i="35" l="1"/>
  <c r="BE131"/>
  <c r="BF125" s="1"/>
  <c r="BF127" s="1"/>
  <c r="G26" i="26"/>
  <c r="H20" s="1"/>
  <c r="N218" i="33"/>
  <c r="N237" s="1"/>
  <c r="CG59" i="35"/>
  <c r="CG89"/>
  <c r="CI119"/>
  <c r="BG71"/>
  <c r="BH65" s="1"/>
  <c r="BE101"/>
  <c r="BF95" s="1"/>
  <c r="BE108"/>
  <c r="BG78"/>
  <c r="AZ159" i="26"/>
  <c r="AZ163" s="1"/>
  <c r="AO195"/>
  <c r="EX122"/>
  <c r="EX130" s="1"/>
  <c r="EX135" s="1"/>
  <c r="EX113"/>
  <c r="I183" i="12"/>
  <c r="J182"/>
  <c r="AZ191" i="26"/>
  <c r="AZ195" s="1"/>
  <c r="BA197"/>
  <c r="H207" i="12"/>
  <c r="BZ179" i="26" s="1"/>
  <c r="BZ196" s="1"/>
  <c r="CA179"/>
  <c r="CA196" s="1"/>
  <c r="AO199"/>
  <c r="AP188"/>
  <c r="AP189" s="1"/>
  <c r="AP193" s="1"/>
  <c r="V99"/>
  <c r="L126"/>
  <c r="L128" s="1"/>
  <c r="CA150"/>
  <c r="CA120"/>
  <c r="EY112"/>
  <c r="EX127"/>
  <c r="EX138"/>
  <c r="EX136"/>
  <c r="EX137" s="1"/>
  <c r="R207" i="12"/>
  <c r="C207"/>
  <c r="P207"/>
  <c r="P208" s="1"/>
  <c r="O207"/>
  <c r="O208" s="1"/>
  <c r="H212"/>
  <c r="O212"/>
  <c r="R212"/>
  <c r="Q212"/>
  <c r="Q211" s="1"/>
  <c r="Q210" s="1"/>
  <c r="P212"/>
  <c r="B213"/>
  <c r="K212"/>
  <c r="K211" s="1"/>
  <c r="K210" s="1"/>
  <c r="C212"/>
  <c r="E212"/>
  <c r="E211" s="1"/>
  <c r="E210" s="1"/>
  <c r="DA53"/>
  <c r="DB52"/>
  <c r="DP49"/>
  <c r="DP50" s="1"/>
  <c r="M184"/>
  <c r="L185"/>
  <c r="F185"/>
  <c r="DQ46"/>
  <c r="DQ47" s="1"/>
  <c r="N217" i="33" l="1"/>
  <c r="BF97" i="35"/>
  <c r="BF98" s="1"/>
  <c r="BF102" s="1"/>
  <c r="BH67"/>
  <c r="BH68" s="1"/>
  <c r="BH72" s="1"/>
  <c r="CK59"/>
  <c r="CK89"/>
  <c r="CM119"/>
  <c r="CF59"/>
  <c r="CF89"/>
  <c r="CH119"/>
  <c r="BF128"/>
  <c r="BF138" s="1"/>
  <c r="AZ169" i="26"/>
  <c r="AZ162"/>
  <c r="BA156" s="1"/>
  <c r="BA158" s="1"/>
  <c r="BA159" s="1"/>
  <c r="EY122"/>
  <c r="EY130" s="1"/>
  <c r="EY135" s="1"/>
  <c r="EY113"/>
  <c r="AP192"/>
  <c r="AQ186" s="1"/>
  <c r="AQ188" s="1"/>
  <c r="V109"/>
  <c r="V103"/>
  <c r="J183" i="12"/>
  <c r="BB200" i="26" s="1"/>
  <c r="I184" i="12"/>
  <c r="AP199" i="26"/>
  <c r="H211" i="12"/>
  <c r="CE179" i="26"/>
  <c r="CE196" s="1"/>
  <c r="BA191"/>
  <c r="BB197"/>
  <c r="I62" i="30"/>
  <c r="J62" s="1"/>
  <c r="BA200" i="26"/>
  <c r="V102"/>
  <c r="L60"/>
  <c r="L69" s="1"/>
  <c r="CE150"/>
  <c r="CE120"/>
  <c r="BZ150"/>
  <c r="BZ120"/>
  <c r="EZ112"/>
  <c r="EY127"/>
  <c r="EY138"/>
  <c r="EY136"/>
  <c r="EY137" s="1"/>
  <c r="C211" i="12"/>
  <c r="R211"/>
  <c r="D207"/>
  <c r="D208" s="1"/>
  <c r="D209" s="1"/>
  <c r="B214"/>
  <c r="N211"/>
  <c r="N210"/>
  <c r="N212"/>
  <c r="DB53"/>
  <c r="DC52"/>
  <c r="F186"/>
  <c r="G186" s="1"/>
  <c r="DR46"/>
  <c r="DR47" s="1"/>
  <c r="M185"/>
  <c r="L186"/>
  <c r="DQ49"/>
  <c r="G185"/>
  <c r="BH71" i="35" l="1"/>
  <c r="BI65" s="1"/>
  <c r="BI67" s="1"/>
  <c r="BI68" s="1"/>
  <c r="BH78"/>
  <c r="BF108"/>
  <c r="BA160" i="26"/>
  <c r="BA165" s="1"/>
  <c r="CJ89" i="35"/>
  <c r="CJ59"/>
  <c r="CL119"/>
  <c r="BF132"/>
  <c r="BF131"/>
  <c r="BG125" s="1"/>
  <c r="BF101"/>
  <c r="BG95" s="1"/>
  <c r="BG97" s="1"/>
  <c r="BG98" s="1"/>
  <c r="BG102" s="1"/>
  <c r="EZ122" i="26"/>
  <c r="EZ130" s="1"/>
  <c r="EZ113"/>
  <c r="L70"/>
  <c r="L73" s="1"/>
  <c r="BB191"/>
  <c r="BB195" s="1"/>
  <c r="BC197"/>
  <c r="H210" i="12"/>
  <c r="CC179" i="26" s="1"/>
  <c r="CC196" s="1"/>
  <c r="CD179"/>
  <c r="CD196" s="1"/>
  <c r="AQ189"/>
  <c r="AQ193" s="1"/>
  <c r="J184" i="12"/>
  <c r="BC200" i="26" s="1"/>
  <c r="I185" i="12"/>
  <c r="AB105" i="26"/>
  <c r="W96"/>
  <c r="CD150"/>
  <c r="CD120"/>
  <c r="FA112"/>
  <c r="EZ127"/>
  <c r="EZ138"/>
  <c r="EZ136"/>
  <c r="EZ137" s="1"/>
  <c r="R210" i="12"/>
  <c r="C210"/>
  <c r="P210"/>
  <c r="P211" s="1"/>
  <c r="O210"/>
  <c r="O211" s="1"/>
  <c r="B215"/>
  <c r="DC53"/>
  <c r="DD52"/>
  <c r="DR49"/>
  <c r="DR50" s="1"/>
  <c r="M186"/>
  <c r="L187"/>
  <c r="DS46"/>
  <c r="F187"/>
  <c r="G187" s="1"/>
  <c r="DQ50"/>
  <c r="BA162" i="26" l="1"/>
  <c r="BB156" s="1"/>
  <c r="BA169"/>
  <c r="BA163"/>
  <c r="BB158" s="1"/>
  <c r="BB159" s="1"/>
  <c r="BB163" s="1"/>
  <c r="BI72" i="35"/>
  <c r="BI78"/>
  <c r="CI89"/>
  <c r="CI59"/>
  <c r="CK119"/>
  <c r="BI71"/>
  <c r="BJ65" s="1"/>
  <c r="BG127"/>
  <c r="BG101"/>
  <c r="BH95" s="1"/>
  <c r="BG108"/>
  <c r="FA113" i="26"/>
  <c r="FA122"/>
  <c r="FA130" s="1"/>
  <c r="FA135" s="1"/>
  <c r="L72"/>
  <c r="M66" s="1"/>
  <c r="M68" s="1"/>
  <c r="AQ192"/>
  <c r="AR186" s="1"/>
  <c r="AR188" s="1"/>
  <c r="L79"/>
  <c r="L75"/>
  <c r="I186" i="12"/>
  <c r="J185"/>
  <c r="BD200" i="26" s="1"/>
  <c r="BC191"/>
  <c r="BC195" s="1"/>
  <c r="BD197"/>
  <c r="AQ199"/>
  <c r="EZ135"/>
  <c r="W98"/>
  <c r="CC150"/>
  <c r="CC120"/>
  <c r="FB112"/>
  <c r="FA127"/>
  <c r="FA138"/>
  <c r="FA136"/>
  <c r="FA137" s="1"/>
  <c r="D210" i="12"/>
  <c r="D211" s="1"/>
  <c r="D212" s="1"/>
  <c r="H215"/>
  <c r="R215"/>
  <c r="K215"/>
  <c r="K214" s="1"/>
  <c r="K213" s="1"/>
  <c r="O215"/>
  <c r="P215"/>
  <c r="B216"/>
  <c r="E215"/>
  <c r="E214" s="1"/>
  <c r="E213" s="1"/>
  <c r="Q215"/>
  <c r="Q214" s="1"/>
  <c r="Q213" s="1"/>
  <c r="C215"/>
  <c r="DD53"/>
  <c r="DE52"/>
  <c r="F188"/>
  <c r="DT46"/>
  <c r="M187"/>
  <c r="L188"/>
  <c r="DS49"/>
  <c r="DS50" s="1"/>
  <c r="DS47"/>
  <c r="BB169" i="26" l="1"/>
  <c r="BJ67" i="35"/>
  <c r="BJ68" s="1"/>
  <c r="BJ72" s="1"/>
  <c r="BB162" i="26"/>
  <c r="BC156" s="1"/>
  <c r="BH97" i="35"/>
  <c r="BH98" s="1"/>
  <c r="BH102" s="1"/>
  <c r="CN59"/>
  <c r="CN89"/>
  <c r="CP119"/>
  <c r="BG128"/>
  <c r="BG138" s="1"/>
  <c r="FB122" i="26"/>
  <c r="FB130" s="1"/>
  <c r="FB135" s="1"/>
  <c r="FB113"/>
  <c r="AR189"/>
  <c r="AR193" s="1"/>
  <c r="J186" i="12"/>
  <c r="BE200" i="26" s="1"/>
  <c r="I187" i="12"/>
  <c r="H214"/>
  <c r="CH179" i="26"/>
  <c r="CH196" s="1"/>
  <c r="BD191"/>
  <c r="BD195" s="1"/>
  <c r="BE197"/>
  <c r="W99"/>
  <c r="CH150"/>
  <c r="CH120"/>
  <c r="FC112"/>
  <c r="FB127"/>
  <c r="FB138"/>
  <c r="FB136"/>
  <c r="FB137" s="1"/>
  <c r="C214" i="12"/>
  <c r="R214"/>
  <c r="B217"/>
  <c r="B218" s="1"/>
  <c r="N213"/>
  <c r="N215"/>
  <c r="N214"/>
  <c r="DE53"/>
  <c r="DF52"/>
  <c r="DU46"/>
  <c r="DU47" s="1"/>
  <c r="F189"/>
  <c r="G189" s="1"/>
  <c r="DT49"/>
  <c r="M188"/>
  <c r="L189"/>
  <c r="DT47"/>
  <c r="G188"/>
  <c r="BJ71" i="35" l="1"/>
  <c r="BK65" s="1"/>
  <c r="AR199" i="26"/>
  <c r="BK67" i="35"/>
  <c r="BK68" s="1"/>
  <c r="BK72" s="1"/>
  <c r="BH108"/>
  <c r="CM59"/>
  <c r="CM89"/>
  <c r="CO119"/>
  <c r="BG132"/>
  <c r="BG131"/>
  <c r="BH125" s="1"/>
  <c r="BC158" i="26"/>
  <c r="BC159" s="1"/>
  <c r="BC163" s="1"/>
  <c r="BJ78" i="35"/>
  <c r="BH101"/>
  <c r="BI95" s="1"/>
  <c r="AR192" i="26"/>
  <c r="AS186" s="1"/>
  <c r="W103"/>
  <c r="FC122"/>
  <c r="FC130" s="1"/>
  <c r="FC113"/>
  <c r="AS188"/>
  <c r="AS189" s="1"/>
  <c r="AS193" s="1"/>
  <c r="H213" i="12"/>
  <c r="CF179" i="26" s="1"/>
  <c r="CF196" s="1"/>
  <c r="CG179"/>
  <c r="CG196" s="1"/>
  <c r="BE191"/>
  <c r="BE195" s="1"/>
  <c r="BF197"/>
  <c r="J187" i="12"/>
  <c r="BF200" i="26" s="1"/>
  <c r="I188" i="12"/>
  <c r="W109" i="26"/>
  <c r="W102"/>
  <c r="CG150"/>
  <c r="CG120"/>
  <c r="FD112"/>
  <c r="FC127"/>
  <c r="FC138"/>
  <c r="FC136"/>
  <c r="FC137" s="1"/>
  <c r="R213" i="12"/>
  <c r="C213"/>
  <c r="O218"/>
  <c r="P218"/>
  <c r="H218"/>
  <c r="E218"/>
  <c r="E217" s="1"/>
  <c r="E216" s="1"/>
  <c r="B219"/>
  <c r="R218"/>
  <c r="C218"/>
  <c r="K218"/>
  <c r="K217" s="1"/>
  <c r="K216" s="1"/>
  <c r="Q218"/>
  <c r="Q217" s="1"/>
  <c r="Q216" s="1"/>
  <c r="O213"/>
  <c r="O214" s="1"/>
  <c r="P213"/>
  <c r="P214" s="1"/>
  <c r="DG52"/>
  <c r="DF53"/>
  <c r="M189"/>
  <c r="L190"/>
  <c r="DU49"/>
  <c r="DU50" s="1"/>
  <c r="F190"/>
  <c r="G190" s="1"/>
  <c r="DV46"/>
  <c r="DV47" s="1"/>
  <c r="DT50"/>
  <c r="BK78" i="35" l="1"/>
  <c r="CQ59"/>
  <c r="CQ89"/>
  <c r="CS119"/>
  <c r="BI97"/>
  <c r="BI98" s="1"/>
  <c r="BI102" s="1"/>
  <c r="BC162" i="26"/>
  <c r="BD156" s="1"/>
  <c r="CL59" i="35"/>
  <c r="CL89"/>
  <c r="CN119"/>
  <c r="AS199" i="26"/>
  <c r="BH127" i="35"/>
  <c r="BH128" s="1"/>
  <c r="BK71"/>
  <c r="BL65" s="1"/>
  <c r="BL67" s="1"/>
  <c r="BL68" s="1"/>
  <c r="BL72" s="1"/>
  <c r="BC169" i="26"/>
  <c r="AS192"/>
  <c r="AT186" s="1"/>
  <c r="AT188" s="1"/>
  <c r="FD122"/>
  <c r="FD130" s="1"/>
  <c r="FD135" s="1"/>
  <c r="FD113"/>
  <c r="J188" i="12"/>
  <c r="BG200" i="26" s="1"/>
  <c r="I189" i="12"/>
  <c r="BF191" i="26"/>
  <c r="BF195" s="1"/>
  <c r="BG197"/>
  <c r="H217" i="12"/>
  <c r="CK179" i="26"/>
  <c r="CK196" s="1"/>
  <c r="FC135"/>
  <c r="X96"/>
  <c r="L129"/>
  <c r="CK150"/>
  <c r="CK120"/>
  <c r="CF150"/>
  <c r="CF120"/>
  <c r="FE112"/>
  <c r="FD127"/>
  <c r="FD138"/>
  <c r="FD136"/>
  <c r="FD137" s="1"/>
  <c r="C217" i="12"/>
  <c r="R217"/>
  <c r="D213"/>
  <c r="D214" s="1"/>
  <c r="D215" s="1"/>
  <c r="B220"/>
  <c r="B221" s="1"/>
  <c r="N218"/>
  <c r="N217"/>
  <c r="N216"/>
  <c r="DG53"/>
  <c r="DH52"/>
  <c r="DW46"/>
  <c r="F191"/>
  <c r="G191" s="1"/>
  <c r="DV49"/>
  <c r="DV50" s="1"/>
  <c r="M190"/>
  <c r="L191"/>
  <c r="BI101" i="35" l="1"/>
  <c r="BJ95" s="1"/>
  <c r="BJ97" s="1"/>
  <c r="BJ98" s="1"/>
  <c r="BJ102" s="1"/>
  <c r="BH132"/>
  <c r="BH131"/>
  <c r="BI125" s="1"/>
  <c r="CP59"/>
  <c r="CP89"/>
  <c r="CR119"/>
  <c r="BL71"/>
  <c r="BM65" s="1"/>
  <c r="BL78"/>
  <c r="BH138"/>
  <c r="BD158" i="26"/>
  <c r="BD159" s="1"/>
  <c r="BD163" s="1"/>
  <c r="BI108" i="35"/>
  <c r="L133" i="26"/>
  <c r="FE122"/>
  <c r="FE130" s="1"/>
  <c r="FE113"/>
  <c r="BG191"/>
  <c r="BG195" s="1"/>
  <c r="BH197"/>
  <c r="AT189"/>
  <c r="AT193" s="1"/>
  <c r="H216" i="12"/>
  <c r="CI179" i="26" s="1"/>
  <c r="CI196" s="1"/>
  <c r="CJ179"/>
  <c r="CJ196" s="1"/>
  <c r="J189" i="12"/>
  <c r="BH200" i="26" s="1"/>
  <c r="I190" i="12"/>
  <c r="L135" i="26"/>
  <c r="X98"/>
  <c r="CJ150"/>
  <c r="CJ120"/>
  <c r="FF112"/>
  <c r="FE127"/>
  <c r="FE138"/>
  <c r="FE136"/>
  <c r="FE137" s="1"/>
  <c r="L132"/>
  <c r="M126" s="1"/>
  <c r="L139"/>
  <c r="R216" i="12"/>
  <c r="C216"/>
  <c r="C221"/>
  <c r="R221"/>
  <c r="H221"/>
  <c r="E221"/>
  <c r="E220" s="1"/>
  <c r="E219" s="1"/>
  <c r="B222"/>
  <c r="Q221"/>
  <c r="Q220" s="1"/>
  <c r="Q219" s="1"/>
  <c r="P221"/>
  <c r="K221"/>
  <c r="K220" s="1"/>
  <c r="K219" s="1"/>
  <c r="O221"/>
  <c r="P216"/>
  <c r="P217" s="1"/>
  <c r="O216"/>
  <c r="O217" s="1"/>
  <c r="DH53"/>
  <c r="DI52"/>
  <c r="DW49"/>
  <c r="DW50" s="1"/>
  <c r="DX46"/>
  <c r="DX47" s="1"/>
  <c r="M191"/>
  <c r="L192"/>
  <c r="F192"/>
  <c r="G192" s="1"/>
  <c r="DW47"/>
  <c r="BD169" i="26" l="1"/>
  <c r="CO59" i="35"/>
  <c r="CO89"/>
  <c r="CQ119"/>
  <c r="BI127"/>
  <c r="BI128" s="1"/>
  <c r="BI132" s="1"/>
  <c r="BD162" i="26"/>
  <c r="BE156" s="1"/>
  <c r="BE158" s="1"/>
  <c r="BE159" s="1"/>
  <c r="BE163" s="1"/>
  <c r="BJ101" i="35"/>
  <c r="BK95" s="1"/>
  <c r="CT59"/>
  <c r="CT89"/>
  <c r="CV119"/>
  <c r="BM67"/>
  <c r="BM68" s="1"/>
  <c r="BM72" s="1"/>
  <c r="BJ108"/>
  <c r="M128" i="26"/>
  <c r="FF122"/>
  <c r="FF130" s="1"/>
  <c r="FF135" s="1"/>
  <c r="FF113"/>
  <c r="BH191"/>
  <c r="BI197"/>
  <c r="AT192"/>
  <c r="AU186" s="1"/>
  <c r="AU188" s="1"/>
  <c r="AT199"/>
  <c r="H220" i="12"/>
  <c r="CN179" i="26"/>
  <c r="CN196" s="1"/>
  <c r="J190" i="12"/>
  <c r="BI200" i="26" s="1"/>
  <c r="I191" i="12"/>
  <c r="FE135" i="26"/>
  <c r="X99"/>
  <c r="CN150"/>
  <c r="CN120"/>
  <c r="CI150"/>
  <c r="CI120"/>
  <c r="FG112"/>
  <c r="FF127"/>
  <c r="FF138"/>
  <c r="FF136"/>
  <c r="FF137" s="1"/>
  <c r="R220" i="12"/>
  <c r="C220"/>
  <c r="D216"/>
  <c r="D217" s="1"/>
  <c r="D218" s="1"/>
  <c r="N221"/>
  <c r="N220"/>
  <c r="N219"/>
  <c r="B223"/>
  <c r="B224" s="1"/>
  <c r="DI53"/>
  <c r="DJ52"/>
  <c r="F193"/>
  <c r="G193" s="1"/>
  <c r="M192"/>
  <c r="L193"/>
  <c r="DY46"/>
  <c r="DY47" s="1"/>
  <c r="DX49"/>
  <c r="DX50" s="1"/>
  <c r="BI138" i="35" l="1"/>
  <c r="BM78"/>
  <c r="BI131"/>
  <c r="BJ125" s="1"/>
  <c r="BK97"/>
  <c r="BK98" s="1"/>
  <c r="CS89"/>
  <c r="CS59"/>
  <c r="CU119"/>
  <c r="BE162" i="26"/>
  <c r="BF156" s="1"/>
  <c r="BE169"/>
  <c r="BM71" i="35"/>
  <c r="BN65" s="1"/>
  <c r="BN67" s="1"/>
  <c r="BN68" s="1"/>
  <c r="BN72" s="1"/>
  <c r="BJ127"/>
  <c r="BJ128" s="1"/>
  <c r="BJ132" s="1"/>
  <c r="X103" i="26"/>
  <c r="FG122"/>
  <c r="FG130" s="1"/>
  <c r="FG135" s="1"/>
  <c r="FG113"/>
  <c r="J191" i="12"/>
  <c r="BJ200" i="26" s="1"/>
  <c r="I192" i="12"/>
  <c r="BH195" i="26"/>
  <c r="H219" i="12"/>
  <c r="CL179" i="26" s="1"/>
  <c r="CL196" s="1"/>
  <c r="CM179"/>
  <c r="CM196" s="1"/>
  <c r="AU189"/>
  <c r="AU193" s="1"/>
  <c r="BI191"/>
  <c r="BI195" s="1"/>
  <c r="BJ197"/>
  <c r="X102"/>
  <c r="X109"/>
  <c r="CM150"/>
  <c r="CM120"/>
  <c r="FH112"/>
  <c r="FG127"/>
  <c r="FG138"/>
  <c r="FG136"/>
  <c r="FG137" s="1"/>
  <c r="C219" i="12"/>
  <c r="R219"/>
  <c r="P219"/>
  <c r="P220" s="1"/>
  <c r="O219"/>
  <c r="O220" s="1"/>
  <c r="B225"/>
  <c r="P224"/>
  <c r="K224"/>
  <c r="K223" s="1"/>
  <c r="K222" s="1"/>
  <c r="Q224"/>
  <c r="Q223" s="1"/>
  <c r="Q222" s="1"/>
  <c r="O224"/>
  <c r="E224"/>
  <c r="E223" s="1"/>
  <c r="E222" s="1"/>
  <c r="R224"/>
  <c r="C224"/>
  <c r="H224"/>
  <c r="DK52"/>
  <c r="DJ53"/>
  <c r="M193"/>
  <c r="L194"/>
  <c r="F194"/>
  <c r="G194" s="1"/>
  <c r="DY49"/>
  <c r="DY50" s="1"/>
  <c r="DZ46"/>
  <c r="DZ47" s="1"/>
  <c r="BK102" i="35" l="1"/>
  <c r="BK101"/>
  <c r="BL95" s="1"/>
  <c r="BK108"/>
  <c r="BJ138"/>
  <c r="CW59"/>
  <c r="CW89"/>
  <c r="CY119"/>
  <c r="CR59"/>
  <c r="CR89"/>
  <c r="CT119"/>
  <c r="BN78"/>
  <c r="BN71"/>
  <c r="BO65" s="1"/>
  <c r="BF158" i="26"/>
  <c r="BF159" s="1"/>
  <c r="BF163" s="1"/>
  <c r="BJ131" i="35"/>
  <c r="BK125" s="1"/>
  <c r="FH122" i="26"/>
  <c r="FH130" s="1"/>
  <c r="FH135" s="1"/>
  <c r="FH113"/>
  <c r="AU199"/>
  <c r="BJ191"/>
  <c r="BK197"/>
  <c r="H223" i="12"/>
  <c r="CQ179" i="26"/>
  <c r="CQ196" s="1"/>
  <c r="AU192"/>
  <c r="AV186" s="1"/>
  <c r="AV188" s="1"/>
  <c r="J192" i="12"/>
  <c r="BK200" i="26" s="1"/>
  <c r="I193" i="12"/>
  <c r="Y96" i="26"/>
  <c r="Y98" s="1"/>
  <c r="CL150"/>
  <c r="CL120"/>
  <c r="M60"/>
  <c r="M69" s="1"/>
  <c r="CQ150"/>
  <c r="CQ120"/>
  <c r="FI112"/>
  <c r="FH127"/>
  <c r="FH138"/>
  <c r="FH136"/>
  <c r="FH137" s="1"/>
  <c r="C223" i="12"/>
  <c r="R223"/>
  <c r="D219"/>
  <c r="D220" s="1"/>
  <c r="D221" s="1"/>
  <c r="N224"/>
  <c r="N223"/>
  <c r="N222"/>
  <c r="B226"/>
  <c r="B227" s="1"/>
  <c r="DL52"/>
  <c r="DK53"/>
  <c r="DZ49"/>
  <c r="DZ50" s="1"/>
  <c r="F195"/>
  <c r="G195" s="1"/>
  <c r="EA46"/>
  <c r="EA47" s="1"/>
  <c r="M194"/>
  <c r="L195"/>
  <c r="BF162" i="26" l="1"/>
  <c r="BG156" s="1"/>
  <c r="BK127" i="35"/>
  <c r="BK128" s="1"/>
  <c r="CV59"/>
  <c r="CV89"/>
  <c r="CX119"/>
  <c r="BL97"/>
  <c r="BL98" s="1"/>
  <c r="BL102" s="1"/>
  <c r="BG158" i="26"/>
  <c r="BG159" s="1"/>
  <c r="BG163" s="1"/>
  <c r="BF169"/>
  <c r="BO67" i="35"/>
  <c r="BO68" s="1"/>
  <c r="BO72" s="1"/>
  <c r="FI122" i="26"/>
  <c r="FI130" s="1"/>
  <c r="FI135" s="1"/>
  <c r="FI113"/>
  <c r="M70"/>
  <c r="M73" s="1"/>
  <c r="J193" i="12"/>
  <c r="BL200" i="26" s="1"/>
  <c r="I194" i="12"/>
  <c r="H222"/>
  <c r="CO179" i="26" s="1"/>
  <c r="CO196" s="1"/>
  <c r="CP179"/>
  <c r="CP196" s="1"/>
  <c r="BJ195"/>
  <c r="AV189"/>
  <c r="AV193" s="1"/>
  <c r="BK191"/>
  <c r="BK195" s="1"/>
  <c r="BL197"/>
  <c r="Y99"/>
  <c r="CP150"/>
  <c r="CP120"/>
  <c r="FJ112"/>
  <c r="FI127"/>
  <c r="FI138"/>
  <c r="FI136"/>
  <c r="FI137" s="1"/>
  <c r="R222" i="12"/>
  <c r="C222"/>
  <c r="O222"/>
  <c r="O223" s="1"/>
  <c r="P222"/>
  <c r="P223" s="1"/>
  <c r="B228"/>
  <c r="Q227"/>
  <c r="Q226" s="1"/>
  <c r="Q225" s="1"/>
  <c r="C227"/>
  <c r="R227"/>
  <c r="H227"/>
  <c r="E227"/>
  <c r="E226" s="1"/>
  <c r="E225" s="1"/>
  <c r="O227"/>
  <c r="K227"/>
  <c r="K226" s="1"/>
  <c r="K225" s="1"/>
  <c r="P227"/>
  <c r="DL53"/>
  <c r="DM52"/>
  <c r="EB46"/>
  <c r="M195"/>
  <c r="L196"/>
  <c r="F196"/>
  <c r="EA49"/>
  <c r="BL108" i="35" l="1"/>
  <c r="BK138"/>
  <c r="BK132"/>
  <c r="BK131"/>
  <c r="BL125" s="1"/>
  <c r="CZ59"/>
  <c r="CZ89"/>
  <c r="DB119"/>
  <c r="BO71"/>
  <c r="BP65" s="1"/>
  <c r="BG162" i="26"/>
  <c r="BH156" s="1"/>
  <c r="CU59" i="35"/>
  <c r="CU89"/>
  <c r="CW119"/>
  <c r="BH158" i="26"/>
  <c r="BL101" i="35"/>
  <c r="BM95" s="1"/>
  <c r="BO78"/>
  <c r="BG169" i="26"/>
  <c r="M72"/>
  <c r="M79"/>
  <c r="M75"/>
  <c r="Y103"/>
  <c r="FJ122"/>
  <c r="FJ130" s="1"/>
  <c r="FJ113"/>
  <c r="Y109"/>
  <c r="Y102"/>
  <c r="BL191"/>
  <c r="BM197"/>
  <c r="AV199"/>
  <c r="AV192"/>
  <c r="AW186" s="1"/>
  <c r="AW188" s="1"/>
  <c r="AW189" s="1"/>
  <c r="AW193" s="1"/>
  <c r="H226" i="12"/>
  <c r="CT179" i="26"/>
  <c r="CT196" s="1"/>
  <c r="J194" i="12"/>
  <c r="I195"/>
  <c r="N66" i="26"/>
  <c r="N68" s="1"/>
  <c r="CT150"/>
  <c r="CT120"/>
  <c r="CO150"/>
  <c r="CO120"/>
  <c r="FK112"/>
  <c r="FJ127"/>
  <c r="FJ138"/>
  <c r="FJ135"/>
  <c r="FJ136"/>
  <c r="FJ137" s="1"/>
  <c r="R226" i="12"/>
  <c r="C226"/>
  <c r="D222"/>
  <c r="D223" s="1"/>
  <c r="D224" s="1"/>
  <c r="N225"/>
  <c r="N227"/>
  <c r="N226"/>
  <c r="B229"/>
  <c r="B230" s="1"/>
  <c r="DN52"/>
  <c r="DM53"/>
  <c r="EB49"/>
  <c r="F197"/>
  <c r="G197" s="1"/>
  <c r="EC46"/>
  <c r="EC47" s="1"/>
  <c r="M196"/>
  <c r="L197"/>
  <c r="EA50"/>
  <c r="G196"/>
  <c r="EB47"/>
  <c r="CY59" i="35" l="1"/>
  <c r="CY89"/>
  <c r="DA119"/>
  <c r="BH159" i="26"/>
  <c r="BH163" s="1"/>
  <c r="BM97" i="35"/>
  <c r="BM98" s="1"/>
  <c r="BP67"/>
  <c r="BP68" s="1"/>
  <c r="BP72" s="1"/>
  <c r="BL127"/>
  <c r="BL128" s="1"/>
  <c r="BL132" s="1"/>
  <c r="BL195" i="26"/>
  <c r="Z96"/>
  <c r="Z98" s="1"/>
  <c r="FK122"/>
  <c r="FK130" s="1"/>
  <c r="FK135" s="1"/>
  <c r="FK113"/>
  <c r="J195" i="12"/>
  <c r="BN200" i="26" s="1"/>
  <c r="I196" i="12"/>
  <c r="I63" i="30"/>
  <c r="J63" s="1"/>
  <c r="BM200" i="26"/>
  <c r="H225" i="12"/>
  <c r="CR179" i="26" s="1"/>
  <c r="CR196" s="1"/>
  <c r="CS179"/>
  <c r="CS196" s="1"/>
  <c r="AW199"/>
  <c r="AW192"/>
  <c r="AX186" s="1"/>
  <c r="AX188" s="1"/>
  <c r="AX189" s="1"/>
  <c r="AX193" s="1"/>
  <c r="BM191"/>
  <c r="BN197"/>
  <c r="CS150"/>
  <c r="CS120"/>
  <c r="FL112"/>
  <c r="FK127"/>
  <c r="FK138"/>
  <c r="FK136"/>
  <c r="FK137" s="1"/>
  <c r="C225" i="12"/>
  <c r="R225"/>
  <c r="O225"/>
  <c r="O226" s="1"/>
  <c r="P225"/>
  <c r="P226" s="1"/>
  <c r="B231"/>
  <c r="O230"/>
  <c r="C230"/>
  <c r="R230"/>
  <c r="Q230"/>
  <c r="Q229" s="1"/>
  <c r="Q228" s="1"/>
  <c r="P230"/>
  <c r="H230"/>
  <c r="E230"/>
  <c r="E229" s="1"/>
  <c r="E228" s="1"/>
  <c r="K230"/>
  <c r="K229" s="1"/>
  <c r="K228" s="1"/>
  <c r="DO52"/>
  <c r="DN53"/>
  <c r="ED46"/>
  <c r="ED47" s="1"/>
  <c r="F198"/>
  <c r="G198" s="1"/>
  <c r="EC49"/>
  <c r="EC50" s="1"/>
  <c r="M197"/>
  <c r="L198"/>
  <c r="EB50"/>
  <c r="BL138" i="35" l="1"/>
  <c r="BL131"/>
  <c r="BM125" s="1"/>
  <c r="BM127" s="1"/>
  <c r="BM128" s="1"/>
  <c r="BM132" s="1"/>
  <c r="BH162" i="26"/>
  <c r="BI156" s="1"/>
  <c r="BI158" s="1"/>
  <c r="BI159" s="1"/>
  <c r="BI163" s="1"/>
  <c r="BH169"/>
  <c r="DC59" i="35"/>
  <c r="DC89"/>
  <c r="DE119"/>
  <c r="CX59"/>
  <c r="CX89"/>
  <c r="CZ119"/>
  <c r="BM101"/>
  <c r="BM102"/>
  <c r="BP78"/>
  <c r="BP71"/>
  <c r="BQ65" s="1"/>
  <c r="BM108"/>
  <c r="Z99" i="26"/>
  <c r="Z103" s="1"/>
  <c r="FL122"/>
  <c r="FL130" s="1"/>
  <c r="FL113"/>
  <c r="H229" i="12"/>
  <c r="CW179" i="26"/>
  <c r="CW196" s="1"/>
  <c r="BN191"/>
  <c r="BN195" s="1"/>
  <c r="BO197"/>
  <c r="AX199"/>
  <c r="AX192"/>
  <c r="AY186" s="1"/>
  <c r="I197" i="12"/>
  <c r="J196"/>
  <c r="BO200" i="26" s="1"/>
  <c r="M129"/>
  <c r="CW150"/>
  <c r="CW120"/>
  <c r="CR150"/>
  <c r="CR120"/>
  <c r="FM112"/>
  <c r="FL127"/>
  <c r="FL138"/>
  <c r="FL136"/>
  <c r="FL137" s="1"/>
  <c r="R229" i="12"/>
  <c r="C229"/>
  <c r="D225"/>
  <c r="D226" s="1"/>
  <c r="D227" s="1"/>
  <c r="B232"/>
  <c r="B233" s="1"/>
  <c r="N228"/>
  <c r="N229"/>
  <c r="N230"/>
  <c r="DO53"/>
  <c r="DP52"/>
  <c r="ED49"/>
  <c r="ED50" s="1"/>
  <c r="F199"/>
  <c r="G199" s="1"/>
  <c r="M198"/>
  <c r="L199"/>
  <c r="EE46"/>
  <c r="EE47" s="1"/>
  <c r="BM131" i="35" l="1"/>
  <c r="BN125" s="1"/>
  <c r="Z109" i="26"/>
  <c r="BM138" i="35"/>
  <c r="DB89"/>
  <c r="DB59"/>
  <c r="DD119"/>
  <c r="BN95"/>
  <c r="BN97" s="1"/>
  <c r="BN98" s="1"/>
  <c r="BN102" s="1"/>
  <c r="BI169" i="26"/>
  <c r="BQ67" i="35"/>
  <c r="BQ68" s="1"/>
  <c r="BQ72" s="1"/>
  <c r="BI162" i="26"/>
  <c r="BJ156" s="1"/>
  <c r="BN127" i="35"/>
  <c r="BN128" s="1"/>
  <c r="BN132" s="1"/>
  <c r="Z102" i="26"/>
  <c r="M133"/>
  <c r="FM122"/>
  <c r="FM130" s="1"/>
  <c r="FM113"/>
  <c r="M132"/>
  <c r="N126" s="1"/>
  <c r="J197" i="12"/>
  <c r="BP200" i="26" s="1"/>
  <c r="I198" i="12"/>
  <c r="H228"/>
  <c r="CU179" i="26" s="1"/>
  <c r="CU196" s="1"/>
  <c r="CV179"/>
  <c r="CV196" s="1"/>
  <c r="AY188"/>
  <c r="AY189" s="1"/>
  <c r="AY193" s="1"/>
  <c r="BO191"/>
  <c r="BO195" s="1"/>
  <c r="BP197"/>
  <c r="AA96"/>
  <c r="AA98" s="1"/>
  <c r="FL135"/>
  <c r="M139"/>
  <c r="CV150"/>
  <c r="CV120"/>
  <c r="FN112"/>
  <c r="FM127"/>
  <c r="FM138"/>
  <c r="FM135"/>
  <c r="FM136"/>
  <c r="FM137" s="1"/>
  <c r="C228" i="12"/>
  <c r="R228"/>
  <c r="R233"/>
  <c r="H233"/>
  <c r="K233"/>
  <c r="K232" s="1"/>
  <c r="K231" s="1"/>
  <c r="Q233"/>
  <c r="Q232" s="1"/>
  <c r="Q231" s="1"/>
  <c r="B234"/>
  <c r="O233"/>
  <c r="C233"/>
  <c r="E233"/>
  <c r="E232" s="1"/>
  <c r="E231" s="1"/>
  <c r="P233"/>
  <c r="O228"/>
  <c r="O229" s="1"/>
  <c r="P228"/>
  <c r="P229" s="1"/>
  <c r="DP53"/>
  <c r="DQ52"/>
  <c r="EF46"/>
  <c r="EF47" s="1"/>
  <c r="M199"/>
  <c r="L200"/>
  <c r="F200"/>
  <c r="G200" s="1"/>
  <c r="EE49"/>
  <c r="EE50" s="1"/>
  <c r="BN131" i="35" l="1"/>
  <c r="BO125" s="1"/>
  <c r="BO127" s="1"/>
  <c r="BO128" s="1"/>
  <c r="BQ78"/>
  <c r="N128" i="26"/>
  <c r="DF59" i="35"/>
  <c r="DF89"/>
  <c r="DH119"/>
  <c r="DA89"/>
  <c r="DA59"/>
  <c r="DC119"/>
  <c r="BN108"/>
  <c r="BN101"/>
  <c r="BO95" s="1"/>
  <c r="BN138"/>
  <c r="BJ158" i="26"/>
  <c r="BJ159" s="1"/>
  <c r="BJ163" s="1"/>
  <c r="BQ71" i="35"/>
  <c r="BR65" s="1"/>
  <c r="FN122" i="26"/>
  <c r="FN130" s="1"/>
  <c r="FN113"/>
  <c r="AY199"/>
  <c r="AY192"/>
  <c r="AZ186" s="1"/>
  <c r="H232" i="12"/>
  <c r="CZ179" i="26"/>
  <c r="BP191"/>
  <c r="BP195" s="1"/>
  <c r="BQ197"/>
  <c r="J198" i="12"/>
  <c r="BQ200" i="26" s="1"/>
  <c r="I199" i="12"/>
  <c r="AA99" i="26"/>
  <c r="CZ150"/>
  <c r="CZ120"/>
  <c r="CU150"/>
  <c r="CU120"/>
  <c r="FO112"/>
  <c r="FN127"/>
  <c r="FN138"/>
  <c r="FN135"/>
  <c r="FN136"/>
  <c r="FN137" s="1"/>
  <c r="C232" i="12"/>
  <c r="R232"/>
  <c r="D228"/>
  <c r="D229" s="1"/>
  <c r="D230" s="1"/>
  <c r="B235"/>
  <c r="B236" s="1"/>
  <c r="N233"/>
  <c r="N232"/>
  <c r="N231"/>
  <c r="DR52"/>
  <c r="DQ53"/>
  <c r="M200"/>
  <c r="L201"/>
  <c r="EG46"/>
  <c r="EG47" s="1"/>
  <c r="EF49"/>
  <c r="EF50" s="1"/>
  <c r="F201"/>
  <c r="G201" s="1"/>
  <c r="BO132" i="35" l="1"/>
  <c r="BO138"/>
  <c r="DE59"/>
  <c r="DE89"/>
  <c r="DG119"/>
  <c r="BJ169" i="26"/>
  <c r="BO97" i="35"/>
  <c r="BO98" s="1"/>
  <c r="BO102" s="1"/>
  <c r="BR67"/>
  <c r="BR68" s="1"/>
  <c r="BR72" s="1"/>
  <c r="BO131"/>
  <c r="BJ162" i="26"/>
  <c r="BK156" s="1"/>
  <c r="AA103"/>
  <c r="FO122"/>
  <c r="FO130" s="1"/>
  <c r="FO135" s="1"/>
  <c r="FO113"/>
  <c r="CZ196"/>
  <c r="AZ188"/>
  <c r="I200" i="12"/>
  <c r="J199"/>
  <c r="BR200" i="26" s="1"/>
  <c r="BQ191"/>
  <c r="BQ195" s="1"/>
  <c r="BR197"/>
  <c r="H231" i="12"/>
  <c r="CX179" i="26" s="1"/>
  <c r="CY179"/>
  <c r="CY150"/>
  <c r="CY120"/>
  <c r="FP112"/>
  <c r="FO127"/>
  <c r="FO138"/>
  <c r="FO136"/>
  <c r="FO137" s="1"/>
  <c r="R231" i="12"/>
  <c r="C231"/>
  <c r="O231"/>
  <c r="O232" s="1"/>
  <c r="P231"/>
  <c r="P232" s="1"/>
  <c r="B237"/>
  <c r="H236"/>
  <c r="E236"/>
  <c r="E235" s="1"/>
  <c r="E234" s="1"/>
  <c r="C236"/>
  <c r="K236"/>
  <c r="K235" s="1"/>
  <c r="K234" s="1"/>
  <c r="O236"/>
  <c r="P236"/>
  <c r="R236"/>
  <c r="Q236"/>
  <c r="Q235" s="1"/>
  <c r="Q234" s="1"/>
  <c r="DS52"/>
  <c r="DR53"/>
  <c r="EG49"/>
  <c r="EG50" s="1"/>
  <c r="F202"/>
  <c r="EH46"/>
  <c r="M201"/>
  <c r="L202"/>
  <c r="BR71" i="35" l="1"/>
  <c r="BS65" s="1"/>
  <c r="BS67" s="1"/>
  <c r="BS68" s="1"/>
  <c r="BS72" s="1"/>
  <c r="BO101"/>
  <c r="BP95" s="1"/>
  <c r="BP125"/>
  <c r="K26"/>
  <c r="BP127"/>
  <c r="DI89"/>
  <c r="DI59"/>
  <c r="DK119"/>
  <c r="DD89"/>
  <c r="DD59"/>
  <c r="DF119"/>
  <c r="BO108"/>
  <c r="BR78"/>
  <c r="BK158" i="26"/>
  <c r="BK159" s="1"/>
  <c r="BK163" s="1"/>
  <c r="FP122"/>
  <c r="FP130" s="1"/>
  <c r="FP113"/>
  <c r="H235" i="12"/>
  <c r="DC179" i="26"/>
  <c r="CX196"/>
  <c r="CX198"/>
  <c r="CY198" s="1"/>
  <c r="CZ198" s="1"/>
  <c r="J200" i="12"/>
  <c r="BS200" i="26" s="1"/>
  <c r="I201" i="12"/>
  <c r="AZ189" i="26"/>
  <c r="AZ193" s="1"/>
  <c r="CY196"/>
  <c r="BR191"/>
  <c r="BR195" s="1"/>
  <c r="BS197"/>
  <c r="AA105"/>
  <c r="AA102"/>
  <c r="AA109"/>
  <c r="CX150"/>
  <c r="CX120"/>
  <c r="N60"/>
  <c r="N69" s="1"/>
  <c r="DC150"/>
  <c r="DC120"/>
  <c r="FQ112"/>
  <c r="FP127"/>
  <c r="FP138"/>
  <c r="FP136"/>
  <c r="FP137" s="1"/>
  <c r="R235" i="12"/>
  <c r="C235"/>
  <c r="D231"/>
  <c r="D232" s="1"/>
  <c r="D233" s="1"/>
  <c r="B238"/>
  <c r="B239" s="1"/>
  <c r="N236"/>
  <c r="N235"/>
  <c r="N234"/>
  <c r="DT52"/>
  <c r="DS53"/>
  <c r="EI46"/>
  <c r="EI47" s="1"/>
  <c r="F203"/>
  <c r="G203" s="1"/>
  <c r="M202"/>
  <c r="L203"/>
  <c r="EH49"/>
  <c r="EH50" s="1"/>
  <c r="EH47"/>
  <c r="G202"/>
  <c r="BP97" i="35" l="1"/>
  <c r="BP98" s="1"/>
  <c r="BP102" s="1"/>
  <c r="BP128"/>
  <c r="BP138" s="1"/>
  <c r="BK162" i="26"/>
  <c r="BL156" s="1"/>
  <c r="BS71" i="35"/>
  <c r="BT65" s="1"/>
  <c r="BP101"/>
  <c r="BQ95" s="1"/>
  <c r="DH89"/>
  <c r="DH59"/>
  <c r="DJ119"/>
  <c r="K27"/>
  <c r="O212" i="33" s="1"/>
  <c r="L20" i="35"/>
  <c r="BL158" i="26"/>
  <c r="BL159" s="1"/>
  <c r="BL163" s="1"/>
  <c r="BK169"/>
  <c r="BS78" i="35"/>
  <c r="FQ122" i="26"/>
  <c r="FQ130" s="1"/>
  <c r="FQ135" s="1"/>
  <c r="FQ113"/>
  <c r="AZ192"/>
  <c r="BA186" s="1"/>
  <c r="BA188" s="1"/>
  <c r="BA189" s="1"/>
  <c r="N70"/>
  <c r="N73" s="1"/>
  <c r="J201" i="12"/>
  <c r="BT200" i="26" s="1"/>
  <c r="I202" i="12"/>
  <c r="DC196" i="26"/>
  <c r="AZ199"/>
  <c r="BS191"/>
  <c r="BS195" s="1"/>
  <c r="BT197"/>
  <c r="H234" i="12"/>
  <c r="DA179" i="26" s="1"/>
  <c r="DB179"/>
  <c r="FP135"/>
  <c r="AB96"/>
  <c r="DB150"/>
  <c r="DB120"/>
  <c r="FR112"/>
  <c r="FQ127"/>
  <c r="FQ138"/>
  <c r="FQ136"/>
  <c r="FQ137" s="1"/>
  <c r="C234" i="12"/>
  <c r="R234"/>
  <c r="B240"/>
  <c r="H239"/>
  <c r="Q239"/>
  <c r="Q238" s="1"/>
  <c r="Q237" s="1"/>
  <c r="O239"/>
  <c r="E239"/>
  <c r="E238" s="1"/>
  <c r="E237" s="1"/>
  <c r="R239"/>
  <c r="K239"/>
  <c r="K238" s="1"/>
  <c r="K237" s="1"/>
  <c r="C239"/>
  <c r="P239"/>
  <c r="O234"/>
  <c r="O235" s="1"/>
  <c r="P234"/>
  <c r="P235" s="1"/>
  <c r="DU52"/>
  <c r="DT53"/>
  <c r="EJ46"/>
  <c r="EI49"/>
  <c r="M203"/>
  <c r="L204"/>
  <c r="F204"/>
  <c r="G204" s="1"/>
  <c r="BP131" i="35" l="1"/>
  <c r="BQ125" s="1"/>
  <c r="BP108"/>
  <c r="DG59"/>
  <c r="DG89"/>
  <c r="DI119"/>
  <c r="K28"/>
  <c r="BQ97"/>
  <c r="BQ98" s="1"/>
  <c r="BQ102" s="1"/>
  <c r="BL162" i="26"/>
  <c r="BM156" s="1"/>
  <c r="BL169"/>
  <c r="BP132" i="35"/>
  <c r="DL89"/>
  <c r="DL59"/>
  <c r="DN119"/>
  <c r="BT67"/>
  <c r="BT68" s="1"/>
  <c r="BT72" s="1"/>
  <c r="N75" i="26"/>
  <c r="FR122"/>
  <c r="FR130" s="1"/>
  <c r="FR135" s="1"/>
  <c r="FR113"/>
  <c r="BA190"/>
  <c r="BA193" s="1"/>
  <c r="N72"/>
  <c r="N79"/>
  <c r="DB196"/>
  <c r="BT191"/>
  <c r="BU197"/>
  <c r="H238" i="12"/>
  <c r="DF179" i="26"/>
  <c r="DA196"/>
  <c r="DA198"/>
  <c r="DB198" s="1"/>
  <c r="DC198" s="1"/>
  <c r="J202" i="12"/>
  <c r="BU200" i="26" s="1"/>
  <c r="I203" i="12"/>
  <c r="AB98" i="26"/>
  <c r="DA150"/>
  <c r="DA120"/>
  <c r="DF150"/>
  <c r="DF120"/>
  <c r="FS112"/>
  <c r="FR127"/>
  <c r="FR138"/>
  <c r="FR136"/>
  <c r="FR137" s="1"/>
  <c r="C238" i="12"/>
  <c r="R238"/>
  <c r="D234"/>
  <c r="D235" s="1"/>
  <c r="D236" s="1"/>
  <c r="B241"/>
  <c r="B242" s="1"/>
  <c r="N239"/>
  <c r="N238"/>
  <c r="N237"/>
  <c r="DU53"/>
  <c r="DV52"/>
  <c r="M204"/>
  <c r="L205"/>
  <c r="EJ49"/>
  <c r="EK46"/>
  <c r="F205"/>
  <c r="EI50"/>
  <c r="EJ47"/>
  <c r="BQ127" i="35" l="1"/>
  <c r="BQ128" s="1"/>
  <c r="BQ138" s="1"/>
  <c r="BQ108"/>
  <c r="O218" i="33"/>
  <c r="O237" s="1"/>
  <c r="BT71" i="35"/>
  <c r="BU65" s="1"/>
  <c r="BU67" s="1"/>
  <c r="BU68" s="1"/>
  <c r="BQ101"/>
  <c r="BR95" s="1"/>
  <c r="BR97" s="1"/>
  <c r="BR98" s="1"/>
  <c r="BR102" s="1"/>
  <c r="DK59"/>
  <c r="DK89"/>
  <c r="DM119"/>
  <c r="BM158" i="26"/>
  <c r="BM159" s="1"/>
  <c r="BT78" i="35"/>
  <c r="O66" i="26"/>
  <c r="O68" s="1"/>
  <c r="FS122"/>
  <c r="FS130" s="1"/>
  <c r="FS135" s="1"/>
  <c r="FS113"/>
  <c r="BA195"/>
  <c r="BA199"/>
  <c r="H237" i="12"/>
  <c r="DD179" i="26" s="1"/>
  <c r="DE179"/>
  <c r="DE196" s="1"/>
  <c r="BT195"/>
  <c r="BA192"/>
  <c r="BB186" s="1"/>
  <c r="J203" i="12"/>
  <c r="BV200" i="26" s="1"/>
  <c r="I204" i="12"/>
  <c r="DF196" i="26"/>
  <c r="BU191"/>
  <c r="BU195" s="1"/>
  <c r="BV197"/>
  <c r="BB188"/>
  <c r="BB189" s="1"/>
  <c r="BB193" s="1"/>
  <c r="AB99"/>
  <c r="DE150"/>
  <c r="DE120"/>
  <c r="FT112"/>
  <c r="FS127"/>
  <c r="FS138"/>
  <c r="FS136"/>
  <c r="FS137" s="1"/>
  <c r="R237" i="12"/>
  <c r="C237"/>
  <c r="O242"/>
  <c r="C242"/>
  <c r="Q242"/>
  <c r="Q241" s="1"/>
  <c r="Q240" s="1"/>
  <c r="E242"/>
  <c r="E241" s="1"/>
  <c r="E240" s="1"/>
  <c r="B243"/>
  <c r="P242"/>
  <c r="K242"/>
  <c r="K241" s="1"/>
  <c r="K240" s="1"/>
  <c r="R242"/>
  <c r="H242"/>
  <c r="P237"/>
  <c r="P238" s="1"/>
  <c r="O237"/>
  <c r="O238" s="1"/>
  <c r="DW52"/>
  <c r="DV53"/>
  <c r="F206"/>
  <c r="G206" s="1"/>
  <c r="EL46"/>
  <c r="EL47" s="1"/>
  <c r="EK49"/>
  <c r="EK50" s="1"/>
  <c r="M205"/>
  <c r="L206"/>
  <c r="G205"/>
  <c r="EK47"/>
  <c r="EJ50"/>
  <c r="BQ131" i="35" l="1"/>
  <c r="BR125" s="1"/>
  <c r="BR108"/>
  <c r="O217" i="33"/>
  <c r="BU72" i="35"/>
  <c r="BU78"/>
  <c r="DO59"/>
  <c r="DO89"/>
  <c r="DQ119"/>
  <c r="DJ59"/>
  <c r="DJ89"/>
  <c r="DL119"/>
  <c r="BM160" i="26"/>
  <c r="BM165" s="1"/>
  <c r="BQ132" i="35"/>
  <c r="BR127" s="1"/>
  <c r="BR101"/>
  <c r="BS95" s="1"/>
  <c r="BU71"/>
  <c r="BV65" s="1"/>
  <c r="FT122" i="26"/>
  <c r="FT130" s="1"/>
  <c r="FT135" s="1"/>
  <c r="FT113"/>
  <c r="AB109"/>
  <c r="AB103"/>
  <c r="H241" i="12"/>
  <c r="DI179" i="26"/>
  <c r="BV191"/>
  <c r="BW197"/>
  <c r="I205" i="12"/>
  <c r="J204"/>
  <c r="BW200" i="26" s="1"/>
  <c r="DD196"/>
  <c r="DD198"/>
  <c r="DE198" s="1"/>
  <c r="DF198" s="1"/>
  <c r="BB199"/>
  <c r="BB192"/>
  <c r="BC186" s="1"/>
  <c r="BC188" s="1"/>
  <c r="AB102"/>
  <c r="N129"/>
  <c r="N139" s="1"/>
  <c r="DI150"/>
  <c r="DI120"/>
  <c r="DD150"/>
  <c r="DD120"/>
  <c r="FU112"/>
  <c r="FT127"/>
  <c r="FT138"/>
  <c r="FT136"/>
  <c r="FT137" s="1"/>
  <c r="R241" i="12"/>
  <c r="C241"/>
  <c r="D237"/>
  <c r="D238" s="1"/>
  <c r="D239" s="1"/>
  <c r="B244"/>
  <c r="B245" s="1"/>
  <c r="N241"/>
  <c r="N242"/>
  <c r="N240"/>
  <c r="DW53"/>
  <c r="DX52"/>
  <c r="M206"/>
  <c r="L207"/>
  <c r="EL49"/>
  <c r="EM46"/>
  <c r="F207"/>
  <c r="G207" s="1"/>
  <c r="BM169" i="26" l="1"/>
  <c r="AC96"/>
  <c r="BM162"/>
  <c r="BN156" s="1"/>
  <c r="BR128" i="35"/>
  <c r="DN89"/>
  <c r="DN59"/>
  <c r="DP119"/>
  <c r="BV67"/>
  <c r="BV68" s="1"/>
  <c r="BM163" i="26"/>
  <c r="BS97" i="35"/>
  <c r="BS98" s="1"/>
  <c r="BS102" s="1"/>
  <c r="BV195" i="26"/>
  <c r="FU122"/>
  <c r="FU130" s="1"/>
  <c r="FU135" s="1"/>
  <c r="FU113"/>
  <c r="N132"/>
  <c r="O126" s="1"/>
  <c r="N133"/>
  <c r="J205" i="12"/>
  <c r="BX200" i="26" s="1"/>
  <c r="I206" i="12"/>
  <c r="H240"/>
  <c r="DG179" i="26" s="1"/>
  <c r="DH179"/>
  <c r="BC189"/>
  <c r="BC193" s="1"/>
  <c r="BW191"/>
  <c r="BX197"/>
  <c r="DI196"/>
  <c r="AC98"/>
  <c r="DH150"/>
  <c r="DH120"/>
  <c r="FV112"/>
  <c r="FU127"/>
  <c r="FU138"/>
  <c r="FU136"/>
  <c r="FU137" s="1"/>
  <c r="C240" i="12"/>
  <c r="R240"/>
  <c r="P240"/>
  <c r="P241" s="1"/>
  <c r="O240"/>
  <c r="O241" s="1"/>
  <c r="C245"/>
  <c r="Q245"/>
  <c r="Q244" s="1"/>
  <c r="Q243" s="1"/>
  <c r="E245"/>
  <c r="E244" s="1"/>
  <c r="E243" s="1"/>
  <c r="O245"/>
  <c r="R245"/>
  <c r="K245"/>
  <c r="K244" s="1"/>
  <c r="K243" s="1"/>
  <c r="H245"/>
  <c r="P245"/>
  <c r="B246"/>
  <c r="DX53"/>
  <c r="DY52"/>
  <c r="EN46"/>
  <c r="EN47" s="1"/>
  <c r="EM49"/>
  <c r="EM50" s="1"/>
  <c r="M207"/>
  <c r="L208"/>
  <c r="F208"/>
  <c r="G208" s="1"/>
  <c r="EM47"/>
  <c r="EL50"/>
  <c r="BN158" i="26" l="1"/>
  <c r="BN159" s="1"/>
  <c r="BN163" s="1"/>
  <c r="BV72" i="35"/>
  <c r="BV71"/>
  <c r="BW65" s="1"/>
  <c r="BR132"/>
  <c r="BS101"/>
  <c r="BT95" s="1"/>
  <c r="BT97" s="1"/>
  <c r="BT98" s="1"/>
  <c r="BT102" s="1"/>
  <c r="DR59"/>
  <c r="DR89"/>
  <c r="DT119"/>
  <c r="DM59"/>
  <c r="DM89"/>
  <c r="DO119"/>
  <c r="BS108"/>
  <c r="BV78"/>
  <c r="BR131"/>
  <c r="BS125" s="1"/>
  <c r="BR138"/>
  <c r="BC199" i="26"/>
  <c r="FV122"/>
  <c r="FV130" s="1"/>
  <c r="FV135" s="1"/>
  <c r="FV113"/>
  <c r="O128"/>
  <c r="BC192"/>
  <c r="BD186" s="1"/>
  <c r="BD188" s="1"/>
  <c r="BD189" s="1"/>
  <c r="BD193" s="1"/>
  <c r="BW195"/>
  <c r="DG196"/>
  <c r="DG198"/>
  <c r="DH198" s="1"/>
  <c r="DI198" s="1"/>
  <c r="H244" i="12"/>
  <c r="DL179" i="26"/>
  <c r="BX191"/>
  <c r="BY197"/>
  <c r="DH196"/>
  <c r="J206" i="12"/>
  <c r="I207"/>
  <c r="AC99" i="26"/>
  <c r="DL150"/>
  <c r="DL120"/>
  <c r="DG150"/>
  <c r="DG120"/>
  <c r="FW112"/>
  <c r="FV127"/>
  <c r="FV138"/>
  <c r="FV136"/>
  <c r="FV137" s="1"/>
  <c r="R244" i="12"/>
  <c r="C244"/>
  <c r="D240"/>
  <c r="D241" s="1"/>
  <c r="D242" s="1"/>
  <c r="B247"/>
  <c r="B248" s="1"/>
  <c r="N245"/>
  <c r="N244"/>
  <c r="N243"/>
  <c r="DZ52"/>
  <c r="DY53"/>
  <c r="M208"/>
  <c r="L209"/>
  <c r="F209"/>
  <c r="EN49"/>
  <c r="EN50" s="1"/>
  <c r="EO46"/>
  <c r="EO47" s="1"/>
  <c r="BN169" i="26" l="1"/>
  <c r="BN162"/>
  <c r="BO156" s="1"/>
  <c r="BO158" s="1"/>
  <c r="BO159" s="1"/>
  <c r="BO163" s="1"/>
  <c r="BW67" i="35"/>
  <c r="BW68" s="1"/>
  <c r="BW72" s="1"/>
  <c r="DQ89"/>
  <c r="DQ59"/>
  <c r="DS119"/>
  <c r="BS127"/>
  <c r="BS128" s="1"/>
  <c r="BT101"/>
  <c r="BU95" s="1"/>
  <c r="BU97" s="1"/>
  <c r="BT108"/>
  <c r="AC103" i="26"/>
  <c r="BX195"/>
  <c r="FW122"/>
  <c r="FW130" s="1"/>
  <c r="FW135" s="1"/>
  <c r="FW113"/>
  <c r="BD192"/>
  <c r="BE186" s="1"/>
  <c r="I64" i="30"/>
  <c r="J64" s="1"/>
  <c r="BY200" i="26"/>
  <c r="H243" i="12"/>
  <c r="DJ179" i="26" s="1"/>
  <c r="DK179"/>
  <c r="J207" i="12"/>
  <c r="BZ200" i="26" s="1"/>
  <c r="I208" i="12"/>
  <c r="BY191" i="26"/>
  <c r="BZ197"/>
  <c r="DL196"/>
  <c r="BE188"/>
  <c r="BE189" s="1"/>
  <c r="BE193" s="1"/>
  <c r="BD199"/>
  <c r="DK150"/>
  <c r="DK120"/>
  <c r="FX112"/>
  <c r="FW127"/>
  <c r="FW138"/>
  <c r="FW136"/>
  <c r="FW137" s="1"/>
  <c r="C243" i="12"/>
  <c r="R243"/>
  <c r="O243"/>
  <c r="O244" s="1"/>
  <c r="P243"/>
  <c r="P244" s="1"/>
  <c r="B249"/>
  <c r="E248"/>
  <c r="E247" s="1"/>
  <c r="E246" s="1"/>
  <c r="C248"/>
  <c r="O248"/>
  <c r="Q248"/>
  <c r="Q247" s="1"/>
  <c r="Q246" s="1"/>
  <c r="P248"/>
  <c r="H248"/>
  <c r="K248"/>
  <c r="K247" s="1"/>
  <c r="K246" s="1"/>
  <c r="R248"/>
  <c r="EA52"/>
  <c r="DZ53"/>
  <c r="F210"/>
  <c r="G210" s="1"/>
  <c r="M209"/>
  <c r="L210"/>
  <c r="EP46"/>
  <c r="EP47" s="1"/>
  <c r="EO49"/>
  <c r="G209"/>
  <c r="BO169" i="26" l="1"/>
  <c r="BO162"/>
  <c r="BP156" s="1"/>
  <c r="BP158" s="1"/>
  <c r="BP159" s="1"/>
  <c r="BP163" s="1"/>
  <c r="BW71" i="35"/>
  <c r="BX65" s="1"/>
  <c r="BX67" s="1"/>
  <c r="BX68" s="1"/>
  <c r="BX72" s="1"/>
  <c r="BW78"/>
  <c r="BS132"/>
  <c r="BS131"/>
  <c r="BT125" s="1"/>
  <c r="BS138"/>
  <c r="DU59"/>
  <c r="DU89"/>
  <c r="DW119"/>
  <c r="DP59"/>
  <c r="DP89"/>
  <c r="DR119"/>
  <c r="BU98"/>
  <c r="BU102" s="1"/>
  <c r="FX122" i="26"/>
  <c r="FX130" s="1"/>
  <c r="FX113"/>
  <c r="AC102"/>
  <c r="H247" i="12"/>
  <c r="DO179" i="26"/>
  <c r="DJ196"/>
  <c r="DJ198"/>
  <c r="DK198" s="1"/>
  <c r="DL198" s="1"/>
  <c r="BE192"/>
  <c r="BF186" s="1"/>
  <c r="BZ191"/>
  <c r="CA197"/>
  <c r="J208" i="12"/>
  <c r="CA200" i="26" s="1"/>
  <c r="I209" i="12"/>
  <c r="DK196" i="26"/>
  <c r="BE199"/>
  <c r="AC105"/>
  <c r="AC109"/>
  <c r="O60"/>
  <c r="O69" s="1"/>
  <c r="DO150"/>
  <c r="DO120"/>
  <c r="DJ150"/>
  <c r="DJ120"/>
  <c r="FY112"/>
  <c r="FX127"/>
  <c r="FX138"/>
  <c r="FX136"/>
  <c r="FX137" s="1"/>
  <c r="R247" i="12"/>
  <c r="C247"/>
  <c r="D243"/>
  <c r="D244" s="1"/>
  <c r="D245" s="1"/>
  <c r="N247"/>
  <c r="N248"/>
  <c r="N246"/>
  <c r="B250"/>
  <c r="EA53"/>
  <c r="EB52"/>
  <c r="EP49"/>
  <c r="EP50" s="1"/>
  <c r="F211"/>
  <c r="G211" s="1"/>
  <c r="M210"/>
  <c r="L211"/>
  <c r="EO50"/>
  <c r="BU108" i="35" l="1"/>
  <c r="BX71"/>
  <c r="BY65" s="1"/>
  <c r="BP162" i="26"/>
  <c r="BQ156" s="1"/>
  <c r="DT59" i="35"/>
  <c r="DT89"/>
  <c r="DV119"/>
  <c r="BQ158" i="26"/>
  <c r="BQ159" s="1"/>
  <c r="BQ163" s="1"/>
  <c r="BU101" i="35"/>
  <c r="BV95" s="1"/>
  <c r="BP169" i="26"/>
  <c r="BY67" i="35"/>
  <c r="BY68" s="1"/>
  <c r="BX78"/>
  <c r="BT127"/>
  <c r="BT128" s="1"/>
  <c r="BQ169" i="26"/>
  <c r="BZ195"/>
  <c r="FY122"/>
  <c r="FY130" s="1"/>
  <c r="FY135" s="1"/>
  <c r="FY113"/>
  <c r="O70"/>
  <c r="O73" s="1"/>
  <c r="J209" i="12"/>
  <c r="CB200" i="26" s="1"/>
  <c r="I210" i="12"/>
  <c r="CA191" i="26"/>
  <c r="CA195" s="1"/>
  <c r="CB197"/>
  <c r="H246" i="12"/>
  <c r="DM179" i="26" s="1"/>
  <c r="DN179"/>
  <c r="BF188"/>
  <c r="BF189" s="1"/>
  <c r="BF193" s="1"/>
  <c r="DO196"/>
  <c r="FX135"/>
  <c r="DN150"/>
  <c r="DN120"/>
  <c r="FZ112"/>
  <c r="FY127"/>
  <c r="FY138"/>
  <c r="FY136"/>
  <c r="FY137" s="1"/>
  <c r="C246" i="12"/>
  <c r="R246"/>
  <c r="B251"/>
  <c r="O246"/>
  <c r="O247" s="1"/>
  <c r="P246"/>
  <c r="P247" s="1"/>
  <c r="EC52"/>
  <c r="EB53"/>
  <c r="M211"/>
  <c r="L212"/>
  <c r="F212"/>
  <c r="G212" s="1"/>
  <c r="BQ162" i="26" l="1"/>
  <c r="BR156" s="1"/>
  <c r="BY72" i="35"/>
  <c r="BY71"/>
  <c r="BZ65" s="1"/>
  <c r="BT132"/>
  <c r="BV97"/>
  <c r="BV98" s="1"/>
  <c r="BV102" s="1"/>
  <c r="BT138"/>
  <c r="DS59"/>
  <c r="DS89"/>
  <c r="DU119"/>
  <c r="BY78"/>
  <c r="BR158" i="26"/>
  <c r="BR159" s="1"/>
  <c r="BR163" s="1"/>
  <c r="BT131" i="35"/>
  <c r="BU125" s="1"/>
  <c r="O79" i="26"/>
  <c r="O75"/>
  <c r="O72"/>
  <c r="FZ122"/>
  <c r="FZ130" s="1"/>
  <c r="FZ113"/>
  <c r="DN196"/>
  <c r="BF192"/>
  <c r="BG186" s="1"/>
  <c r="BF199"/>
  <c r="DM196"/>
  <c r="DM198"/>
  <c r="DN198" s="1"/>
  <c r="DO198" s="1"/>
  <c r="CB191"/>
  <c r="CB195" s="1"/>
  <c r="CC197"/>
  <c r="J210" i="12"/>
  <c r="CC200" i="26" s="1"/>
  <c r="I211" i="12"/>
  <c r="P66" i="26"/>
  <c r="P68" s="1"/>
  <c r="DM150"/>
  <c r="DM120"/>
  <c r="GA112"/>
  <c r="FZ127"/>
  <c r="FZ138"/>
  <c r="FZ136"/>
  <c r="FZ137" s="1"/>
  <c r="D246" i="12"/>
  <c r="D247" s="1"/>
  <c r="D248" s="1"/>
  <c r="B252"/>
  <c r="E251"/>
  <c r="E250" s="1"/>
  <c r="E249" s="1"/>
  <c r="K251"/>
  <c r="K250" s="1"/>
  <c r="K249" s="1"/>
  <c r="P251"/>
  <c r="C251"/>
  <c r="H251"/>
  <c r="DR179" i="26" s="1"/>
  <c r="O251" i="12"/>
  <c r="R251"/>
  <c r="Q251"/>
  <c r="Q250" s="1"/>
  <c r="Q249" s="1"/>
  <c r="ED52"/>
  <c r="EC53"/>
  <c r="F213"/>
  <c r="G213" s="1"/>
  <c r="M212"/>
  <c r="L213"/>
  <c r="BV108" i="35" l="1"/>
  <c r="BV101"/>
  <c r="BW95" s="1"/>
  <c r="BZ67"/>
  <c r="BW97"/>
  <c r="BW98" s="1"/>
  <c r="BW102" s="1"/>
  <c r="BR162" i="26"/>
  <c r="BS156" s="1"/>
  <c r="DX59" i="35"/>
  <c r="DX89"/>
  <c r="DZ119"/>
  <c r="BU127"/>
  <c r="BU128" s="1"/>
  <c r="BU132" s="1"/>
  <c r="BW101"/>
  <c r="BX95" s="1"/>
  <c r="BZ68"/>
  <c r="BZ72" s="1"/>
  <c r="BR169" i="26"/>
  <c r="GA122"/>
  <c r="GA130" s="1"/>
  <c r="GA113"/>
  <c r="DR196"/>
  <c r="BG188"/>
  <c r="BG189" s="1"/>
  <c r="BG193" s="1"/>
  <c r="J211" i="12"/>
  <c r="CD200" i="26" s="1"/>
  <c r="I212" i="12"/>
  <c r="CC191" i="26"/>
  <c r="CC195" s="1"/>
  <c r="CD197"/>
  <c r="FZ135"/>
  <c r="DR150"/>
  <c r="DR120"/>
  <c r="GB112"/>
  <c r="GA127"/>
  <c r="GA138"/>
  <c r="GA135"/>
  <c r="GA136"/>
  <c r="GA137" s="1"/>
  <c r="R250" i="12"/>
  <c r="C250"/>
  <c r="N251"/>
  <c r="N249"/>
  <c r="N250"/>
  <c r="B253"/>
  <c r="B254" s="1"/>
  <c r="H250"/>
  <c r="ED53"/>
  <c r="EE52"/>
  <c r="M213"/>
  <c r="L214"/>
  <c r="F214"/>
  <c r="G214" s="1"/>
  <c r="BW108" i="35" l="1"/>
  <c r="BZ78"/>
  <c r="BZ71"/>
  <c r="CA65" s="1"/>
  <c r="CA67" s="1"/>
  <c r="CA68" s="1"/>
  <c r="BU138"/>
  <c r="DW89"/>
  <c r="DW59"/>
  <c r="DY119"/>
  <c r="BX97"/>
  <c r="BX98" s="1"/>
  <c r="BX102" s="1"/>
  <c r="BU131"/>
  <c r="BV125" s="1"/>
  <c r="BV127" s="1"/>
  <c r="BS158" i="26"/>
  <c r="BS159" s="1"/>
  <c r="BS163" s="1"/>
  <c r="GB122"/>
  <c r="GB130" s="1"/>
  <c r="GB113"/>
  <c r="BG192"/>
  <c r="BH186" s="1"/>
  <c r="CD191"/>
  <c r="CD195" s="1"/>
  <c r="CE197"/>
  <c r="J212" i="12"/>
  <c r="CE200" i="26" s="1"/>
  <c r="I213" i="12"/>
  <c r="BG199" i="26"/>
  <c r="H249" i="12"/>
  <c r="DP179" i="26" s="1"/>
  <c r="DQ179"/>
  <c r="DQ150"/>
  <c r="DQ120"/>
  <c r="GC112"/>
  <c r="GB127"/>
  <c r="GB138"/>
  <c r="GB136"/>
  <c r="GB137" s="1"/>
  <c r="C249" i="12"/>
  <c r="R249"/>
  <c r="B255"/>
  <c r="P254"/>
  <c r="K254"/>
  <c r="K253" s="1"/>
  <c r="K252" s="1"/>
  <c r="C254"/>
  <c r="Q254"/>
  <c r="Q253" s="1"/>
  <c r="Q252" s="1"/>
  <c r="O254"/>
  <c r="R254"/>
  <c r="E254"/>
  <c r="E253" s="1"/>
  <c r="E252" s="1"/>
  <c r="H254"/>
  <c r="P249"/>
  <c r="P250" s="1"/>
  <c r="O249"/>
  <c r="O250" s="1"/>
  <c r="EE53"/>
  <c r="EF52"/>
  <c r="F215"/>
  <c r="M214"/>
  <c r="L215"/>
  <c r="CA72" i="35" l="1"/>
  <c r="CA71"/>
  <c r="CB65" s="1"/>
  <c r="BX108"/>
  <c r="DV59"/>
  <c r="DV89"/>
  <c r="DX119"/>
  <c r="BS169" i="26"/>
  <c r="EA59" i="35"/>
  <c r="EA89"/>
  <c r="EC119"/>
  <c r="BV128"/>
  <c r="BV132" s="1"/>
  <c r="CA78"/>
  <c r="BS162" i="26"/>
  <c r="BT156" s="1"/>
  <c r="BX101" i="35"/>
  <c r="BY95" s="1"/>
  <c r="GC122" i="26"/>
  <c r="GC130" s="1"/>
  <c r="GC135" s="1"/>
  <c r="GC113"/>
  <c r="H253" i="12"/>
  <c r="DU179" i="26"/>
  <c r="DQ196"/>
  <c r="BH188"/>
  <c r="BH189" s="1"/>
  <c r="BH193" s="1"/>
  <c r="DP196"/>
  <c r="DP198"/>
  <c r="DQ198" s="1"/>
  <c r="DR198" s="1"/>
  <c r="I214" i="12"/>
  <c r="J213"/>
  <c r="CF200" i="26" s="1"/>
  <c r="CE191"/>
  <c r="CE195" s="1"/>
  <c r="CF197"/>
  <c r="GB135"/>
  <c r="DP150"/>
  <c r="DP120"/>
  <c r="O129"/>
  <c r="DU150"/>
  <c r="DU120"/>
  <c r="GD112"/>
  <c r="GC127"/>
  <c r="GC138"/>
  <c r="GC136"/>
  <c r="GC137" s="1"/>
  <c r="R253" i="12"/>
  <c r="C253"/>
  <c r="D249"/>
  <c r="D250" s="1"/>
  <c r="D251" s="1"/>
  <c r="B256"/>
  <c r="B257" s="1"/>
  <c r="N254"/>
  <c r="N253"/>
  <c r="N252"/>
  <c r="EF53"/>
  <c r="EG52"/>
  <c r="F216"/>
  <c r="G216" s="1"/>
  <c r="M215"/>
  <c r="L216"/>
  <c r="G215"/>
  <c r="CB67" i="35" l="1"/>
  <c r="CB68" s="1"/>
  <c r="CB72" s="1"/>
  <c r="BV138"/>
  <c r="CB71"/>
  <c r="CC65" s="1"/>
  <c r="CC67" s="1"/>
  <c r="CC68" s="1"/>
  <c r="CC72" s="1"/>
  <c r="DZ59"/>
  <c r="DZ89"/>
  <c r="EB119"/>
  <c r="BY97"/>
  <c r="BY98" s="1"/>
  <c r="BY102" s="1"/>
  <c r="BV131"/>
  <c r="BW125" s="1"/>
  <c r="BW127" s="1"/>
  <c r="BT158" i="26"/>
  <c r="BT159" s="1"/>
  <c r="BT163" s="1"/>
  <c r="GD122"/>
  <c r="GD130" s="1"/>
  <c r="GD113"/>
  <c r="O132"/>
  <c r="P126" s="1"/>
  <c r="O133"/>
  <c r="O139"/>
  <c r="BH192"/>
  <c r="BI186" s="1"/>
  <c r="BH199"/>
  <c r="CF191"/>
  <c r="CG197"/>
  <c r="H252" i="12"/>
  <c r="DS179" i="26" s="1"/>
  <c r="DT179"/>
  <c r="BI188"/>
  <c r="BI189" s="1"/>
  <c r="BI193" s="1"/>
  <c r="J214" i="12"/>
  <c r="CG200" i="26" s="1"/>
  <c r="I215" i="12"/>
  <c r="DU196" i="26"/>
  <c r="DT150"/>
  <c r="DT120"/>
  <c r="GE112"/>
  <c r="GD127"/>
  <c r="GD138"/>
  <c r="GD136"/>
  <c r="GD137" s="1"/>
  <c r="C252" i="12"/>
  <c r="R252"/>
  <c r="B258"/>
  <c r="O257"/>
  <c r="C257"/>
  <c r="E257"/>
  <c r="E256" s="1"/>
  <c r="E255" s="1"/>
  <c r="Q257"/>
  <c r="Q256" s="1"/>
  <c r="Q255" s="1"/>
  <c r="R257"/>
  <c r="H257"/>
  <c r="K257"/>
  <c r="K256" s="1"/>
  <c r="K255" s="1"/>
  <c r="P257"/>
  <c r="O252"/>
  <c r="O253" s="1"/>
  <c r="P252"/>
  <c r="P253" s="1"/>
  <c r="EG53"/>
  <c r="EH52"/>
  <c r="F217"/>
  <c r="G217" s="1"/>
  <c r="M216"/>
  <c r="L217"/>
  <c r="CB78" i="35" l="1"/>
  <c r="BY101"/>
  <c r="BZ95" s="1"/>
  <c r="BZ97" s="1"/>
  <c r="ED89"/>
  <c r="ED59"/>
  <c r="EF119"/>
  <c r="DY59"/>
  <c r="DY89"/>
  <c r="EA119"/>
  <c r="CC71"/>
  <c r="CD65" s="1"/>
  <c r="BT169" i="26"/>
  <c r="BW128" i="35"/>
  <c r="BW132" s="1"/>
  <c r="BY108"/>
  <c r="CC78"/>
  <c r="BT162" i="26"/>
  <c r="BU156" s="1"/>
  <c r="BU158" s="1"/>
  <c r="BU159" s="1"/>
  <c r="BU163" s="1"/>
  <c r="P128"/>
  <c r="BI199"/>
  <c r="GE122"/>
  <c r="GE130" s="1"/>
  <c r="GE135" s="1"/>
  <c r="GE113"/>
  <c r="BI192"/>
  <c r="BJ186" s="1"/>
  <c r="BJ188" s="1"/>
  <c r="BJ189" s="1"/>
  <c r="BJ193" s="1"/>
  <c r="DS198"/>
  <c r="DT198" s="1"/>
  <c r="DU198" s="1"/>
  <c r="DS196"/>
  <c r="CF195"/>
  <c r="H256" i="12"/>
  <c r="DX179" i="26"/>
  <c r="J215" i="12"/>
  <c r="CH200" i="26" s="1"/>
  <c r="I216" i="12"/>
  <c r="DT196" i="26"/>
  <c r="CG191"/>
  <c r="CG195" s="1"/>
  <c r="CH197"/>
  <c r="GD135"/>
  <c r="DX150"/>
  <c r="DX120"/>
  <c r="DS150"/>
  <c r="DS120"/>
  <c r="GF112"/>
  <c r="GE127"/>
  <c r="GE138"/>
  <c r="GE136"/>
  <c r="GE137" s="1"/>
  <c r="R256" i="12"/>
  <c r="C256"/>
  <c r="D252"/>
  <c r="D253" s="1"/>
  <c r="D254" s="1"/>
  <c r="B259"/>
  <c r="N256"/>
  <c r="N255"/>
  <c r="N257"/>
  <c r="EI52"/>
  <c r="EH53"/>
  <c r="M217"/>
  <c r="L218"/>
  <c r="F218"/>
  <c r="BW138" i="35" l="1"/>
  <c r="BW131"/>
  <c r="BX125" s="1"/>
  <c r="BX127" s="1"/>
  <c r="BX128" s="1"/>
  <c r="EC89"/>
  <c r="EC59"/>
  <c r="EE119"/>
  <c r="CD67"/>
  <c r="CD68" s="1"/>
  <c r="CD72" s="1"/>
  <c r="BZ98"/>
  <c r="BZ102" s="1"/>
  <c r="BU162" i="26"/>
  <c r="BV156" s="1"/>
  <c r="BU169"/>
  <c r="GF122"/>
  <c r="GF130" s="1"/>
  <c r="GF135" s="1"/>
  <c r="GF113"/>
  <c r="BJ192"/>
  <c r="BK186" s="1"/>
  <c r="BK188" s="1"/>
  <c r="BK189" s="1"/>
  <c r="BK193" s="1"/>
  <c r="H255" i="12"/>
  <c r="DV179" i="26" s="1"/>
  <c r="DW179"/>
  <c r="CH191"/>
  <c r="CI197"/>
  <c r="J216" i="12"/>
  <c r="CI200" i="26" s="1"/>
  <c r="I217" i="12"/>
  <c r="DX196" i="26"/>
  <c r="BJ199"/>
  <c r="DW150"/>
  <c r="DW120"/>
  <c r="GG112"/>
  <c r="GF127"/>
  <c r="GF138"/>
  <c r="GF136"/>
  <c r="GF137" s="1"/>
  <c r="C255" i="12"/>
  <c r="R255"/>
  <c r="O255"/>
  <c r="O256" s="1"/>
  <c r="P255"/>
  <c r="P256" s="1"/>
  <c r="B260"/>
  <c r="EJ52"/>
  <c r="EI53"/>
  <c r="F219"/>
  <c r="G219" s="1"/>
  <c r="M218"/>
  <c r="L219"/>
  <c r="G218"/>
  <c r="CD71" i="35" l="1"/>
  <c r="CE65" s="1"/>
  <c r="CD78"/>
  <c r="BX132"/>
  <c r="BX131"/>
  <c r="BY125" s="1"/>
  <c r="BZ108"/>
  <c r="EB89"/>
  <c r="EB59"/>
  <c r="ED119"/>
  <c r="BX138"/>
  <c r="BZ101"/>
  <c r="CA95" s="1"/>
  <c r="CE67"/>
  <c r="CE68" s="1"/>
  <c r="CE72" s="1"/>
  <c r="BV158" i="26"/>
  <c r="BV159" s="1"/>
  <c r="BV163" s="1"/>
  <c r="GG122"/>
  <c r="GG130" s="1"/>
  <c r="GG135" s="1"/>
  <c r="GG113"/>
  <c r="BK199"/>
  <c r="BK192"/>
  <c r="BL186" s="1"/>
  <c r="CH195"/>
  <c r="DV196"/>
  <c r="DV198"/>
  <c r="I218" i="12"/>
  <c r="J217"/>
  <c r="CJ200" i="26" s="1"/>
  <c r="CI191"/>
  <c r="CI195" s="1"/>
  <c r="CJ197"/>
  <c r="DW196"/>
  <c r="DW198"/>
  <c r="DX198" s="1"/>
  <c r="BL188"/>
  <c r="BL189" s="1"/>
  <c r="BL193" s="1"/>
  <c r="DV150"/>
  <c r="DV120"/>
  <c r="GH112"/>
  <c r="GG127"/>
  <c r="GG138"/>
  <c r="GG136"/>
  <c r="GG137" s="1"/>
  <c r="D255" i="12"/>
  <c r="D256" s="1"/>
  <c r="D257" s="1"/>
  <c r="B261"/>
  <c r="R260"/>
  <c r="C260"/>
  <c r="P260"/>
  <c r="Q260"/>
  <c r="Q259" s="1"/>
  <c r="Q258" s="1"/>
  <c r="E260"/>
  <c r="E259" s="1"/>
  <c r="E258" s="1"/>
  <c r="O260"/>
  <c r="H260"/>
  <c r="EK52"/>
  <c r="EJ53"/>
  <c r="M219"/>
  <c r="L220"/>
  <c r="F220"/>
  <c r="G220" s="1"/>
  <c r="BY127" i="35" l="1"/>
  <c r="BY128" s="1"/>
  <c r="BY131" s="1"/>
  <c r="BZ125" s="1"/>
  <c r="BV169" i="26"/>
  <c r="EG59" i="35"/>
  <c r="EG89"/>
  <c r="EI119"/>
  <c r="CE71"/>
  <c r="CF65" s="1"/>
  <c r="CA97"/>
  <c r="CA98" s="1"/>
  <c r="CA102" s="1"/>
  <c r="CE78"/>
  <c r="BV162" i="26"/>
  <c r="BW156" s="1"/>
  <c r="GH122"/>
  <c r="GH130" s="1"/>
  <c r="GH135" s="1"/>
  <c r="GH113"/>
  <c r="BL199"/>
  <c r="H259" i="12"/>
  <c r="EA179" i="26"/>
  <c r="EA196" s="1"/>
  <c r="I219" i="12"/>
  <c r="J218"/>
  <c r="BL192" i="26"/>
  <c r="BM186" s="1"/>
  <c r="CJ191"/>
  <c r="CK197"/>
  <c r="P60"/>
  <c r="P69" s="1"/>
  <c r="EA150"/>
  <c r="EA120"/>
  <c r="GI112"/>
  <c r="GH127"/>
  <c r="GH138"/>
  <c r="GH136"/>
  <c r="GH137" s="1"/>
  <c r="C259" i="12"/>
  <c r="R259"/>
  <c r="N259"/>
  <c r="N258"/>
  <c r="N260"/>
  <c r="B262"/>
  <c r="EK53"/>
  <c r="EL52"/>
  <c r="F221"/>
  <c r="G221" s="1"/>
  <c r="M220"/>
  <c r="L221"/>
  <c r="CA108" i="35" l="1"/>
  <c r="BY132"/>
  <c r="BZ127" s="1"/>
  <c r="BY138"/>
  <c r="BW158" i="26"/>
  <c r="CA101" i="35"/>
  <c r="CB95" s="1"/>
  <c r="BZ128"/>
  <c r="BZ132" s="1"/>
  <c r="EF59"/>
  <c r="EF89"/>
  <c r="EH119"/>
  <c r="CF67"/>
  <c r="CF68" s="1"/>
  <c r="CF72" s="1"/>
  <c r="GI122" i="26"/>
  <c r="GI130" s="1"/>
  <c r="GI113"/>
  <c r="P70"/>
  <c r="P73" s="1"/>
  <c r="CK191"/>
  <c r="CL197"/>
  <c r="J219" i="12"/>
  <c r="CL200" i="26" s="1"/>
  <c r="I220" i="12"/>
  <c r="H258"/>
  <c r="DY179" i="26" s="1"/>
  <c r="DZ179"/>
  <c r="BM188"/>
  <c r="BM189" s="1"/>
  <c r="CJ195"/>
  <c r="I65" i="30"/>
  <c r="J65" s="1"/>
  <c r="CK200" i="26"/>
  <c r="DZ150"/>
  <c r="DZ120"/>
  <c r="GJ112"/>
  <c r="GI127"/>
  <c r="GI138"/>
  <c r="GI135"/>
  <c r="GI136"/>
  <c r="GI137" s="1"/>
  <c r="P79"/>
  <c r="R258" i="12"/>
  <c r="C258"/>
  <c r="B263"/>
  <c r="O258"/>
  <c r="O259" s="1"/>
  <c r="P258"/>
  <c r="P259" s="1"/>
  <c r="EL53"/>
  <c r="EM52"/>
  <c r="M221"/>
  <c r="L222"/>
  <c r="F222"/>
  <c r="G222" s="1"/>
  <c r="CF71" i="35" l="1"/>
  <c r="CG65" s="1"/>
  <c r="CG67" s="1"/>
  <c r="BW159" i="26"/>
  <c r="BW163" s="1"/>
  <c r="EE59" i="35"/>
  <c r="EE89"/>
  <c r="EG119"/>
  <c r="BZ138"/>
  <c r="BZ131"/>
  <c r="CA125" s="1"/>
  <c r="CA127" s="1"/>
  <c r="CB97"/>
  <c r="CB98" s="1"/>
  <c r="CF78"/>
  <c r="GJ122" i="26"/>
  <c r="GJ130" s="1"/>
  <c r="GJ113"/>
  <c r="BM190"/>
  <c r="BM193" s="1"/>
  <c r="P72"/>
  <c r="P75"/>
  <c r="DY196"/>
  <c r="DY198"/>
  <c r="DZ196"/>
  <c r="DZ198"/>
  <c r="EA198" s="1"/>
  <c r="J220" i="12"/>
  <c r="CM200" i="26" s="1"/>
  <c r="I221" i="12"/>
  <c r="CL191" i="26"/>
  <c r="CM197"/>
  <c r="DY150"/>
  <c r="DY120"/>
  <c r="GK112"/>
  <c r="GJ127"/>
  <c r="GJ138"/>
  <c r="GJ136"/>
  <c r="GJ137" s="1"/>
  <c r="D258" i="12"/>
  <c r="D259" s="1"/>
  <c r="D260" s="1"/>
  <c r="E263"/>
  <c r="E262" s="1"/>
  <c r="E261" s="1"/>
  <c r="B264"/>
  <c r="K263"/>
  <c r="K262" s="1"/>
  <c r="K261" s="1"/>
  <c r="K260" s="1"/>
  <c r="K259" s="1"/>
  <c r="K258" s="1"/>
  <c r="O263"/>
  <c r="Q263"/>
  <c r="Q262" s="1"/>
  <c r="Q261" s="1"/>
  <c r="R263"/>
  <c r="C263"/>
  <c r="P263"/>
  <c r="H263"/>
  <c r="EN52"/>
  <c r="EM53"/>
  <c r="M222"/>
  <c r="L223"/>
  <c r="F223"/>
  <c r="G223" s="1"/>
  <c r="CG68" i="35" l="1"/>
  <c r="CG72" s="1"/>
  <c r="BM195" i="26"/>
  <c r="BW169"/>
  <c r="BW162"/>
  <c r="BX156" s="1"/>
  <c r="CB102" i="35"/>
  <c r="CB108"/>
  <c r="EJ59"/>
  <c r="EJ89"/>
  <c r="EL119"/>
  <c r="CA128"/>
  <c r="CA132" s="1"/>
  <c r="CB101"/>
  <c r="CC95" s="1"/>
  <c r="Q66" i="26"/>
  <c r="Q68" s="1"/>
  <c r="GK122"/>
  <c r="GK130" s="1"/>
  <c r="GK135" s="1"/>
  <c r="GK113"/>
  <c r="CL195"/>
  <c r="BM199"/>
  <c r="BM192"/>
  <c r="BN186" s="1"/>
  <c r="H262" i="12"/>
  <c r="ED179" i="26"/>
  <c r="CM191"/>
  <c r="CM195" s="1"/>
  <c r="CN197"/>
  <c r="J221" i="12"/>
  <c r="CN200" i="26" s="1"/>
  <c r="I222" i="12"/>
  <c r="GJ135" i="26"/>
  <c r="ED150"/>
  <c r="ED120"/>
  <c r="GK136"/>
  <c r="GK137" s="1"/>
  <c r="GL112"/>
  <c r="GK127"/>
  <c r="GK138"/>
  <c r="C262" i="12"/>
  <c r="R262"/>
  <c r="N263"/>
  <c r="N262"/>
  <c r="N261"/>
  <c r="B265"/>
  <c r="B266" s="1"/>
  <c r="EN53"/>
  <c r="EO52"/>
  <c r="F224"/>
  <c r="M223"/>
  <c r="L224"/>
  <c r="CA138" i="35" l="1"/>
  <c r="CG71"/>
  <c r="CH65" s="1"/>
  <c r="CH67" s="1"/>
  <c r="CH68" s="1"/>
  <c r="CH72" s="1"/>
  <c r="CG78"/>
  <c r="BX158" i="26"/>
  <c r="EI59" i="35"/>
  <c r="EI89"/>
  <c r="EK119"/>
  <c r="CC97"/>
  <c r="CC98" s="1"/>
  <c r="CC102" s="1"/>
  <c r="CA131"/>
  <c r="GL122" i="26"/>
  <c r="GL130" s="1"/>
  <c r="GL113"/>
  <c r="H261" i="12"/>
  <c r="EB179" i="26" s="1"/>
  <c r="EC179"/>
  <c r="I223" i="12"/>
  <c r="J222"/>
  <c r="CO200" i="26" s="1"/>
  <c r="CN191"/>
  <c r="CN195" s="1"/>
  <c r="CO197"/>
  <c r="ED196"/>
  <c r="BN188"/>
  <c r="EC150"/>
  <c r="EC120"/>
  <c r="GL135"/>
  <c r="GL136"/>
  <c r="GL137" s="1"/>
  <c r="GM112"/>
  <c r="GL127"/>
  <c r="GL138"/>
  <c r="R261" i="12"/>
  <c r="C261"/>
  <c r="O261"/>
  <c r="O262" s="1"/>
  <c r="P261"/>
  <c r="P262" s="1"/>
  <c r="B267"/>
  <c r="C266"/>
  <c r="K266"/>
  <c r="K265" s="1"/>
  <c r="K264" s="1"/>
  <c r="P266"/>
  <c r="Q266"/>
  <c r="Q265" s="1"/>
  <c r="Q264" s="1"/>
  <c r="O266"/>
  <c r="H266"/>
  <c r="R266"/>
  <c r="E266"/>
  <c r="E265" s="1"/>
  <c r="E264" s="1"/>
  <c r="EO53"/>
  <c r="EP52"/>
  <c r="EP53" s="1"/>
  <c r="F225"/>
  <c r="G225" s="1"/>
  <c r="M224"/>
  <c r="L225"/>
  <c r="G224"/>
  <c r="CH71" i="35" l="1"/>
  <c r="CI65" s="1"/>
  <c r="CI67" s="1"/>
  <c r="CI68" s="1"/>
  <c r="CI72" s="1"/>
  <c r="CH78"/>
  <c r="CC101"/>
  <c r="CD95" s="1"/>
  <c r="CD97" s="1"/>
  <c r="CD98" s="1"/>
  <c r="CD102" s="1"/>
  <c r="BX159" i="26"/>
  <c r="BX163" s="1"/>
  <c r="EM59" i="35"/>
  <c r="EM89"/>
  <c r="EO119"/>
  <c r="EH59"/>
  <c r="EH89"/>
  <c r="EJ119"/>
  <c r="CB125"/>
  <c r="L26"/>
  <c r="CC108"/>
  <c r="GM122" i="26"/>
  <c r="GM130" s="1"/>
  <c r="GM135" s="1"/>
  <c r="GM113"/>
  <c r="H265" i="12"/>
  <c r="EG179" i="26"/>
  <c r="CO191"/>
  <c r="CO195" s="1"/>
  <c r="CP197"/>
  <c r="EB198"/>
  <c r="EC198" s="1"/>
  <c r="ED198" s="1"/>
  <c r="EB196"/>
  <c r="BN189"/>
  <c r="BN193" s="1"/>
  <c r="J223" i="12"/>
  <c r="CP200" i="26" s="1"/>
  <c r="I224" i="12"/>
  <c r="EC196" i="26"/>
  <c r="P129"/>
  <c r="EG150"/>
  <c r="EG120"/>
  <c r="EB150"/>
  <c r="EB120"/>
  <c r="GM136"/>
  <c r="GM137" s="1"/>
  <c r="GN112"/>
  <c r="GM127"/>
  <c r="GM138"/>
  <c r="R265" i="12"/>
  <c r="C265"/>
  <c r="D261"/>
  <c r="D262" s="1"/>
  <c r="D263" s="1"/>
  <c r="B268"/>
  <c r="B269" s="1"/>
  <c r="N265"/>
  <c r="N266"/>
  <c r="N264"/>
  <c r="F226"/>
  <c r="G226" s="1"/>
  <c r="M225"/>
  <c r="L226"/>
  <c r="CI78" i="35" l="1"/>
  <c r="CI71"/>
  <c r="CJ65" s="1"/>
  <c r="CD101"/>
  <c r="CE95" s="1"/>
  <c r="CE97" s="1"/>
  <c r="CE98" s="1"/>
  <c r="CE102" s="1"/>
  <c r="BX169" i="26"/>
  <c r="BX162"/>
  <c r="BY156" s="1"/>
  <c r="EL59" i="35"/>
  <c r="EL89"/>
  <c r="EN119"/>
  <c r="CB127"/>
  <c r="CB128" s="1"/>
  <c r="CB138" s="1"/>
  <c r="CD108"/>
  <c r="L27"/>
  <c r="P212" i="33" s="1"/>
  <c r="M20" i="35"/>
  <c r="L28"/>
  <c r="GN122" i="26"/>
  <c r="GN130" s="1"/>
  <c r="GN113"/>
  <c r="P132"/>
  <c r="Q126" s="1"/>
  <c r="P133"/>
  <c r="P139"/>
  <c r="BN199"/>
  <c r="J224" i="12"/>
  <c r="CQ200" i="26" s="1"/>
  <c r="I225" i="12"/>
  <c r="CP191" i="26"/>
  <c r="CP195" s="1"/>
  <c r="CQ197"/>
  <c r="EG196"/>
  <c r="BN192"/>
  <c r="BO186" s="1"/>
  <c r="BO188" s="1"/>
  <c r="BO189" s="1"/>
  <c r="BO193" s="1"/>
  <c r="H264" i="12"/>
  <c r="EE179" i="26" s="1"/>
  <c r="EF179"/>
  <c r="EF150"/>
  <c r="EF120"/>
  <c r="GO112"/>
  <c r="GN127"/>
  <c r="GN138"/>
  <c r="GN136"/>
  <c r="GN137" s="1"/>
  <c r="C264" i="12"/>
  <c r="R264"/>
  <c r="P264"/>
  <c r="P265" s="1"/>
  <c r="O264"/>
  <c r="O265" s="1"/>
  <c r="E269"/>
  <c r="E268" s="1"/>
  <c r="E267" s="1"/>
  <c r="B270"/>
  <c r="B271" s="1"/>
  <c r="B272" s="1"/>
  <c r="R269"/>
  <c r="K269"/>
  <c r="K268" s="1"/>
  <c r="K267" s="1"/>
  <c r="P269"/>
  <c r="Q269"/>
  <c r="Q268" s="1"/>
  <c r="Q267" s="1"/>
  <c r="C269"/>
  <c r="H269"/>
  <c r="O269"/>
  <c r="M226"/>
  <c r="L227"/>
  <c r="F227"/>
  <c r="G227" s="1"/>
  <c r="CJ67" i="35" l="1"/>
  <c r="Q128" i="26"/>
  <c r="CB131" i="35"/>
  <c r="CC125" s="1"/>
  <c r="P218" i="33"/>
  <c r="P237" s="1"/>
  <c r="BY158" i="26"/>
  <c r="EP59" i="35"/>
  <c r="EP89"/>
  <c r="ER119"/>
  <c r="EK89"/>
  <c r="EK59"/>
  <c r="EM119"/>
  <c r="CB132"/>
  <c r="CE108"/>
  <c r="CE101"/>
  <c r="CF95" s="1"/>
  <c r="GO122" i="26"/>
  <c r="GO130" s="1"/>
  <c r="GO113"/>
  <c r="H268" i="12"/>
  <c r="EJ179" i="26"/>
  <c r="EE196"/>
  <c r="EE198"/>
  <c r="EF196"/>
  <c r="EF198"/>
  <c r="EG198" s="1"/>
  <c r="BO199"/>
  <c r="BO192"/>
  <c r="BP186" s="1"/>
  <c r="CQ191"/>
  <c r="CQ195" s="1"/>
  <c r="CR197"/>
  <c r="J225" i="12"/>
  <c r="CR200" i="26" s="1"/>
  <c r="I226" i="12"/>
  <c r="GN135" i="26"/>
  <c r="EE150"/>
  <c r="EE120"/>
  <c r="EJ150"/>
  <c r="EJ120"/>
  <c r="GP112"/>
  <c r="GO127"/>
  <c r="GO138"/>
  <c r="GO135"/>
  <c r="GO136"/>
  <c r="GO137" s="1"/>
  <c r="C268" i="12"/>
  <c r="R268"/>
  <c r="D264"/>
  <c r="D265" s="1"/>
  <c r="D266" s="1"/>
  <c r="E272"/>
  <c r="E271" s="1"/>
  <c r="E270" s="1"/>
  <c r="P272"/>
  <c r="K272"/>
  <c r="K271" s="1"/>
  <c r="K270" s="1"/>
  <c r="R272"/>
  <c r="Q272"/>
  <c r="Q271" s="1"/>
  <c r="Q270" s="1"/>
  <c r="B273"/>
  <c r="B274" s="1"/>
  <c r="B275" s="1"/>
  <c r="E275" s="1"/>
  <c r="E274" s="1"/>
  <c r="E273" s="1"/>
  <c r="C272"/>
  <c r="O272"/>
  <c r="H272"/>
  <c r="N268"/>
  <c r="N267"/>
  <c r="N269"/>
  <c r="O275"/>
  <c r="P275"/>
  <c r="M227"/>
  <c r="L228"/>
  <c r="F228"/>
  <c r="G228" s="1"/>
  <c r="CC127" i="35" l="1"/>
  <c r="CC128" s="1"/>
  <c r="CC132" s="1"/>
  <c r="CJ68"/>
  <c r="CJ78" s="1"/>
  <c r="P217" i="33"/>
  <c r="BY159" i="26"/>
  <c r="ES89" i="35"/>
  <c r="ES59"/>
  <c r="EU119"/>
  <c r="CF97"/>
  <c r="CF98" s="1"/>
  <c r="CF102" s="1"/>
  <c r="EO59"/>
  <c r="EO89"/>
  <c r="EQ119"/>
  <c r="GP122" i="26"/>
  <c r="GP130" s="1"/>
  <c r="GP113"/>
  <c r="J226" i="12"/>
  <c r="CS200" i="26" s="1"/>
  <c r="I227" i="12"/>
  <c r="CR191" i="26"/>
  <c r="CS197"/>
  <c r="EJ196"/>
  <c r="BP188"/>
  <c r="BP189" s="1"/>
  <c r="BP193" s="1"/>
  <c r="H271" i="12"/>
  <c r="EM179" i="26"/>
  <c r="H267" i="12"/>
  <c r="EH179" i="26" s="1"/>
  <c r="EI179"/>
  <c r="Q60"/>
  <c r="Q69" s="1"/>
  <c r="EM150"/>
  <c r="EM120"/>
  <c r="EI150"/>
  <c r="EI120"/>
  <c r="GQ112"/>
  <c r="GP127"/>
  <c r="GP138"/>
  <c r="GP135"/>
  <c r="GP136"/>
  <c r="GP137" s="1"/>
  <c r="C271" i="12"/>
  <c r="R271"/>
  <c r="R267"/>
  <c r="C267"/>
  <c r="K275"/>
  <c r="K274" s="1"/>
  <c r="K273" s="1"/>
  <c r="B276"/>
  <c r="B277" s="1"/>
  <c r="Q275"/>
  <c r="Q274" s="1"/>
  <c r="Q273" s="1"/>
  <c r="R275"/>
  <c r="C275"/>
  <c r="H275"/>
  <c r="P267"/>
  <c r="P268" s="1"/>
  <c r="O267"/>
  <c r="O268" s="1"/>
  <c r="N272"/>
  <c r="N270"/>
  <c r="N271"/>
  <c r="N274"/>
  <c r="N275"/>
  <c r="N273"/>
  <c r="M228"/>
  <c r="L229"/>
  <c r="F229"/>
  <c r="G229" s="1"/>
  <c r="CC131" i="35" l="1"/>
  <c r="CD125" s="1"/>
  <c r="CC138"/>
  <c r="CJ72"/>
  <c r="CJ71"/>
  <c r="CK65" s="1"/>
  <c r="BY160" i="26"/>
  <c r="EV89" i="35"/>
  <c r="EV59"/>
  <c r="EX119"/>
  <c r="EN59"/>
  <c r="EN89"/>
  <c r="EP119"/>
  <c r="CF108"/>
  <c r="CD127"/>
  <c r="CD128" s="1"/>
  <c r="ER89"/>
  <c r="ER59"/>
  <c r="ET119"/>
  <c r="CF101"/>
  <c r="CG95" s="1"/>
  <c r="GQ122" i="26"/>
  <c r="GQ130" s="1"/>
  <c r="GQ113"/>
  <c r="Q70"/>
  <c r="Q73" s="1"/>
  <c r="BP192"/>
  <c r="BQ186" s="1"/>
  <c r="BQ188" s="1"/>
  <c r="EI196"/>
  <c r="EM196"/>
  <c r="CR195"/>
  <c r="BP199"/>
  <c r="H274" i="12"/>
  <c r="EP179" i="26"/>
  <c r="EH196"/>
  <c r="EH198"/>
  <c r="EI198" s="1"/>
  <c r="EJ198" s="1"/>
  <c r="H270" i="12"/>
  <c r="EK179" i="26" s="1"/>
  <c r="EL179"/>
  <c r="CS191"/>
  <c r="CS195" s="1"/>
  <c r="CT197"/>
  <c r="J227" i="12"/>
  <c r="CT200" i="26" s="1"/>
  <c r="I228" i="12"/>
  <c r="EP150" i="26"/>
  <c r="EP120"/>
  <c r="EH150"/>
  <c r="EH120"/>
  <c r="EL150"/>
  <c r="EL120"/>
  <c r="GQ136"/>
  <c r="GQ137" s="1"/>
  <c r="GQ127"/>
  <c r="GQ138"/>
  <c r="C274" i="12"/>
  <c r="R274"/>
  <c r="D267"/>
  <c r="D268" s="1"/>
  <c r="D269" s="1"/>
  <c r="R270"/>
  <c r="C270"/>
  <c r="P270"/>
  <c r="P271" s="1"/>
  <c r="O270"/>
  <c r="O271" s="1"/>
  <c r="B278"/>
  <c r="P273"/>
  <c r="P274" s="1"/>
  <c r="O273"/>
  <c r="O274" s="1"/>
  <c r="F230"/>
  <c r="G230" s="1"/>
  <c r="M229"/>
  <c r="L230"/>
  <c r="CK67" i="35" l="1"/>
  <c r="CK68" s="1"/>
  <c r="CK72" s="1"/>
  <c r="Q79" i="26"/>
  <c r="Q75"/>
  <c r="Q72"/>
  <c r="R66" s="1"/>
  <c r="R68" s="1"/>
  <c r="BY165"/>
  <c r="BY169"/>
  <c r="BY162"/>
  <c r="BZ156" s="1"/>
  <c r="BY163"/>
  <c r="CD132" i="35"/>
  <c r="CD131"/>
  <c r="CE125" s="1"/>
  <c r="EQ59"/>
  <c r="EQ89"/>
  <c r="ES119"/>
  <c r="EU89"/>
  <c r="EU59"/>
  <c r="EW119"/>
  <c r="CG97"/>
  <c r="CG98" s="1"/>
  <c r="CD138"/>
  <c r="G21" i="26"/>
  <c r="G30" s="1"/>
  <c r="H21"/>
  <c r="I21"/>
  <c r="AA21"/>
  <c r="J21"/>
  <c r="AB21"/>
  <c r="K21"/>
  <c r="AB25"/>
  <c r="AC21"/>
  <c r="AB23"/>
  <c r="AC24"/>
  <c r="AD22"/>
  <c r="AB24"/>
  <c r="AA25"/>
  <c r="Z25"/>
  <c r="AD23"/>
  <c r="AB22"/>
  <c r="L21"/>
  <c r="Z21"/>
  <c r="AC23"/>
  <c r="AC22"/>
  <c r="AC25"/>
  <c r="AD25"/>
  <c r="AD24"/>
  <c r="AD21"/>
  <c r="N21"/>
  <c r="M21"/>
  <c r="P21"/>
  <c r="O21"/>
  <c r="R21"/>
  <c r="Q21"/>
  <c r="S21"/>
  <c r="T21"/>
  <c r="V21"/>
  <c r="U21"/>
  <c r="AA24"/>
  <c r="W21"/>
  <c r="X21"/>
  <c r="Y21"/>
  <c r="X25"/>
  <c r="Y25"/>
  <c r="G25"/>
  <c r="F27" s="1"/>
  <c r="F28" s="1"/>
  <c r="G22"/>
  <c r="G23"/>
  <c r="K288" i="33" s="1"/>
  <c r="G24" i="26"/>
  <c r="R24"/>
  <c r="BQ189"/>
  <c r="BQ193" s="1"/>
  <c r="EK196"/>
  <c r="EK198"/>
  <c r="H273" i="12"/>
  <c r="EN179" i="26" s="1"/>
  <c r="EO179"/>
  <c r="I229" i="12"/>
  <c r="J228"/>
  <c r="CU200" i="26" s="1"/>
  <c r="CT191"/>
  <c r="CU197"/>
  <c r="EL196"/>
  <c r="EL198"/>
  <c r="EM198" s="1"/>
  <c r="EP196"/>
  <c r="GQ135"/>
  <c r="EK150"/>
  <c r="EK120"/>
  <c r="EO150"/>
  <c r="EO120"/>
  <c r="D270" i="12"/>
  <c r="D271" s="1"/>
  <c r="D272" s="1"/>
  <c r="R273"/>
  <c r="C273"/>
  <c r="B279"/>
  <c r="P278"/>
  <c r="O278"/>
  <c r="K278"/>
  <c r="K277" s="1"/>
  <c r="K276" s="1"/>
  <c r="E278"/>
  <c r="E277" s="1"/>
  <c r="E276" s="1"/>
  <c r="R278"/>
  <c r="H278"/>
  <c r="C278"/>
  <c r="Q278"/>
  <c r="Q277" s="1"/>
  <c r="Q276" s="1"/>
  <c r="M230"/>
  <c r="L231"/>
  <c r="F231"/>
  <c r="G231" s="1"/>
  <c r="K372" i="33" l="1"/>
  <c r="F48" i="39" s="1"/>
  <c r="K33" i="37"/>
  <c r="K36" s="1"/>
  <c r="CK71" i="35"/>
  <c r="CL65" s="1"/>
  <c r="CL67" s="1"/>
  <c r="CL68" s="1"/>
  <c r="CL72" s="1"/>
  <c r="CK78"/>
  <c r="BZ158" i="26"/>
  <c r="BZ159" s="1"/>
  <c r="BZ163" s="1"/>
  <c r="K286" i="33"/>
  <c r="BZ162" i="26"/>
  <c r="CA156" s="1"/>
  <c r="CG102" i="35"/>
  <c r="CG101"/>
  <c r="CH95" s="1"/>
  <c r="EY59"/>
  <c r="EY89"/>
  <c r="FA119"/>
  <c r="ET89"/>
  <c r="ET59"/>
  <c r="EV119"/>
  <c r="CG108"/>
  <c r="CE127"/>
  <c r="H31" i="26"/>
  <c r="I31" s="1"/>
  <c r="J31" s="1"/>
  <c r="BQ199"/>
  <c r="BQ192"/>
  <c r="BR186" s="1"/>
  <c r="H277" i="12"/>
  <c r="ES179" i="26"/>
  <c r="CU191"/>
  <c r="CU195" s="1"/>
  <c r="CV197"/>
  <c r="EO196"/>
  <c r="CT195"/>
  <c r="J229" i="12"/>
  <c r="CV200" i="26" s="1"/>
  <c r="I230" i="12"/>
  <c r="EN196" i="26"/>
  <c r="EN198"/>
  <c r="EO198" s="1"/>
  <c r="EP198" s="1"/>
  <c r="Q129"/>
  <c r="ES150"/>
  <c r="ES120"/>
  <c r="EN150"/>
  <c r="EN120"/>
  <c r="C277" i="12"/>
  <c r="R277"/>
  <c r="D273"/>
  <c r="D274" s="1"/>
  <c r="D275" s="1"/>
  <c r="N278"/>
  <c r="N277"/>
  <c r="N276"/>
  <c r="B280"/>
  <c r="F232"/>
  <c r="G232" s="1"/>
  <c r="M231"/>
  <c r="L232"/>
  <c r="CL78" i="35" l="1"/>
  <c r="CL71"/>
  <c r="CM65" s="1"/>
  <c r="CA158" i="26"/>
  <c r="CA159" s="1"/>
  <c r="CA163" s="1"/>
  <c r="BZ169"/>
  <c r="K289" i="33"/>
  <c r="K293" s="1"/>
  <c r="EX59" i="35"/>
  <c r="EX89"/>
  <c r="EZ119"/>
  <c r="CE128"/>
  <c r="CE131" s="1"/>
  <c r="CF125" s="1"/>
  <c r="CH97"/>
  <c r="CH98" s="1"/>
  <c r="CH102" s="1"/>
  <c r="H30" i="26"/>
  <c r="I30" s="1"/>
  <c r="J30" s="1"/>
  <c r="K31"/>
  <c r="L31" s="1"/>
  <c r="M31" s="1"/>
  <c r="N31" s="1"/>
  <c r="O31" s="1"/>
  <c r="P31" s="1"/>
  <c r="Q31" s="1"/>
  <c r="R31" s="1"/>
  <c r="S31" s="1"/>
  <c r="T31" s="1"/>
  <c r="U31" s="1"/>
  <c r="V31" s="1"/>
  <c r="W31" s="1"/>
  <c r="X31" s="1"/>
  <c r="Y31" s="1"/>
  <c r="Q130"/>
  <c r="Q135" s="1"/>
  <c r="BR188"/>
  <c r="BR189" s="1"/>
  <c r="BR193" s="1"/>
  <c r="CV191"/>
  <c r="CW197"/>
  <c r="ES196"/>
  <c r="J230" i="12"/>
  <c r="I231"/>
  <c r="H276"/>
  <c r="EQ179" i="26" s="1"/>
  <c r="ER179"/>
  <c r="ER150"/>
  <c r="ER120"/>
  <c r="R276" i="12"/>
  <c r="C276"/>
  <c r="P276"/>
  <c r="P277" s="1"/>
  <c r="O276"/>
  <c r="O277" s="1"/>
  <c r="B281"/>
  <c r="M232"/>
  <c r="L233"/>
  <c r="F233"/>
  <c r="G233" s="1"/>
  <c r="K341" i="33" l="1"/>
  <c r="F28" i="39"/>
  <c r="CA169" i="26"/>
  <c r="CA162"/>
  <c r="CB156" s="1"/>
  <c r="CM67" i="35"/>
  <c r="CM68" s="1"/>
  <c r="CM72" s="1"/>
  <c r="K297" i="33"/>
  <c r="K294"/>
  <c r="CB158" i="26"/>
  <c r="CB159" s="1"/>
  <c r="CB163" s="1"/>
  <c r="EW59" i="35"/>
  <c r="EW89"/>
  <c r="EY119"/>
  <c r="CE132"/>
  <c r="CF127" s="1"/>
  <c r="CE138"/>
  <c r="CH101"/>
  <c r="CI95" s="1"/>
  <c r="CH108"/>
  <c r="Q132" i="26"/>
  <c r="R126" s="1"/>
  <c r="Q139"/>
  <c r="H24"/>
  <c r="K30"/>
  <c r="L30" s="1"/>
  <c r="M30" s="1"/>
  <c r="N30" s="1"/>
  <c r="O30" s="1"/>
  <c r="P30" s="1"/>
  <c r="Q30" s="1"/>
  <c r="R30" s="1"/>
  <c r="S30" s="1"/>
  <c r="T30" s="1"/>
  <c r="U30" s="1"/>
  <c r="V30" s="1"/>
  <c r="W30" s="1"/>
  <c r="X30" s="1"/>
  <c r="BR199"/>
  <c r="Q133"/>
  <c r="BR192"/>
  <c r="BS186" s="1"/>
  <c r="ER196"/>
  <c r="J231" i="12"/>
  <c r="CX200" i="26" s="1"/>
  <c r="I232" i="12"/>
  <c r="CV195" i="26"/>
  <c r="EQ196"/>
  <c r="EQ198"/>
  <c r="ER198" s="1"/>
  <c r="ES198" s="1"/>
  <c r="I66" i="30"/>
  <c r="J66" s="1"/>
  <c r="CW200" i="26"/>
  <c r="CW191"/>
  <c r="CX197"/>
  <c r="EQ150"/>
  <c r="EQ120"/>
  <c r="D276" i="12"/>
  <c r="D277" s="1"/>
  <c r="D278" s="1"/>
  <c r="B282"/>
  <c r="R281"/>
  <c r="O281"/>
  <c r="H281"/>
  <c r="C281"/>
  <c r="K281"/>
  <c r="K280" s="1"/>
  <c r="K279" s="1"/>
  <c r="E281"/>
  <c r="E280" s="1"/>
  <c r="E279" s="1"/>
  <c r="P281"/>
  <c r="Q281"/>
  <c r="Q280" s="1"/>
  <c r="Q279" s="1"/>
  <c r="M233"/>
  <c r="L234"/>
  <c r="F234"/>
  <c r="F29" i="39" l="1"/>
  <c r="R128" i="26"/>
  <c r="CM78" i="35"/>
  <c r="CM71"/>
  <c r="CN65" s="1"/>
  <c r="CF128"/>
  <c r="CF138" s="1"/>
  <c r="K298" i="33"/>
  <c r="K331"/>
  <c r="CB162" i="26"/>
  <c r="CC156" s="1"/>
  <c r="CC158" s="1"/>
  <c r="CC159" s="1"/>
  <c r="CC163" s="1"/>
  <c r="CB169"/>
  <c r="CI97" i="35"/>
  <c r="CI98" s="1"/>
  <c r="FB59"/>
  <c r="FB89"/>
  <c r="FD119"/>
  <c r="BS188" i="26"/>
  <c r="BS189" s="1"/>
  <c r="BS193" s="1"/>
  <c r="H280" i="12"/>
  <c r="EV179" i="26"/>
  <c r="CX191"/>
  <c r="CY197"/>
  <c r="J232" i="12"/>
  <c r="CY200" i="26" s="1"/>
  <c r="I233" i="12"/>
  <c r="EV150" i="26"/>
  <c r="EV120"/>
  <c r="C280" i="12"/>
  <c r="R280"/>
  <c r="N280"/>
  <c r="N281"/>
  <c r="N279"/>
  <c r="B283"/>
  <c r="F235"/>
  <c r="G235" s="1"/>
  <c r="M234"/>
  <c r="L235"/>
  <c r="G234"/>
  <c r="K330" i="33" l="1"/>
  <c r="K353"/>
  <c r="F38" i="39" s="1"/>
  <c r="K332" i="33"/>
  <c r="K337" s="1"/>
  <c r="K322"/>
  <c r="CN67" i="35"/>
  <c r="CN68" s="1"/>
  <c r="CF132"/>
  <c r="CF131"/>
  <c r="CG125" s="1"/>
  <c r="CC162" i="26"/>
  <c r="CD156" s="1"/>
  <c r="CC169"/>
  <c r="CI102" i="35"/>
  <c r="CI108"/>
  <c r="FA59"/>
  <c r="FA89"/>
  <c r="FC119"/>
  <c r="CI101"/>
  <c r="CJ95" s="1"/>
  <c r="BS199" i="26"/>
  <c r="BS192"/>
  <c r="BT186" s="1"/>
  <c r="BT188" s="1"/>
  <c r="BT189" s="1"/>
  <c r="BT193" s="1"/>
  <c r="CX195"/>
  <c r="H279" i="12"/>
  <c r="ET179" i="26" s="1"/>
  <c r="EU179"/>
  <c r="I234" i="12"/>
  <c r="J233"/>
  <c r="CZ200" i="26" s="1"/>
  <c r="CY191"/>
  <c r="CY195" s="1"/>
  <c r="CZ197"/>
  <c r="EV196"/>
  <c r="EU150"/>
  <c r="EU120"/>
  <c r="R279" i="12"/>
  <c r="C279"/>
  <c r="O279"/>
  <c r="O280" s="1"/>
  <c r="P279"/>
  <c r="P280" s="1"/>
  <c r="B284"/>
  <c r="F236"/>
  <c r="G236" s="1"/>
  <c r="M235"/>
  <c r="L236"/>
  <c r="CN72" i="35" l="1"/>
  <c r="CN78"/>
  <c r="CN71"/>
  <c r="CO65" s="1"/>
  <c r="CG127"/>
  <c r="CD158" i="26"/>
  <c r="CD159" s="1"/>
  <c r="CD163" s="1"/>
  <c r="EZ89" i="35"/>
  <c r="EZ59"/>
  <c r="FB119"/>
  <c r="CJ97"/>
  <c r="CJ98" s="1"/>
  <c r="BT192" i="26"/>
  <c r="BU186" s="1"/>
  <c r="BU188" s="1"/>
  <c r="BU189" s="1"/>
  <c r="BU193" s="1"/>
  <c r="BT199"/>
  <c r="J234" i="12"/>
  <c r="DA200" i="26" s="1"/>
  <c r="I235" i="12"/>
  <c r="EU196" i="26"/>
  <c r="CZ191"/>
  <c r="CZ195" s="1"/>
  <c r="DA197"/>
  <c r="ET196"/>
  <c r="ET198"/>
  <c r="EU198" s="1"/>
  <c r="EV198" s="1"/>
  <c r="ET150"/>
  <c r="ET120"/>
  <c r="D279" i="12"/>
  <c r="D280" s="1"/>
  <c r="D281" s="1"/>
  <c r="B285"/>
  <c r="K284"/>
  <c r="K283" s="1"/>
  <c r="K282" s="1"/>
  <c r="O284"/>
  <c r="C284"/>
  <c r="E284"/>
  <c r="E283" s="1"/>
  <c r="E282" s="1"/>
  <c r="R284"/>
  <c r="H284"/>
  <c r="P284"/>
  <c r="Q284"/>
  <c r="Q283" s="1"/>
  <c r="Q282" s="1"/>
  <c r="M236"/>
  <c r="L237"/>
  <c r="F237"/>
  <c r="CO67" i="35" l="1"/>
  <c r="CO68" s="1"/>
  <c r="CO72" s="1"/>
  <c r="CG128"/>
  <c r="CG131" s="1"/>
  <c r="CH125" s="1"/>
  <c r="CD162" i="26"/>
  <c r="CE156" s="1"/>
  <c r="CE158" s="1"/>
  <c r="CE159" s="1"/>
  <c r="CE163" s="1"/>
  <c r="CD169"/>
  <c r="CJ102" i="35"/>
  <c r="CJ108"/>
  <c r="CJ101"/>
  <c r="CK95" s="1"/>
  <c r="FE59"/>
  <c r="FE89"/>
  <c r="FG119"/>
  <c r="BU192" i="26"/>
  <c r="BV186" s="1"/>
  <c r="BV188" s="1"/>
  <c r="BV189" s="1"/>
  <c r="BV193" s="1"/>
  <c r="BU199"/>
  <c r="H283" i="12"/>
  <c r="EY179" i="26"/>
  <c r="DA191"/>
  <c r="DA195" s="1"/>
  <c r="DB197"/>
  <c r="J235" i="12"/>
  <c r="DB200" i="26" s="1"/>
  <c r="I236" i="12"/>
  <c r="R60" i="26"/>
  <c r="R69" s="1"/>
  <c r="EY150"/>
  <c r="EY120"/>
  <c r="R283" i="12"/>
  <c r="C283"/>
  <c r="N283"/>
  <c r="N284"/>
  <c r="N282"/>
  <c r="B286"/>
  <c r="F238"/>
  <c r="G238" s="1"/>
  <c r="M237"/>
  <c r="L238"/>
  <c r="G237"/>
  <c r="CG132" i="35" l="1"/>
  <c r="CO71"/>
  <c r="CP65" s="1"/>
  <c r="CP67" s="1"/>
  <c r="CP68" s="1"/>
  <c r="CP72" s="1"/>
  <c r="CG138"/>
  <c r="CO78"/>
  <c r="CH127"/>
  <c r="CH128" s="1"/>
  <c r="CE162" i="26"/>
  <c r="CF156" s="1"/>
  <c r="CF158" s="1"/>
  <c r="CE169"/>
  <c r="CK97" i="35"/>
  <c r="CK98" s="1"/>
  <c r="FD89"/>
  <c r="FD59"/>
  <c r="FF119"/>
  <c r="R70" i="26"/>
  <c r="R75" s="1"/>
  <c r="BV199"/>
  <c r="BV192"/>
  <c r="BW186" s="1"/>
  <c r="H282" i="12"/>
  <c r="EW179" i="26" s="1"/>
  <c r="EX179"/>
  <c r="J236" i="12"/>
  <c r="DC200" i="26" s="1"/>
  <c r="I237" i="12"/>
  <c r="DB191" i="26"/>
  <c r="DB195" s="1"/>
  <c r="DC197"/>
  <c r="EY196"/>
  <c r="EX150"/>
  <c r="EX120"/>
  <c r="C282" i="12"/>
  <c r="R282"/>
  <c r="O282"/>
  <c r="O283" s="1"/>
  <c r="P282"/>
  <c r="P283" s="1"/>
  <c r="B287"/>
  <c r="M238"/>
  <c r="L239"/>
  <c r="F239"/>
  <c r="G239" s="1"/>
  <c r="CP71" i="35" l="1"/>
  <c r="CQ65" s="1"/>
  <c r="CQ67" s="1"/>
  <c r="CQ68" s="1"/>
  <c r="CQ72" s="1"/>
  <c r="CP78"/>
  <c r="CH132"/>
  <c r="CH138"/>
  <c r="CH131"/>
  <c r="CI125" s="1"/>
  <c r="CI127" s="1"/>
  <c r="CF159" i="26"/>
  <c r="CF163" s="1"/>
  <c r="CK102" i="35"/>
  <c r="CK101"/>
  <c r="CK108"/>
  <c r="FC59"/>
  <c r="FC89"/>
  <c r="FE119"/>
  <c r="R73" i="26"/>
  <c r="S24"/>
  <c r="R72"/>
  <c r="R79"/>
  <c r="BW188"/>
  <c r="BW189" s="1"/>
  <c r="BW193" s="1"/>
  <c r="DC191"/>
  <c r="DC195" s="1"/>
  <c r="DD197"/>
  <c r="J237" i="12"/>
  <c r="DD200" i="26" s="1"/>
  <c r="I238" i="12"/>
  <c r="EW196" i="26"/>
  <c r="EW198"/>
  <c r="EX198" s="1"/>
  <c r="EY198" s="1"/>
  <c r="EX196"/>
  <c r="S66"/>
  <c r="EW150"/>
  <c r="EW120"/>
  <c r="D282" i="12"/>
  <c r="D283" s="1"/>
  <c r="D284" s="1"/>
  <c r="E287"/>
  <c r="E286" s="1"/>
  <c r="E285" s="1"/>
  <c r="B288"/>
  <c r="R287"/>
  <c r="H287"/>
  <c r="K287"/>
  <c r="K286" s="1"/>
  <c r="K285" s="1"/>
  <c r="C287"/>
  <c r="O287"/>
  <c r="P287"/>
  <c r="Q287"/>
  <c r="Q286" s="1"/>
  <c r="Q285" s="1"/>
  <c r="M239"/>
  <c r="L240"/>
  <c r="F240"/>
  <c r="G240" s="1"/>
  <c r="S68" i="26" l="1"/>
  <c r="CQ78" i="35"/>
  <c r="CQ71"/>
  <c r="CR65" s="1"/>
  <c r="CI128"/>
  <c r="CI132" s="1"/>
  <c r="CF162" i="26"/>
  <c r="CG156" s="1"/>
  <c r="CG158" s="1"/>
  <c r="CG159" s="1"/>
  <c r="CG163" s="1"/>
  <c r="CF169"/>
  <c r="FH59" i="35"/>
  <c r="FH89"/>
  <c r="FJ119"/>
  <c r="CL95"/>
  <c r="BW192" i="26"/>
  <c r="BX186" s="1"/>
  <c r="BW199"/>
  <c r="H286" i="12"/>
  <c r="FB179" i="26"/>
  <c r="J238" i="12"/>
  <c r="DE200" i="26" s="1"/>
  <c r="I239" i="12"/>
  <c r="DD191" i="26"/>
  <c r="DE197"/>
  <c r="FB150"/>
  <c r="FB120"/>
  <c r="C286" i="12"/>
  <c r="R286"/>
  <c r="N285"/>
  <c r="N286"/>
  <c r="N287"/>
  <c r="B289"/>
  <c r="M240"/>
  <c r="L241"/>
  <c r="F241"/>
  <c r="CR67" i="35" l="1"/>
  <c r="CR68" s="1"/>
  <c r="CR72" s="1"/>
  <c r="CI138"/>
  <c r="CI131"/>
  <c r="CJ125" s="1"/>
  <c r="CJ127" s="1"/>
  <c r="CJ128" s="1"/>
  <c r="CJ132" s="1"/>
  <c r="CG169" i="26"/>
  <c r="CG162"/>
  <c r="CH156" s="1"/>
  <c r="FG59" i="35"/>
  <c r="FG89"/>
  <c r="FI119"/>
  <c r="CL97"/>
  <c r="CL98" s="1"/>
  <c r="CL102" s="1"/>
  <c r="BX188" i="26"/>
  <c r="BX189" s="1"/>
  <c r="BX193" s="1"/>
  <c r="DD195"/>
  <c r="DE191"/>
  <c r="DE195" s="1"/>
  <c r="DF197"/>
  <c r="I240" i="12"/>
  <c r="J239"/>
  <c r="DF200" i="26" s="1"/>
  <c r="FB196"/>
  <c r="H285" i="12"/>
  <c r="EZ179" i="26" s="1"/>
  <c r="FA179"/>
  <c r="FA150"/>
  <c r="FA120"/>
  <c r="R285" i="12"/>
  <c r="C285"/>
  <c r="O285"/>
  <c r="O286" s="1"/>
  <c r="P285"/>
  <c r="P286" s="1"/>
  <c r="B290"/>
  <c r="F242"/>
  <c r="G242" s="1"/>
  <c r="M241"/>
  <c r="L242"/>
  <c r="G241"/>
  <c r="CR71" i="35" l="1"/>
  <c r="CS65" s="1"/>
  <c r="CS67" s="1"/>
  <c r="CS68" s="1"/>
  <c r="CS72" s="1"/>
  <c r="CR78"/>
  <c r="CJ131"/>
  <c r="CK125" s="1"/>
  <c r="CJ138"/>
  <c r="CL101"/>
  <c r="CM95" s="1"/>
  <c r="CH158" i="26"/>
  <c r="CM97" i="35"/>
  <c r="CM98" s="1"/>
  <c r="FF59"/>
  <c r="FF89"/>
  <c r="FH119"/>
  <c r="CL108"/>
  <c r="BX199" i="26"/>
  <c r="BX192"/>
  <c r="BY186" s="1"/>
  <c r="EZ196"/>
  <c r="EZ198"/>
  <c r="DF191"/>
  <c r="DG197"/>
  <c r="FA196"/>
  <c r="FA198"/>
  <c r="FB198" s="1"/>
  <c r="J240" i="12"/>
  <c r="DG200" i="26" s="1"/>
  <c r="I241" i="12"/>
  <c r="EZ150" i="26"/>
  <c r="EZ120"/>
  <c r="D285" i="12"/>
  <c r="D286" s="1"/>
  <c r="D287" s="1"/>
  <c r="B291"/>
  <c r="O290"/>
  <c r="R290"/>
  <c r="P290"/>
  <c r="C290"/>
  <c r="K290"/>
  <c r="K289" s="1"/>
  <c r="K288" s="1"/>
  <c r="E290"/>
  <c r="E289" s="1"/>
  <c r="E288" s="1"/>
  <c r="H290"/>
  <c r="Q290"/>
  <c r="Q289" s="1"/>
  <c r="Q288" s="1"/>
  <c r="M242"/>
  <c r="L243"/>
  <c r="F243"/>
  <c r="G243" s="1"/>
  <c r="CS71" i="35" l="1"/>
  <c r="CT65" s="1"/>
  <c r="CS78"/>
  <c r="CK127"/>
  <c r="CH159" i="26"/>
  <c r="CH163" s="1"/>
  <c r="CM102" i="35"/>
  <c r="CM101"/>
  <c r="CN95" s="1"/>
  <c r="CM108"/>
  <c r="FK59"/>
  <c r="FK89"/>
  <c r="FM119"/>
  <c r="BY188" i="26"/>
  <c r="BY189" s="1"/>
  <c r="DF195"/>
  <c r="H289" i="12"/>
  <c r="FE179" i="26"/>
  <c r="J241" i="12"/>
  <c r="DH200" i="26" s="1"/>
  <c r="I242" i="12"/>
  <c r="DG191" i="26"/>
  <c r="DG195" s="1"/>
  <c r="DH197"/>
  <c r="R129"/>
  <c r="R133" s="1"/>
  <c r="FE150"/>
  <c r="FE120"/>
  <c r="C289" i="12"/>
  <c r="R289"/>
  <c r="B292"/>
  <c r="N290"/>
  <c r="N289"/>
  <c r="N288"/>
  <c r="F244"/>
  <c r="G244" s="1"/>
  <c r="M243"/>
  <c r="L244"/>
  <c r="CK128" i="35" l="1"/>
  <c r="CK132" s="1"/>
  <c r="CT67"/>
  <c r="CT68" s="1"/>
  <c r="CH169" i="26"/>
  <c r="CH162"/>
  <c r="CI156" s="1"/>
  <c r="CI158" s="1"/>
  <c r="CI159" s="1"/>
  <c r="CI163" s="1"/>
  <c r="CK138" i="35"/>
  <c r="FJ89"/>
  <c r="FJ59"/>
  <c r="FL119"/>
  <c r="CN97"/>
  <c r="CN98" s="1"/>
  <c r="CN102" s="1"/>
  <c r="BY190" i="26"/>
  <c r="BY192" s="1"/>
  <c r="BZ186" s="1"/>
  <c r="R139"/>
  <c r="DH191"/>
  <c r="DI197"/>
  <c r="J242" i="12"/>
  <c r="I243"/>
  <c r="FE196" i="26"/>
  <c r="H288" i="12"/>
  <c r="FC179" i="26" s="1"/>
  <c r="FD179"/>
  <c r="R135"/>
  <c r="FD150"/>
  <c r="FD120"/>
  <c r="R132"/>
  <c r="S126" s="1"/>
  <c r="S128" s="1"/>
  <c r="R288" i="12"/>
  <c r="C288"/>
  <c r="B293"/>
  <c r="P288"/>
  <c r="P289" s="1"/>
  <c r="O288"/>
  <c r="O289" s="1"/>
  <c r="M244"/>
  <c r="L245"/>
  <c r="F245"/>
  <c r="G245" s="1"/>
  <c r="BY195" i="26" l="1"/>
  <c r="CK131" i="35"/>
  <c r="CL125" s="1"/>
  <c r="CL127" s="1"/>
  <c r="CL128" s="1"/>
  <c r="CL132" s="1"/>
  <c r="CT72"/>
  <c r="CT78"/>
  <c r="CT71"/>
  <c r="CU65" s="1"/>
  <c r="CN108"/>
  <c r="CI162" i="26"/>
  <c r="CJ156" s="1"/>
  <c r="CJ158" s="1"/>
  <c r="CI169"/>
  <c r="FI59" i="35"/>
  <c r="FI89"/>
  <c r="FK119"/>
  <c r="CN101"/>
  <c r="CO95" s="1"/>
  <c r="BY199" i="26"/>
  <c r="BY193"/>
  <c r="M24"/>
  <c r="BZ188"/>
  <c r="BZ189" s="1"/>
  <c r="BZ193" s="1"/>
  <c r="FC196"/>
  <c r="FC198"/>
  <c r="DI200"/>
  <c r="I67" i="30"/>
  <c r="J67" s="1"/>
  <c r="DH195" i="26"/>
  <c r="FD198"/>
  <c r="FE198" s="1"/>
  <c r="FD196"/>
  <c r="J243" i="12"/>
  <c r="DJ200" i="26" s="1"/>
  <c r="I244" i="12"/>
  <c r="DI191" i="26"/>
  <c r="DJ197"/>
  <c r="FC150"/>
  <c r="FC120"/>
  <c r="D288" i="12"/>
  <c r="D289" s="1"/>
  <c r="D290" s="1"/>
  <c r="B294"/>
  <c r="C293"/>
  <c r="K293"/>
  <c r="K292" s="1"/>
  <c r="K291" s="1"/>
  <c r="R293"/>
  <c r="E293"/>
  <c r="E292" s="1"/>
  <c r="E291" s="1"/>
  <c r="H293"/>
  <c r="P293"/>
  <c r="O293"/>
  <c r="Q293"/>
  <c r="Q292" s="1"/>
  <c r="Q291" s="1"/>
  <c r="M245"/>
  <c r="L246"/>
  <c r="F246"/>
  <c r="G246" s="1"/>
  <c r="CL138" i="35" l="1"/>
  <c r="CL131"/>
  <c r="CM125" s="1"/>
  <c r="CM127" s="1"/>
  <c r="CM128" s="1"/>
  <c r="CM132" s="1"/>
  <c r="CU67"/>
  <c r="CJ159" i="26"/>
  <c r="CJ163" s="1"/>
  <c r="FN59" i="35"/>
  <c r="FN89"/>
  <c r="FP119"/>
  <c r="CM131"/>
  <c r="CO97"/>
  <c r="CO98" s="1"/>
  <c r="CO102" s="1"/>
  <c r="BZ192" i="26"/>
  <c r="CA186" s="1"/>
  <c r="BZ199"/>
  <c r="DJ191"/>
  <c r="DJ195" s="1"/>
  <c r="DK197"/>
  <c r="J244" i="12"/>
  <c r="DK200" i="26" s="1"/>
  <c r="I245" i="12"/>
  <c r="H292"/>
  <c r="FH179" i="26"/>
  <c r="FH150"/>
  <c r="FH120"/>
  <c r="R292" i="12"/>
  <c r="C292"/>
  <c r="B295"/>
  <c r="N292"/>
  <c r="N293"/>
  <c r="N291"/>
  <c r="F247"/>
  <c r="G247" s="1"/>
  <c r="M246"/>
  <c r="L247"/>
  <c r="CM138" i="35" l="1"/>
  <c r="CO101"/>
  <c r="CP95" s="1"/>
  <c r="CP97" s="1"/>
  <c r="CU68"/>
  <c r="CU72" s="1"/>
  <c r="CJ162" i="26"/>
  <c r="CK156" s="1"/>
  <c r="CK158" s="1"/>
  <c r="CK159" s="1"/>
  <c r="CK160" s="1"/>
  <c r="CK165" s="1"/>
  <c r="CJ169"/>
  <c r="CO108" i="35"/>
  <c r="FM59"/>
  <c r="FM89"/>
  <c r="FO119"/>
  <c r="CN125"/>
  <c r="M26"/>
  <c r="CA188" i="26"/>
  <c r="CA189" s="1"/>
  <c r="CA193" s="1"/>
  <c r="H291" i="12"/>
  <c r="FF179" i="26" s="1"/>
  <c r="FG179"/>
  <c r="FH196"/>
  <c r="J245" i="12"/>
  <c r="DL200" i="26" s="1"/>
  <c r="I246" i="12"/>
  <c r="DK191" i="26"/>
  <c r="DK195" s="1"/>
  <c r="DL197"/>
  <c r="FG150"/>
  <c r="FG120"/>
  <c r="C291" i="12"/>
  <c r="R291"/>
  <c r="P291"/>
  <c r="P292" s="1"/>
  <c r="O291"/>
  <c r="O292" s="1"/>
  <c r="B296"/>
  <c r="M247"/>
  <c r="L248"/>
  <c r="F248"/>
  <c r="G248" s="1"/>
  <c r="CU78" i="35" l="1"/>
  <c r="CU71"/>
  <c r="CV65" s="1"/>
  <c r="CK162" i="26"/>
  <c r="CL156" s="1"/>
  <c r="CK163"/>
  <c r="CK169"/>
  <c r="FL59" i="35"/>
  <c r="FL89"/>
  <c r="FN119"/>
  <c r="M27"/>
  <c r="Q212" i="33" s="1"/>
  <c r="N20" i="35"/>
  <c r="CP98"/>
  <c r="CP102" s="1"/>
  <c r="CN127"/>
  <c r="CN128" s="1"/>
  <c r="CA199" i="26"/>
  <c r="CA192"/>
  <c r="CB186" s="1"/>
  <c r="DL191"/>
  <c r="DL195" s="1"/>
  <c r="DM197"/>
  <c r="J246" i="12"/>
  <c r="DM200" i="26" s="1"/>
  <c r="I247" i="12"/>
  <c r="FF196" i="26"/>
  <c r="FF198"/>
  <c r="FG198" s="1"/>
  <c r="FH198" s="1"/>
  <c r="FG196"/>
  <c r="FF150"/>
  <c r="FF120"/>
  <c r="D291" i="12"/>
  <c r="D292" s="1"/>
  <c r="D293" s="1"/>
  <c r="B297"/>
  <c r="P296"/>
  <c r="R296"/>
  <c r="E296"/>
  <c r="E295" s="1"/>
  <c r="E294" s="1"/>
  <c r="H296"/>
  <c r="C296"/>
  <c r="O296"/>
  <c r="K296"/>
  <c r="K295" s="1"/>
  <c r="K294" s="1"/>
  <c r="Q296"/>
  <c r="Q295" s="1"/>
  <c r="Q294" s="1"/>
  <c r="F249"/>
  <c r="G249" s="1"/>
  <c r="M248"/>
  <c r="L249"/>
  <c r="CV67" i="35" l="1"/>
  <c r="CL158" i="26"/>
  <c r="CL159" s="1"/>
  <c r="CL163" s="1"/>
  <c r="CN138" i="35"/>
  <c r="CN131"/>
  <c r="CO125" s="1"/>
  <c r="CP108"/>
  <c r="FQ59"/>
  <c r="FQ89"/>
  <c r="FS119"/>
  <c r="CP101"/>
  <c r="CQ95" s="1"/>
  <c r="CN132"/>
  <c r="CO127" s="1"/>
  <c r="M28"/>
  <c r="CB188" i="26"/>
  <c r="CB189" s="1"/>
  <c r="CB193" s="1"/>
  <c r="H295" i="12"/>
  <c r="FK179" i="26"/>
  <c r="I248" i="12"/>
  <c r="J247"/>
  <c r="DN200" i="26" s="1"/>
  <c r="DM191"/>
  <c r="DM195" s="1"/>
  <c r="DN197"/>
  <c r="S60"/>
  <c r="S69" s="1"/>
  <c r="FK150"/>
  <c r="FK120"/>
  <c r="C295" i="12"/>
  <c r="R295"/>
  <c r="N296"/>
  <c r="N295"/>
  <c r="N294"/>
  <c r="B298"/>
  <c r="M249"/>
  <c r="L250"/>
  <c r="F250"/>
  <c r="G250" s="1"/>
  <c r="CV68" i="35" l="1"/>
  <c r="CV72" s="1"/>
  <c r="CL169" i="26"/>
  <c r="CL162"/>
  <c r="CM156" s="1"/>
  <c r="CM158" s="1"/>
  <c r="Q218" i="33"/>
  <c r="Q237" s="1"/>
  <c r="CO128" i="35"/>
  <c r="CO131" s="1"/>
  <c r="CP125" s="1"/>
  <c r="FP89"/>
  <c r="FP59"/>
  <c r="FR119"/>
  <c r="CQ97"/>
  <c r="CQ98" s="1"/>
  <c r="CQ102" s="1"/>
  <c r="S70" i="26"/>
  <c r="CB192"/>
  <c r="CC186" s="1"/>
  <c r="CC188" s="1"/>
  <c r="CC189" s="1"/>
  <c r="CC193" s="1"/>
  <c r="CB199"/>
  <c r="DN191"/>
  <c r="DN195" s="1"/>
  <c r="DO197"/>
  <c r="FK196"/>
  <c r="I249" i="12"/>
  <c r="J248"/>
  <c r="DO200" i="26" s="1"/>
  <c r="H294" i="12"/>
  <c r="FI179" i="26" s="1"/>
  <c r="FJ179"/>
  <c r="FJ150"/>
  <c r="FJ120"/>
  <c r="S72"/>
  <c r="R294" i="12"/>
  <c r="C294"/>
  <c r="P294"/>
  <c r="P295" s="1"/>
  <c r="O294"/>
  <c r="O295" s="1"/>
  <c r="B299"/>
  <c r="F251"/>
  <c r="G251" s="1"/>
  <c r="M250"/>
  <c r="L251"/>
  <c r="CV78" i="35" l="1"/>
  <c r="CV71"/>
  <c r="CW65" s="1"/>
  <c r="CM159" i="26"/>
  <c r="CM163" s="1"/>
  <c r="CQ108" i="35"/>
  <c r="Q217" i="33"/>
  <c r="FO89" i="35"/>
  <c r="FO59"/>
  <c r="FQ119"/>
  <c r="CO132"/>
  <c r="CP127" s="1"/>
  <c r="CQ101"/>
  <c r="CR95" s="1"/>
  <c r="CO138"/>
  <c r="S73" i="26"/>
  <c r="T24"/>
  <c r="S75"/>
  <c r="S79"/>
  <c r="CC199"/>
  <c r="CC192"/>
  <c r="CD186" s="1"/>
  <c r="FJ196"/>
  <c r="FI196"/>
  <c r="FI198"/>
  <c r="FJ198" s="1"/>
  <c r="FK198" s="1"/>
  <c r="J249" i="12"/>
  <c r="DP200" i="26" s="1"/>
  <c r="I250" i="12"/>
  <c r="DO191" i="26"/>
  <c r="DO195" s="1"/>
  <c r="DP197"/>
  <c r="T66"/>
  <c r="FI150"/>
  <c r="FI120"/>
  <c r="D294" i="12"/>
  <c r="D295" s="1"/>
  <c r="D296" s="1"/>
  <c r="C299"/>
  <c r="B300"/>
  <c r="H299"/>
  <c r="FN179" i="26" s="1"/>
  <c r="O299" i="12"/>
  <c r="K299"/>
  <c r="K298" s="1"/>
  <c r="K297" s="1"/>
  <c r="P299"/>
  <c r="R299"/>
  <c r="E299"/>
  <c r="E298" s="1"/>
  <c r="E297" s="1"/>
  <c r="Q299"/>
  <c r="Q298" s="1"/>
  <c r="Q297" s="1"/>
  <c r="M251"/>
  <c r="L252"/>
  <c r="F252"/>
  <c r="G252" s="1"/>
  <c r="CW67" i="35" l="1"/>
  <c r="CW68" s="1"/>
  <c r="CW72" s="1"/>
  <c r="T68" i="26"/>
  <c r="CM169"/>
  <c r="CM162"/>
  <c r="CN156" s="1"/>
  <c r="CP128" i="35"/>
  <c r="CP138" s="1"/>
  <c r="FT59"/>
  <c r="FT89"/>
  <c r="FV119"/>
  <c r="CR97"/>
  <c r="CR98" s="1"/>
  <c r="CR102" s="1"/>
  <c r="CD188" i="26"/>
  <c r="CD189" s="1"/>
  <c r="CD193" s="1"/>
  <c r="FN196"/>
  <c r="DP191"/>
  <c r="DQ197"/>
  <c r="J250" i="12"/>
  <c r="DQ200" i="26" s="1"/>
  <c r="I251" i="12"/>
  <c r="FN150" i="26"/>
  <c r="FN120"/>
  <c r="R298" i="12"/>
  <c r="C298"/>
  <c r="H298"/>
  <c r="N299"/>
  <c r="N297"/>
  <c r="N298"/>
  <c r="B301"/>
  <c r="M252"/>
  <c r="L253"/>
  <c r="F253"/>
  <c r="G253" s="1"/>
  <c r="CW78" i="35" l="1"/>
  <c r="CW71"/>
  <c r="CX65" s="1"/>
  <c r="CN158" i="26"/>
  <c r="CP131" i="35"/>
  <c r="CQ125" s="1"/>
  <c r="CR101"/>
  <c r="CS95" s="1"/>
  <c r="CS97" s="1"/>
  <c r="FS89"/>
  <c r="FS59"/>
  <c r="FU119"/>
  <c r="CP132"/>
  <c r="CR108"/>
  <c r="CD192" i="26"/>
  <c r="CE186" s="1"/>
  <c r="CE188" s="1"/>
  <c r="CE189" s="1"/>
  <c r="CE193" s="1"/>
  <c r="CD199"/>
  <c r="H297" i="12"/>
  <c r="FL179" i="26" s="1"/>
  <c r="FM179"/>
  <c r="I252" i="12"/>
  <c r="J251"/>
  <c r="DR200" i="26" s="1"/>
  <c r="DP195"/>
  <c r="DQ191"/>
  <c r="DQ195" s="1"/>
  <c r="DR197"/>
  <c r="FM150"/>
  <c r="FM120"/>
  <c r="C297" i="12"/>
  <c r="R297"/>
  <c r="B302"/>
  <c r="P297"/>
  <c r="P298" s="1"/>
  <c r="O297"/>
  <c r="O298" s="1"/>
  <c r="F254"/>
  <c r="G254" s="1"/>
  <c r="M253"/>
  <c r="L254"/>
  <c r="CX67" i="35" l="1"/>
  <c r="CX68" s="1"/>
  <c r="CN159" i="26"/>
  <c r="CN162" s="1"/>
  <c r="CO156" s="1"/>
  <c r="CQ127" i="35"/>
  <c r="CQ128" s="1"/>
  <c r="CS98"/>
  <c r="CS102" s="1"/>
  <c r="FR89"/>
  <c r="FR59"/>
  <c r="FT119"/>
  <c r="CE192" i="26"/>
  <c r="CF186" s="1"/>
  <c r="CF188" s="1"/>
  <c r="CF189" s="1"/>
  <c r="CF193" s="1"/>
  <c r="CE199"/>
  <c r="FM196"/>
  <c r="DR191"/>
  <c r="DS197"/>
  <c r="I253" i="12"/>
  <c r="J252"/>
  <c r="DS200" i="26" s="1"/>
  <c r="FL196"/>
  <c r="FL198"/>
  <c r="FM198" s="1"/>
  <c r="FN198" s="1"/>
  <c r="FL150"/>
  <c r="FL120"/>
  <c r="D297" i="12"/>
  <c r="D298" s="1"/>
  <c r="D299" s="1"/>
  <c r="B303"/>
  <c r="O302"/>
  <c r="P302"/>
  <c r="K302"/>
  <c r="K301" s="1"/>
  <c r="K300" s="1"/>
  <c r="C302"/>
  <c r="E302"/>
  <c r="E301" s="1"/>
  <c r="E300" s="1"/>
  <c r="H302"/>
  <c r="R302"/>
  <c r="Q302"/>
  <c r="Q301" s="1"/>
  <c r="Q300" s="1"/>
  <c r="F255"/>
  <c r="G255" s="1"/>
  <c r="M254"/>
  <c r="L255"/>
  <c r="CX72" i="35" l="1"/>
  <c r="CX78"/>
  <c r="CX71"/>
  <c r="CY65" s="1"/>
  <c r="CN163" i="26"/>
  <c r="CO158" s="1"/>
  <c r="CN169"/>
  <c r="CQ132" i="35"/>
  <c r="CS108"/>
  <c r="FW59"/>
  <c r="FW89"/>
  <c r="FY119"/>
  <c r="CS101"/>
  <c r="CT95" s="1"/>
  <c r="CT97" s="1"/>
  <c r="CQ138"/>
  <c r="CQ131"/>
  <c r="CR125" s="1"/>
  <c r="CF192" i="26"/>
  <c r="CG186" s="1"/>
  <c r="CG188" s="1"/>
  <c r="CG189" s="1"/>
  <c r="CG193" s="1"/>
  <c r="CF199"/>
  <c r="H301" i="12"/>
  <c r="FQ179" i="26"/>
  <c r="DT197"/>
  <c r="DS191"/>
  <c r="DS195" s="1"/>
  <c r="J253" i="12"/>
  <c r="DT200" i="26" s="1"/>
  <c r="I254" i="12"/>
  <c r="DR195" i="26"/>
  <c r="S129"/>
  <c r="S133" s="1"/>
  <c r="FQ150"/>
  <c r="FQ120"/>
  <c r="R301" i="12"/>
  <c r="C301"/>
  <c r="B304"/>
  <c r="N300"/>
  <c r="N302"/>
  <c r="N301"/>
  <c r="M255"/>
  <c r="L256"/>
  <c r="F256"/>
  <c r="G256" s="1"/>
  <c r="CY67" i="35" l="1"/>
  <c r="CY68" s="1"/>
  <c r="CY72" s="1"/>
  <c r="CO159" i="26"/>
  <c r="CO163" s="1"/>
  <c r="FV59" i="35"/>
  <c r="FV89"/>
  <c r="FX119"/>
  <c r="CR127"/>
  <c r="CR128" s="1"/>
  <c r="CR131" s="1"/>
  <c r="CS125" s="1"/>
  <c r="CT98"/>
  <c r="CT102" s="1"/>
  <c r="S132" i="26"/>
  <c r="T126" s="1"/>
  <c r="T128" s="1"/>
  <c r="S139"/>
  <c r="CG192"/>
  <c r="CH186" s="1"/>
  <c r="CG199"/>
  <c r="DT191"/>
  <c r="DU197"/>
  <c r="H300" i="12"/>
  <c r="FO179" i="26" s="1"/>
  <c r="FP179"/>
  <c r="J254" i="12"/>
  <c r="I255"/>
  <c r="FQ196" i="26"/>
  <c r="FP150"/>
  <c r="FP120"/>
  <c r="C300" i="12"/>
  <c r="R300"/>
  <c r="B305"/>
  <c r="O300"/>
  <c r="O301" s="1"/>
  <c r="P300"/>
  <c r="P301" s="1"/>
  <c r="F257"/>
  <c r="G257" s="1"/>
  <c r="M256"/>
  <c r="L257"/>
  <c r="CY78" i="35" l="1"/>
  <c r="CO169" i="26"/>
  <c r="CO162"/>
  <c r="CP156" s="1"/>
  <c r="CY71" i="35"/>
  <c r="CZ65" s="1"/>
  <c r="CP158" i="26"/>
  <c r="CP159" s="1"/>
  <c r="CP163" s="1"/>
  <c r="CT108" i="35"/>
  <c r="CT101"/>
  <c r="CU95" s="1"/>
  <c r="CU97" s="1"/>
  <c r="CR132"/>
  <c r="CS127" s="1"/>
  <c r="CS128" s="1"/>
  <c r="CS132" s="1"/>
  <c r="FU89"/>
  <c r="FU59"/>
  <c r="FW119"/>
  <c r="CR138"/>
  <c r="CH188" i="26"/>
  <c r="CH189" s="1"/>
  <c r="CH193" s="1"/>
  <c r="J255" i="12"/>
  <c r="DV200" i="26" s="1"/>
  <c r="I256" i="12"/>
  <c r="FO196" i="26"/>
  <c r="FO198"/>
  <c r="FP198" s="1"/>
  <c r="FQ198" s="1"/>
  <c r="DT195"/>
  <c r="DU200"/>
  <c r="I68" i="30"/>
  <c r="J68" s="1"/>
  <c r="J58" s="1"/>
  <c r="C54" s="1"/>
  <c r="FP196" i="26"/>
  <c r="DV197"/>
  <c r="DU191"/>
  <c r="FO150"/>
  <c r="FO120"/>
  <c r="D300" i="12"/>
  <c r="D301" s="1"/>
  <c r="D302" s="1"/>
  <c r="B306"/>
  <c r="O305"/>
  <c r="H305"/>
  <c r="C305"/>
  <c r="K305"/>
  <c r="K304" s="1"/>
  <c r="K303" s="1"/>
  <c r="E305"/>
  <c r="E304" s="1"/>
  <c r="E303" s="1"/>
  <c r="P305"/>
  <c r="R305"/>
  <c r="Q305"/>
  <c r="Q304" s="1"/>
  <c r="Q303" s="1"/>
  <c r="M257"/>
  <c r="L258"/>
  <c r="F258"/>
  <c r="G258" s="1"/>
  <c r="CZ67" i="35" l="1"/>
  <c r="CP162" i="26"/>
  <c r="CQ156" s="1"/>
  <c r="CQ158" s="1"/>
  <c r="CP169"/>
  <c r="CS131" i="35"/>
  <c r="CT125" s="1"/>
  <c r="CU98"/>
  <c r="CU102" s="1"/>
  <c r="FZ59"/>
  <c r="FZ89"/>
  <c r="GB119"/>
  <c r="CS138"/>
  <c r="CH199" i="26"/>
  <c r="CH192"/>
  <c r="CI186" s="1"/>
  <c r="CI188" s="1"/>
  <c r="H304" i="12"/>
  <c r="FT179" i="26"/>
  <c r="DW197"/>
  <c r="DV191"/>
  <c r="DV195" s="1"/>
  <c r="J256" i="12"/>
  <c r="DW200" i="26" s="1"/>
  <c r="I257" i="12"/>
  <c r="FT150" i="26"/>
  <c r="FT120"/>
  <c r="R304" i="12"/>
  <c r="C304"/>
  <c r="B307"/>
  <c r="N304"/>
  <c r="N305"/>
  <c r="N303"/>
  <c r="M258"/>
  <c r="L259"/>
  <c r="F259"/>
  <c r="G259" s="1"/>
  <c r="CZ68" i="35" l="1"/>
  <c r="CZ71" s="1"/>
  <c r="DA65" s="1"/>
  <c r="CQ159" i="26"/>
  <c r="CQ163" s="1"/>
  <c r="CU101" i="35"/>
  <c r="CV95" s="1"/>
  <c r="CU108"/>
  <c r="FY89"/>
  <c r="FY59"/>
  <c r="GA119"/>
  <c r="CT127"/>
  <c r="CT128" s="1"/>
  <c r="CT132" s="1"/>
  <c r="CI189" i="26"/>
  <c r="CI193" s="1"/>
  <c r="J257" i="12"/>
  <c r="DX200" i="26" s="1"/>
  <c r="I258" i="12"/>
  <c r="FT196" i="26"/>
  <c r="DW191"/>
  <c r="DW195" s="1"/>
  <c r="DX197"/>
  <c r="H303" i="12"/>
  <c r="FR179" i="26" s="1"/>
  <c r="FS179"/>
  <c r="FS150"/>
  <c r="FS120"/>
  <c r="C303" i="12"/>
  <c r="R303"/>
  <c r="O303"/>
  <c r="O304" s="1"/>
  <c r="P303"/>
  <c r="P304" s="1"/>
  <c r="B308"/>
  <c r="F260"/>
  <c r="G260" s="1"/>
  <c r="M259"/>
  <c r="L260"/>
  <c r="CQ169" i="26" l="1"/>
  <c r="CZ72" i="35"/>
  <c r="DA67" s="1"/>
  <c r="DA68" s="1"/>
  <c r="DA72" s="1"/>
  <c r="CZ78"/>
  <c r="DA78"/>
  <c r="CQ162" i="26"/>
  <c r="CR156" s="1"/>
  <c r="CT138" i="35"/>
  <c r="CV97"/>
  <c r="CV98" s="1"/>
  <c r="CV102" s="1"/>
  <c r="FX89"/>
  <c r="FX59"/>
  <c r="FZ119"/>
  <c r="CT131"/>
  <c r="CU125" s="1"/>
  <c r="CI199" i="26"/>
  <c r="CI192"/>
  <c r="CJ186" s="1"/>
  <c r="CJ188" s="1"/>
  <c r="CJ189" s="1"/>
  <c r="CJ193" s="1"/>
  <c r="FS196"/>
  <c r="DY197"/>
  <c r="DX191"/>
  <c r="DX195" s="1"/>
  <c r="FR196"/>
  <c r="FR198"/>
  <c r="FS198" s="1"/>
  <c r="FT198" s="1"/>
  <c r="I259" i="12"/>
  <c r="J258"/>
  <c r="DY200" i="26" s="1"/>
  <c r="FR150"/>
  <c r="FR120"/>
  <c r="D303" i="12"/>
  <c r="D304" s="1"/>
  <c r="D305" s="1"/>
  <c r="B309"/>
  <c r="O308"/>
  <c r="C308"/>
  <c r="E308"/>
  <c r="E307" s="1"/>
  <c r="E306" s="1"/>
  <c r="P308"/>
  <c r="K308"/>
  <c r="K307" s="1"/>
  <c r="K306" s="1"/>
  <c r="R308"/>
  <c r="H308"/>
  <c r="Q308"/>
  <c r="Q307" s="1"/>
  <c r="Q306" s="1"/>
  <c r="M260"/>
  <c r="L261"/>
  <c r="F261"/>
  <c r="G261" s="1"/>
  <c r="DA71" i="35" l="1"/>
  <c r="DB65" s="1"/>
  <c r="DB67" s="1"/>
  <c r="DB68" s="1"/>
  <c r="DB72" s="1"/>
  <c r="CR158" i="26"/>
  <c r="CR159" s="1"/>
  <c r="CR163" s="1"/>
  <c r="CV108" i="35"/>
  <c r="CU127"/>
  <c r="CU128" s="1"/>
  <c r="GC59"/>
  <c r="GC89"/>
  <c r="GE119"/>
  <c r="CV101"/>
  <c r="CW95" s="1"/>
  <c r="CJ192" i="26"/>
  <c r="CK186" s="1"/>
  <c r="CJ199"/>
  <c r="J259" i="12"/>
  <c r="DZ200" i="26" s="1"/>
  <c r="I260" i="12"/>
  <c r="DY191" i="26"/>
  <c r="DY195" s="1"/>
  <c r="DZ197"/>
  <c r="H307" i="12"/>
  <c r="FW179" i="26"/>
  <c r="T60"/>
  <c r="T69" s="1"/>
  <c r="FW150"/>
  <c r="FW120"/>
  <c r="R307" i="12"/>
  <c r="C307"/>
  <c r="B310"/>
  <c r="N307"/>
  <c r="N308"/>
  <c r="N306"/>
  <c r="F262"/>
  <c r="M261"/>
  <c r="L262"/>
  <c r="DB78" i="35" l="1"/>
  <c r="CR169" i="26"/>
  <c r="CR162"/>
  <c r="CS156" s="1"/>
  <c r="CS158" s="1"/>
  <c r="DB71" i="35"/>
  <c r="DC65" s="1"/>
  <c r="DC67" s="1"/>
  <c r="CU132"/>
  <c r="CU138"/>
  <c r="CU131"/>
  <c r="CV125" s="1"/>
  <c r="GB89"/>
  <c r="GB59"/>
  <c r="GD119"/>
  <c r="CW97"/>
  <c r="CW98" s="1"/>
  <c r="T70" i="26"/>
  <c r="T79" s="1"/>
  <c r="CK188"/>
  <c r="CK189" s="1"/>
  <c r="H306" i="12"/>
  <c r="FU179" i="26" s="1"/>
  <c r="FV179"/>
  <c r="FW196"/>
  <c r="EA197"/>
  <c r="DZ191"/>
  <c r="DZ195" s="1"/>
  <c r="J260" i="12"/>
  <c r="EA200" i="26" s="1"/>
  <c r="I261" i="12"/>
  <c r="FV150" i="26"/>
  <c r="FV120"/>
  <c r="C306" i="12"/>
  <c r="R306"/>
  <c r="B311"/>
  <c r="P306"/>
  <c r="P307" s="1"/>
  <c r="O306"/>
  <c r="O307" s="1"/>
  <c r="F263"/>
  <c r="G263" s="1"/>
  <c r="M262"/>
  <c r="L263"/>
  <c r="G262"/>
  <c r="DC68" i="35" l="1"/>
  <c r="DC72" s="1"/>
  <c r="CS159" i="26"/>
  <c r="CW102" i="35"/>
  <c r="CW108"/>
  <c r="GA59"/>
  <c r="GA89"/>
  <c r="GC119"/>
  <c r="CV127"/>
  <c r="CV128" s="1"/>
  <c r="CV132" s="1"/>
  <c r="CW101"/>
  <c r="T73" i="26"/>
  <c r="U24"/>
  <c r="T75"/>
  <c r="CK190"/>
  <c r="T72"/>
  <c r="I262" i="12"/>
  <c r="J261"/>
  <c r="EB200" i="26" s="1"/>
  <c r="FV196"/>
  <c r="EB197"/>
  <c r="EA191"/>
  <c r="EA195" s="1"/>
  <c r="FU196"/>
  <c r="FU198"/>
  <c r="FV198" s="1"/>
  <c r="FW198" s="1"/>
  <c r="FU150"/>
  <c r="FU120"/>
  <c r="D306" i="12"/>
  <c r="D307" s="1"/>
  <c r="D308" s="1"/>
  <c r="E311"/>
  <c r="E310" s="1"/>
  <c r="E309" s="1"/>
  <c r="R311"/>
  <c r="H311"/>
  <c r="FZ179" i="26" s="1"/>
  <c r="B312" i="12"/>
  <c r="K311"/>
  <c r="K310" s="1"/>
  <c r="K309" s="1"/>
  <c r="C311"/>
  <c r="O311"/>
  <c r="P311"/>
  <c r="Q311"/>
  <c r="Q310" s="1"/>
  <c r="Q309" s="1"/>
  <c r="M263"/>
  <c r="L264"/>
  <c r="F264"/>
  <c r="G264" s="1"/>
  <c r="DC78" i="35" l="1"/>
  <c r="DC71"/>
  <c r="DD65" s="1"/>
  <c r="DD67" s="1"/>
  <c r="DD68" s="1"/>
  <c r="DD72" s="1"/>
  <c r="CS163" i="26"/>
  <c r="CS162"/>
  <c r="CT156" s="1"/>
  <c r="CS169"/>
  <c r="CV131" i="35"/>
  <c r="CW125" s="1"/>
  <c r="CX95"/>
  <c r="CW127"/>
  <c r="GF59"/>
  <c r="GF89"/>
  <c r="GH119"/>
  <c r="CV138"/>
  <c r="U66" i="26"/>
  <c r="U68" s="1"/>
  <c r="CK193"/>
  <c r="N24"/>
  <c r="CK192"/>
  <c r="CL186" s="1"/>
  <c r="CL188" s="1"/>
  <c r="CK199"/>
  <c r="CK195"/>
  <c r="FZ196"/>
  <c r="I263" i="12"/>
  <c r="J262"/>
  <c r="EC200" i="26" s="1"/>
  <c r="EB191"/>
  <c r="EC197"/>
  <c r="FZ150"/>
  <c r="FZ120"/>
  <c r="C310" i="12"/>
  <c r="R310"/>
  <c r="N309"/>
  <c r="N310"/>
  <c r="N311"/>
  <c r="H310"/>
  <c r="B313"/>
  <c r="F265"/>
  <c r="G265" s="1"/>
  <c r="M264"/>
  <c r="L265"/>
  <c r="DD71" i="35" l="1"/>
  <c r="DE65" s="1"/>
  <c r="DE67" s="1"/>
  <c r="DE68" s="1"/>
  <c r="DE72" s="1"/>
  <c r="DD78"/>
  <c r="CT158" i="26"/>
  <c r="CT159" s="1"/>
  <c r="CT163" s="1"/>
  <c r="CW128" i="35"/>
  <c r="CW132" s="1"/>
  <c r="CX97"/>
  <c r="CX98" s="1"/>
  <c r="GE59"/>
  <c r="GE89"/>
  <c r="GG119"/>
  <c r="CL189" i="26"/>
  <c r="CL192" s="1"/>
  <c r="CM186" s="1"/>
  <c r="EC191"/>
  <c r="EC195" s="1"/>
  <c r="ED197"/>
  <c r="H309" i="12"/>
  <c r="FX179" i="26" s="1"/>
  <c r="FY179"/>
  <c r="EB195"/>
  <c r="J263" i="12"/>
  <c r="ED200" i="26" s="1"/>
  <c r="I264" i="12"/>
  <c r="FY150" i="26"/>
  <c r="FY120"/>
  <c r="R309" i="12"/>
  <c r="C309"/>
  <c r="O309"/>
  <c r="O310" s="1"/>
  <c r="P309"/>
  <c r="P310" s="1"/>
  <c r="B314"/>
  <c r="M265"/>
  <c r="L266"/>
  <c r="F266"/>
  <c r="G266" s="1"/>
  <c r="CT162" i="26" l="1"/>
  <c r="CU156" s="1"/>
  <c r="CU158" s="1"/>
  <c r="DE71" i="35"/>
  <c r="DF65" s="1"/>
  <c r="DF67" s="1"/>
  <c r="DE78"/>
  <c r="CT169" i="26"/>
  <c r="CW138" i="35"/>
  <c r="CW131"/>
  <c r="CX125" s="1"/>
  <c r="CX102"/>
  <c r="CX108"/>
  <c r="CX101"/>
  <c r="CY95" s="1"/>
  <c r="GD59"/>
  <c r="GD89"/>
  <c r="GF119"/>
  <c r="CL199" i="26"/>
  <c r="CL193"/>
  <c r="CM188" s="1"/>
  <c r="I265" i="12"/>
  <c r="J264"/>
  <c r="EE200" i="26" s="1"/>
  <c r="FX196"/>
  <c r="FX198"/>
  <c r="FY198" s="1"/>
  <c r="FZ198" s="1"/>
  <c r="EE197"/>
  <c r="ED191"/>
  <c r="FY196"/>
  <c r="FX150"/>
  <c r="FX120"/>
  <c r="D309" i="12"/>
  <c r="D310" s="1"/>
  <c r="D311" s="1"/>
  <c r="B315"/>
  <c r="O314"/>
  <c r="C314"/>
  <c r="H314"/>
  <c r="K314"/>
  <c r="K313" s="1"/>
  <c r="K312" s="1"/>
  <c r="E314"/>
  <c r="E313" s="1"/>
  <c r="E312" s="1"/>
  <c r="P314"/>
  <c r="R314"/>
  <c r="Q314"/>
  <c r="Q313" s="1"/>
  <c r="Q312" s="1"/>
  <c r="F267"/>
  <c r="G267" s="1"/>
  <c r="M266"/>
  <c r="L267"/>
  <c r="DF68" i="35" l="1"/>
  <c r="DF72" s="1"/>
  <c r="CU159" i="26"/>
  <c r="CX127" i="35"/>
  <c r="CY97"/>
  <c r="CY98" s="1"/>
  <c r="CY102" s="1"/>
  <c r="GI89"/>
  <c r="GI59"/>
  <c r="GK119"/>
  <c r="CM189" i="26"/>
  <c r="CM193" s="1"/>
  <c r="EF197"/>
  <c r="EE191"/>
  <c r="EE195" s="1"/>
  <c r="J265" i="12"/>
  <c r="EF200" i="26" s="1"/>
  <c r="I266" i="12"/>
  <c r="H313"/>
  <c r="GC179" i="26"/>
  <c r="ED195"/>
  <c r="T129"/>
  <c r="T133" s="1"/>
  <c r="GC150"/>
  <c r="GC120"/>
  <c r="R313" i="12"/>
  <c r="C313"/>
  <c r="B316"/>
  <c r="N314"/>
  <c r="N312"/>
  <c r="N313"/>
  <c r="M267"/>
  <c r="L268"/>
  <c r="F268"/>
  <c r="G268" s="1"/>
  <c r="DF71" i="35" l="1"/>
  <c r="DG65" s="1"/>
  <c r="DG67" s="1"/>
  <c r="DG68" s="1"/>
  <c r="DG72" s="1"/>
  <c r="DF78"/>
  <c r="DG78"/>
  <c r="CU163" i="26"/>
  <c r="CU169"/>
  <c r="CU162"/>
  <c r="CV156" s="1"/>
  <c r="CX128" i="35"/>
  <c r="CY101"/>
  <c r="CZ95" s="1"/>
  <c r="CZ97" s="1"/>
  <c r="CZ98" s="1"/>
  <c r="GH89"/>
  <c r="GH59"/>
  <c r="GJ119"/>
  <c r="CY108"/>
  <c r="CM199" i="26"/>
  <c r="CM192"/>
  <c r="CN186" s="1"/>
  <c r="CN188" s="1"/>
  <c r="CN189" s="1"/>
  <c r="CN193" s="1"/>
  <c r="T139"/>
  <c r="T132"/>
  <c r="U126" s="1"/>
  <c r="U128" s="1"/>
  <c r="H312" i="12"/>
  <c r="GA179" i="26" s="1"/>
  <c r="GB179"/>
  <c r="EF191"/>
  <c r="EG197"/>
  <c r="GC196"/>
  <c r="J266" i="12"/>
  <c r="EG200" i="26" s="1"/>
  <c r="I267" i="12"/>
  <c r="GB150" i="26"/>
  <c r="GB120"/>
  <c r="C312" i="12"/>
  <c r="R312"/>
  <c r="B317"/>
  <c r="P312"/>
  <c r="P313" s="1"/>
  <c r="O312"/>
  <c r="O313" s="1"/>
  <c r="F269"/>
  <c r="G269" s="1"/>
  <c r="M268"/>
  <c r="L269"/>
  <c r="DG71" i="35" l="1"/>
  <c r="DH65" s="1"/>
  <c r="DH67" s="1"/>
  <c r="DH68" s="1"/>
  <c r="DH72" s="1"/>
  <c r="CV158" i="26"/>
  <c r="CV159" s="1"/>
  <c r="CV163" s="1"/>
  <c r="CX132" i="35"/>
  <c r="CX131"/>
  <c r="CY125" s="1"/>
  <c r="CX138"/>
  <c r="CZ102"/>
  <c r="CZ101"/>
  <c r="DA95" s="1"/>
  <c r="CZ108"/>
  <c r="GG89"/>
  <c r="GG59"/>
  <c r="GI119"/>
  <c r="CN199" i="26"/>
  <c r="CN192"/>
  <c r="CO186" s="1"/>
  <c r="CO188" s="1"/>
  <c r="CO189" s="1"/>
  <c r="CO193" s="1"/>
  <c r="J267" i="12"/>
  <c r="EH200" i="26" s="1"/>
  <c r="I268" i="12"/>
  <c r="EF195" i="26"/>
  <c r="GA196"/>
  <c r="GA198"/>
  <c r="GB198" s="1"/>
  <c r="GC198" s="1"/>
  <c r="EH197"/>
  <c r="EG191"/>
  <c r="EG195" s="1"/>
  <c r="GB196"/>
  <c r="GA150"/>
  <c r="GA120"/>
  <c r="D312" i="12"/>
  <c r="D313" s="1"/>
  <c r="D314" s="1"/>
  <c r="B318"/>
  <c r="C317"/>
  <c r="P317"/>
  <c r="H317"/>
  <c r="K317"/>
  <c r="K316" s="1"/>
  <c r="K315" s="1"/>
  <c r="E317"/>
  <c r="E316" s="1"/>
  <c r="E315" s="1"/>
  <c r="O317"/>
  <c r="R317"/>
  <c r="Q317"/>
  <c r="Q316" s="1"/>
  <c r="Q315" s="1"/>
  <c r="F270"/>
  <c r="G270" s="1"/>
  <c r="M269"/>
  <c r="L270"/>
  <c r="DH78" i="35" l="1"/>
  <c r="DH71"/>
  <c r="DI65" s="1"/>
  <c r="CV169" i="26"/>
  <c r="CV162"/>
  <c r="CW156" s="1"/>
  <c r="CY127" i="35"/>
  <c r="CY128" s="1"/>
  <c r="CY132" s="1"/>
  <c r="DA97"/>
  <c r="DA98" s="1"/>
  <c r="DA102" s="1"/>
  <c r="GL89"/>
  <c r="GL59"/>
  <c r="GN119"/>
  <c r="CO199" i="26"/>
  <c r="CO192"/>
  <c r="CP186" s="1"/>
  <c r="CP188" s="1"/>
  <c r="CP189" s="1"/>
  <c r="CP193" s="1"/>
  <c r="EH191"/>
  <c r="EI197"/>
  <c r="I269" i="12"/>
  <c r="J268"/>
  <c r="EI200" i="26" s="1"/>
  <c r="H316" i="12"/>
  <c r="GF179" i="26"/>
  <c r="GF150"/>
  <c r="GF120"/>
  <c r="R316" i="12"/>
  <c r="C316"/>
  <c r="N315"/>
  <c r="N316"/>
  <c r="N317"/>
  <c r="B319"/>
  <c r="M270"/>
  <c r="L271"/>
  <c r="F271"/>
  <c r="G271" s="1"/>
  <c r="CY138" i="35" l="1"/>
  <c r="DI67"/>
  <c r="DI68" s="1"/>
  <c r="DI72" s="1"/>
  <c r="CW158" i="26"/>
  <c r="CW159" s="1"/>
  <c r="CW163" s="1"/>
  <c r="CY131" i="35"/>
  <c r="DA101"/>
  <c r="DB95" s="1"/>
  <c r="DB97" s="1"/>
  <c r="DB98" s="1"/>
  <c r="GK59"/>
  <c r="GK89"/>
  <c r="GM119"/>
  <c r="DA108"/>
  <c r="CP199" i="26"/>
  <c r="CP192"/>
  <c r="CQ186" s="1"/>
  <c r="GF196"/>
  <c r="EI191"/>
  <c r="EI195" s="1"/>
  <c r="EJ197"/>
  <c r="H315" i="12"/>
  <c r="GD179" i="26" s="1"/>
  <c r="GE179"/>
  <c r="J269" i="12"/>
  <c r="EJ200" i="26" s="1"/>
  <c r="I270" i="12"/>
  <c r="EH195" i="26"/>
  <c r="GE150"/>
  <c r="GE120"/>
  <c r="C315" i="12"/>
  <c r="R315"/>
  <c r="O315"/>
  <c r="O316" s="1"/>
  <c r="P315"/>
  <c r="P316" s="1"/>
  <c r="B320"/>
  <c r="F272"/>
  <c r="G272" s="1"/>
  <c r="M271"/>
  <c r="L272"/>
  <c r="DI71" i="35" l="1"/>
  <c r="DJ65" s="1"/>
  <c r="DJ67" s="1"/>
  <c r="DI78"/>
  <c r="CW169" i="26"/>
  <c r="CW162"/>
  <c r="CX156" s="1"/>
  <c r="N26" i="35"/>
  <c r="CZ125"/>
  <c r="DB102"/>
  <c r="DB108"/>
  <c r="GJ89"/>
  <c r="GJ59"/>
  <c r="GL119"/>
  <c r="DB101"/>
  <c r="DC95" s="1"/>
  <c r="CQ188" i="26"/>
  <c r="CQ189" s="1"/>
  <c r="CQ193" s="1"/>
  <c r="J270" i="12"/>
  <c r="EK200" i="26" s="1"/>
  <c r="I271" i="12"/>
  <c r="GE196" i="26"/>
  <c r="EJ191"/>
  <c r="EJ195" s="1"/>
  <c r="EK197"/>
  <c r="GD196"/>
  <c r="GD198"/>
  <c r="GE198" s="1"/>
  <c r="GF198" s="1"/>
  <c r="GD150"/>
  <c r="GD120"/>
  <c r="D315" i="12"/>
  <c r="D316" s="1"/>
  <c r="D317" s="1"/>
  <c r="E320"/>
  <c r="E319" s="1"/>
  <c r="E318" s="1"/>
  <c r="B321"/>
  <c r="P320"/>
  <c r="K320"/>
  <c r="K319" s="1"/>
  <c r="K318" s="1"/>
  <c r="C320"/>
  <c r="H320"/>
  <c r="O320"/>
  <c r="R320"/>
  <c r="Q320"/>
  <c r="Q319" s="1"/>
  <c r="Q318" s="1"/>
  <c r="F273"/>
  <c r="M272"/>
  <c r="L273"/>
  <c r="DJ68" i="35" l="1"/>
  <c r="DJ72" s="1"/>
  <c r="CX158" i="26"/>
  <c r="CX159" s="1"/>
  <c r="CX163" s="1"/>
  <c r="O20" i="35"/>
  <c r="N27"/>
  <c r="R212" i="33" s="1"/>
  <c r="CZ127" i="35"/>
  <c r="CZ128" s="1"/>
  <c r="GO59"/>
  <c r="GO89"/>
  <c r="GQ119"/>
  <c r="DC97"/>
  <c r="DC98" s="1"/>
  <c r="DC102" s="1"/>
  <c r="CQ192" i="26"/>
  <c r="CR186" s="1"/>
  <c r="CR188" s="1"/>
  <c r="CR189" s="1"/>
  <c r="CR193" s="1"/>
  <c r="CQ199"/>
  <c r="H319" i="12"/>
  <c r="GI179" i="26"/>
  <c r="EL197"/>
  <c r="EK191"/>
  <c r="EK195" s="1"/>
  <c r="J271" i="12"/>
  <c r="EL200" i="26" s="1"/>
  <c r="I272" i="12"/>
  <c r="U60" i="26"/>
  <c r="U69" s="1"/>
  <c r="GI150"/>
  <c r="GI120"/>
  <c r="R319" i="12"/>
  <c r="C319"/>
  <c r="N320"/>
  <c r="N319"/>
  <c r="N318"/>
  <c r="B322"/>
  <c r="F274"/>
  <c r="G274" s="1"/>
  <c r="M273"/>
  <c r="L274"/>
  <c r="G273"/>
  <c r="DC101" i="35" l="1"/>
  <c r="DD95" s="1"/>
  <c r="DD97" s="1"/>
  <c r="DD98" s="1"/>
  <c r="DJ78"/>
  <c r="DJ71"/>
  <c r="DK65" s="1"/>
  <c r="DK67" s="1"/>
  <c r="DK68" s="1"/>
  <c r="DK72" s="1"/>
  <c r="CX169" i="26"/>
  <c r="CX162"/>
  <c r="CY156" s="1"/>
  <c r="DC108" i="35"/>
  <c r="CZ138"/>
  <c r="CZ132"/>
  <c r="CZ131"/>
  <c r="DA125" s="1"/>
  <c r="N28"/>
  <c r="R218" i="33" s="1"/>
  <c r="R237" s="1"/>
  <c r="GN59" i="35"/>
  <c r="GN89"/>
  <c r="GP119"/>
  <c r="CR199" i="26"/>
  <c r="U70"/>
  <c r="CR192"/>
  <c r="CS186" s="1"/>
  <c r="CS188" s="1"/>
  <c r="CS189" s="1"/>
  <c r="CS193" s="1"/>
  <c r="H318" i="12"/>
  <c r="GG179" i="26" s="1"/>
  <c r="GH179"/>
  <c r="J272" i="12"/>
  <c r="EM200" i="26" s="1"/>
  <c r="I273" i="12"/>
  <c r="EL191" i="26"/>
  <c r="EL195" s="1"/>
  <c r="EM197"/>
  <c r="GI196"/>
  <c r="GH150"/>
  <c r="GH120"/>
  <c r="C318" i="12"/>
  <c r="R318"/>
  <c r="P318"/>
  <c r="P319" s="1"/>
  <c r="O318"/>
  <c r="O319" s="1"/>
  <c r="B323"/>
  <c r="M274"/>
  <c r="L275"/>
  <c r="F275"/>
  <c r="DK71" i="35" l="1"/>
  <c r="DL65" s="1"/>
  <c r="DK78"/>
  <c r="DL67"/>
  <c r="DL68" s="1"/>
  <c r="DL72" s="1"/>
  <c r="CY158" i="26"/>
  <c r="CY159" s="1"/>
  <c r="CY163" s="1"/>
  <c r="R217" i="33"/>
  <c r="DA127" i="35"/>
  <c r="DD102"/>
  <c r="DD108"/>
  <c r="GM59"/>
  <c r="GM89"/>
  <c r="GO119"/>
  <c r="DD101"/>
  <c r="DE95" s="1"/>
  <c r="U73" i="26"/>
  <c r="V24"/>
  <c r="U72"/>
  <c r="U75"/>
  <c r="U79"/>
  <c r="CS192"/>
  <c r="CT186" s="1"/>
  <c r="CT188" s="1"/>
  <c r="CS199"/>
  <c r="EM191"/>
  <c r="EM195" s="1"/>
  <c r="EN197"/>
  <c r="GG196"/>
  <c r="GG198"/>
  <c r="GH198" s="1"/>
  <c r="GI198" s="1"/>
  <c r="J273" i="12"/>
  <c r="EN200" i="26" s="1"/>
  <c r="I274" i="12"/>
  <c r="GH196" i="26"/>
  <c r="V66"/>
  <c r="V68" s="1"/>
  <c r="GG150"/>
  <c r="GG120"/>
  <c r="D318" i="12"/>
  <c r="D319" s="1"/>
  <c r="D320" s="1"/>
  <c r="E323"/>
  <c r="E322" s="1"/>
  <c r="E321" s="1"/>
  <c r="B324"/>
  <c r="H323"/>
  <c r="O323"/>
  <c r="K323"/>
  <c r="K322" s="1"/>
  <c r="K321" s="1"/>
  <c r="P323"/>
  <c r="R323"/>
  <c r="R322" s="1"/>
  <c r="R321" s="1"/>
  <c r="C323"/>
  <c r="Q323"/>
  <c r="Q322" s="1"/>
  <c r="Q321" s="1"/>
  <c r="F276"/>
  <c r="G276" s="1"/>
  <c r="M275"/>
  <c r="L276"/>
  <c r="G275"/>
  <c r="DL71" i="35" l="1"/>
  <c r="DM65" s="1"/>
  <c r="DM67" s="1"/>
  <c r="DM68" s="1"/>
  <c r="DM72" s="1"/>
  <c r="DL78"/>
  <c r="CY162" i="26"/>
  <c r="CZ156" s="1"/>
  <c r="CZ158" s="1"/>
  <c r="CY169"/>
  <c r="DA128" i="35"/>
  <c r="DA131" s="1"/>
  <c r="DB125" s="1"/>
  <c r="DE97"/>
  <c r="DE98" s="1"/>
  <c r="CT189" i="26"/>
  <c r="CT193" s="1"/>
  <c r="H322" i="12"/>
  <c r="GL179" i="26"/>
  <c r="J274" i="12"/>
  <c r="EO200" i="26" s="1"/>
  <c r="I275" i="12"/>
  <c r="EN191" i="26"/>
  <c r="EO197"/>
  <c r="GL150"/>
  <c r="GL120"/>
  <c r="C322" i="12"/>
  <c r="N321"/>
  <c r="N322"/>
  <c r="N323"/>
  <c r="B325"/>
  <c r="F277"/>
  <c r="M276"/>
  <c r="L277"/>
  <c r="DM71" i="35" l="1"/>
  <c r="DN65" s="1"/>
  <c r="DM78"/>
  <c r="DN67"/>
  <c r="DN68" s="1"/>
  <c r="DN72" s="1"/>
  <c r="CZ159" i="26"/>
  <c r="CZ163" s="1"/>
  <c r="DA138" i="35"/>
  <c r="DA132"/>
  <c r="DB127" s="1"/>
  <c r="DE102"/>
  <c r="DE108"/>
  <c r="GQ89"/>
  <c r="GQ59"/>
  <c r="DE101"/>
  <c r="DF95" s="1"/>
  <c r="CT192" i="26"/>
  <c r="CU186" s="1"/>
  <c r="CT199"/>
  <c r="CU188"/>
  <c r="CU189" s="1"/>
  <c r="CU193" s="1"/>
  <c r="EN195"/>
  <c r="H321" i="12"/>
  <c r="GJ179" i="26" s="1"/>
  <c r="GK179"/>
  <c r="EO191"/>
  <c r="EO195" s="1"/>
  <c r="EP197"/>
  <c r="J275" i="12"/>
  <c r="EP200" i="26" s="1"/>
  <c r="I276" i="12"/>
  <c r="GL196" i="26"/>
  <c r="GK150"/>
  <c r="GK120"/>
  <c r="C321" i="12"/>
  <c r="B326"/>
  <c r="P321"/>
  <c r="P322" s="1"/>
  <c r="O321"/>
  <c r="O322" s="1"/>
  <c r="M277"/>
  <c r="L278"/>
  <c r="F278"/>
  <c r="G278" s="1"/>
  <c r="G277"/>
  <c r="CZ162" i="26" l="1"/>
  <c r="DA156" s="1"/>
  <c r="DN71" i="35"/>
  <c r="DO65" s="1"/>
  <c r="DN78"/>
  <c r="DO67"/>
  <c r="DO68" s="1"/>
  <c r="DO72" s="1"/>
  <c r="DA158" i="26"/>
  <c r="DA159" s="1"/>
  <c r="DA163" s="1"/>
  <c r="CZ169"/>
  <c r="DB128" i="35"/>
  <c r="DB131" s="1"/>
  <c r="DC125" s="1"/>
  <c r="GP59"/>
  <c r="GP89"/>
  <c r="DF97"/>
  <c r="DF98" s="1"/>
  <c r="CU192" i="26"/>
  <c r="CV186" s="1"/>
  <c r="CV188" s="1"/>
  <c r="CV189" s="1"/>
  <c r="CV193" s="1"/>
  <c r="CU199"/>
  <c r="GK196"/>
  <c r="J276" i="12"/>
  <c r="EQ200" i="26" s="1"/>
  <c r="I277" i="12"/>
  <c r="EQ197" i="26"/>
  <c r="EP191"/>
  <c r="GJ198"/>
  <c r="GK198" s="1"/>
  <c r="GL198" s="1"/>
  <c r="GJ196"/>
  <c r="GJ150"/>
  <c r="GJ120"/>
  <c r="D321" i="12"/>
  <c r="D322" s="1"/>
  <c r="D323" s="1"/>
  <c r="B327"/>
  <c r="P326"/>
  <c r="O326"/>
  <c r="C326"/>
  <c r="K326"/>
  <c r="K325" s="1"/>
  <c r="K324" s="1"/>
  <c r="E326"/>
  <c r="E325" s="1"/>
  <c r="E324" s="1"/>
  <c r="H326"/>
  <c r="R326"/>
  <c r="R325" s="1"/>
  <c r="R324" s="1"/>
  <c r="Q326"/>
  <c r="Q325" s="1"/>
  <c r="Q324" s="1"/>
  <c r="F279"/>
  <c r="G279" s="1"/>
  <c r="M278"/>
  <c r="L279"/>
  <c r="DB132" i="35" l="1"/>
  <c r="DC127" s="1"/>
  <c r="DC128" s="1"/>
  <c r="DC132" s="1"/>
  <c r="DO78"/>
  <c r="DO71"/>
  <c r="DP65" s="1"/>
  <c r="DA162" i="26"/>
  <c r="DB156" s="1"/>
  <c r="DB158" s="1"/>
  <c r="DB159" s="1"/>
  <c r="DB163" s="1"/>
  <c r="DA169"/>
  <c r="DB138" i="35"/>
  <c r="DF102"/>
  <c r="DF108"/>
  <c r="DF101"/>
  <c r="DG95" s="1"/>
  <c r="CV192" i="26"/>
  <c r="CW186" s="1"/>
  <c r="CV199"/>
  <c r="EP195"/>
  <c r="J277" i="12"/>
  <c r="ER200" i="26" s="1"/>
  <c r="I278" i="12"/>
  <c r="H325"/>
  <c r="GO179" i="26"/>
  <c r="EQ191"/>
  <c r="EQ195" s="1"/>
  <c r="ER197"/>
  <c r="U129"/>
  <c r="U133" s="1"/>
  <c r="GO150"/>
  <c r="GO120"/>
  <c r="C325" i="12"/>
  <c r="N324"/>
  <c r="N325"/>
  <c r="N326"/>
  <c r="B328"/>
  <c r="B329" s="1"/>
  <c r="M279"/>
  <c r="L280"/>
  <c r="F280"/>
  <c r="G280" s="1"/>
  <c r="DP67" i="35" l="1"/>
  <c r="DP68" s="1"/>
  <c r="DP72" s="1"/>
  <c r="DB169" i="26"/>
  <c r="DB162"/>
  <c r="DC156" s="1"/>
  <c r="DC158" s="1"/>
  <c r="DC159" s="1"/>
  <c r="DC163" s="1"/>
  <c r="DC138" i="35"/>
  <c r="DC131"/>
  <c r="DD125" s="1"/>
  <c r="DG97"/>
  <c r="DG98" s="1"/>
  <c r="U139" i="26"/>
  <c r="U132"/>
  <c r="V126" s="1"/>
  <c r="V128" s="1"/>
  <c r="CW188"/>
  <c r="CW189" s="1"/>
  <c r="ES197"/>
  <c r="ER191"/>
  <c r="GO196"/>
  <c r="J278" i="12"/>
  <c r="ES200" i="26" s="1"/>
  <c r="I279" i="12"/>
  <c r="H324"/>
  <c r="GM179" i="26" s="1"/>
  <c r="GN179"/>
  <c r="GN150"/>
  <c r="GN120"/>
  <c r="C324" i="12"/>
  <c r="B330"/>
  <c r="O329"/>
  <c r="H329"/>
  <c r="H328" s="1"/>
  <c r="C329"/>
  <c r="C328" s="1"/>
  <c r="K329"/>
  <c r="K328" s="1"/>
  <c r="K327" s="1"/>
  <c r="E329"/>
  <c r="E328" s="1"/>
  <c r="E327" s="1"/>
  <c r="P329"/>
  <c r="R329"/>
  <c r="R328" s="1"/>
  <c r="R327" s="1"/>
  <c r="Q329"/>
  <c r="Q328" s="1"/>
  <c r="Q327" s="1"/>
  <c r="O324"/>
  <c r="O325" s="1"/>
  <c r="P324"/>
  <c r="P325" s="1"/>
  <c r="M280"/>
  <c r="L281"/>
  <c r="F281"/>
  <c r="DP78" i="35" l="1"/>
  <c r="DP71"/>
  <c r="DQ65" s="1"/>
  <c r="DQ67" s="1"/>
  <c r="DC169" i="26"/>
  <c r="DC162"/>
  <c r="DD156" s="1"/>
  <c r="DD127" i="35"/>
  <c r="DD128" s="1"/>
  <c r="DD132" s="1"/>
  <c r="DG102"/>
  <c r="DG101"/>
  <c r="DH95" s="1"/>
  <c r="DG108"/>
  <c r="CW190" i="26"/>
  <c r="CW199" s="1"/>
  <c r="GN196"/>
  <c r="I280" i="12"/>
  <c r="J279"/>
  <c r="ET200" i="26" s="1"/>
  <c r="ER195"/>
  <c r="H327" i="12"/>
  <c r="GP179" i="26" s="1"/>
  <c r="GQ179"/>
  <c r="GM196"/>
  <c r="GM198"/>
  <c r="GN198" s="1"/>
  <c r="GO198" s="1"/>
  <c r="ES191"/>
  <c r="ES195" s="1"/>
  <c r="ET197"/>
  <c r="C327" i="12"/>
  <c r="GQ150" i="26"/>
  <c r="GQ120"/>
  <c r="GM150"/>
  <c r="GM120"/>
  <c r="D324" i="12"/>
  <c r="D325" s="1"/>
  <c r="D326" s="1"/>
  <c r="N328"/>
  <c r="N329"/>
  <c r="N327"/>
  <c r="B331"/>
  <c r="B332" s="1"/>
  <c r="F282"/>
  <c r="G282" s="1"/>
  <c r="M281"/>
  <c r="L282"/>
  <c r="G281"/>
  <c r="DD138" i="35" l="1"/>
  <c r="DQ68"/>
  <c r="DQ72" s="1"/>
  <c r="DD158" i="26"/>
  <c r="DD131" i="35"/>
  <c r="DE125" s="1"/>
  <c r="DE127" s="1"/>
  <c r="DE128" s="1"/>
  <c r="CW195" i="26"/>
  <c r="DH97" i="35"/>
  <c r="DH98" s="1"/>
  <c r="D327" i="12"/>
  <c r="D328" s="1"/>
  <c r="D329" s="1"/>
  <c r="CW192" i="26"/>
  <c r="CX186" s="1"/>
  <c r="CW193"/>
  <c r="O24"/>
  <c r="GP196"/>
  <c r="GP198"/>
  <c r="ET191"/>
  <c r="ET195" s="1"/>
  <c r="EU197"/>
  <c r="GQ196"/>
  <c r="GQ198"/>
  <c r="J280" i="12"/>
  <c r="EU200" i="26" s="1"/>
  <c r="I281" i="12"/>
  <c r="GP150" i="26"/>
  <c r="GP120"/>
  <c r="B333" i="12"/>
  <c r="K332"/>
  <c r="K331" s="1"/>
  <c r="K330" s="1"/>
  <c r="H332"/>
  <c r="H331" s="1"/>
  <c r="H330" s="1"/>
  <c r="C332"/>
  <c r="P332"/>
  <c r="E332"/>
  <c r="E331" s="1"/>
  <c r="E330" s="1"/>
  <c r="O332"/>
  <c r="R332"/>
  <c r="R331" s="1"/>
  <c r="R330" s="1"/>
  <c r="Q332"/>
  <c r="Q331" s="1"/>
  <c r="Q330" s="1"/>
  <c r="O327"/>
  <c r="O328" s="1"/>
  <c r="P327"/>
  <c r="P328" s="1"/>
  <c r="M282"/>
  <c r="L283"/>
  <c r="F283"/>
  <c r="DQ78" i="35" l="1"/>
  <c r="DQ71"/>
  <c r="DR65" s="1"/>
  <c r="DR67" s="1"/>
  <c r="DD159" i="26"/>
  <c r="DE131" i="35"/>
  <c r="DF125" s="1"/>
  <c r="DE132"/>
  <c r="DE138"/>
  <c r="CX188" i="26"/>
  <c r="CX189" s="1"/>
  <c r="CX193" s="1"/>
  <c r="DH102" i="35"/>
  <c r="DH101"/>
  <c r="DI95" s="1"/>
  <c r="DH108"/>
  <c r="J281" i="12"/>
  <c r="EV200" i="26" s="1"/>
  <c r="I282" i="12"/>
  <c r="EV197" i="26"/>
  <c r="EU191"/>
  <c r="EU195" s="1"/>
  <c r="C331" i="12"/>
  <c r="C330" s="1"/>
  <c r="D330" s="1"/>
  <c r="D331" s="1"/>
  <c r="D332" s="1"/>
  <c r="V60" i="26"/>
  <c r="V69" s="1"/>
  <c r="N331" i="12"/>
  <c r="N332"/>
  <c r="N330"/>
  <c r="B334"/>
  <c r="F284"/>
  <c r="G284" s="1"/>
  <c r="M283"/>
  <c r="L284"/>
  <c r="G283"/>
  <c r="CX192" i="26" l="1"/>
  <c r="CY186" s="1"/>
  <c r="CY188" s="1"/>
  <c r="CY189" s="1"/>
  <c r="CY193" s="1"/>
  <c r="CX199"/>
  <c r="DR68" i="35"/>
  <c r="DR72" s="1"/>
  <c r="DD163" i="26"/>
  <c r="DD162"/>
  <c r="DE156" s="1"/>
  <c r="DD169"/>
  <c r="DF127" i="35"/>
  <c r="DI97"/>
  <c r="DI98" s="1"/>
  <c r="DI102" s="1"/>
  <c r="V70" i="26"/>
  <c r="EW197"/>
  <c r="EV191"/>
  <c r="EV195" s="1"/>
  <c r="I283" i="12"/>
  <c r="J282"/>
  <c r="EW200" i="26" s="1"/>
  <c r="B335" i="12"/>
  <c r="O330"/>
  <c r="O331" s="1"/>
  <c r="P330"/>
  <c r="P331" s="1"/>
  <c r="M284"/>
  <c r="L285"/>
  <c r="F285"/>
  <c r="G285" s="1"/>
  <c r="DR78" i="35" l="1"/>
  <c r="DR71"/>
  <c r="DS65" s="1"/>
  <c r="DS67" s="1"/>
  <c r="DS68" s="1"/>
  <c r="DS72" s="1"/>
  <c r="DE158" i="26"/>
  <c r="DE159" s="1"/>
  <c r="DE163" s="1"/>
  <c r="DI101" i="35"/>
  <c r="DJ95" s="1"/>
  <c r="DF128"/>
  <c r="DF132" s="1"/>
  <c r="DI108"/>
  <c r="V73" i="26"/>
  <c r="W24"/>
  <c r="CY192"/>
  <c r="CZ186" s="1"/>
  <c r="CY199"/>
  <c r="CZ188"/>
  <c r="CZ189" s="1"/>
  <c r="CZ193" s="1"/>
  <c r="EW191"/>
  <c r="EW195" s="1"/>
  <c r="EX197"/>
  <c r="J283" i="12"/>
  <c r="EX200" i="26" s="1"/>
  <c r="I284" i="12"/>
  <c r="V75" i="26"/>
  <c r="V72"/>
  <c r="V79"/>
  <c r="E335" i="12"/>
  <c r="E334" s="1"/>
  <c r="E333" s="1"/>
  <c r="B336"/>
  <c r="R335"/>
  <c r="R334" s="1"/>
  <c r="R333" s="1"/>
  <c r="H335"/>
  <c r="H334" s="1"/>
  <c r="H333" s="1"/>
  <c r="K335"/>
  <c r="K334" s="1"/>
  <c r="K333" s="1"/>
  <c r="C335"/>
  <c r="C334" s="1"/>
  <c r="C333" s="1"/>
  <c r="D333" s="1"/>
  <c r="D334" s="1"/>
  <c r="D335" s="1"/>
  <c r="O335"/>
  <c r="P335"/>
  <c r="Q335"/>
  <c r="Q334" s="1"/>
  <c r="Q333" s="1"/>
  <c r="F286"/>
  <c r="G286" s="1"/>
  <c r="M285"/>
  <c r="L286"/>
  <c r="DE169" i="26" l="1"/>
  <c r="DS78" i="35"/>
  <c r="DS71"/>
  <c r="DT65" s="1"/>
  <c r="DT67" s="1"/>
  <c r="DT68" s="1"/>
  <c r="DT72" s="1"/>
  <c r="DE162" i="26"/>
  <c r="DF156" s="1"/>
  <c r="DF158" s="1"/>
  <c r="DF159" s="1"/>
  <c r="DF163" s="1"/>
  <c r="DF131" i="35"/>
  <c r="DG125" s="1"/>
  <c r="DG127" s="1"/>
  <c r="DG128" s="1"/>
  <c r="DG132" s="1"/>
  <c r="DF138"/>
  <c r="W26" i="26"/>
  <c r="X20" s="1"/>
  <c r="DJ97" i="35"/>
  <c r="CZ192" i="26"/>
  <c r="DA186" s="1"/>
  <c r="DA188" s="1"/>
  <c r="DA189" s="1"/>
  <c r="DA193" s="1"/>
  <c r="CZ199"/>
  <c r="J284" i="12"/>
  <c r="EY200" i="26" s="1"/>
  <c r="I285" i="12"/>
  <c r="EY197" i="26"/>
  <c r="EX191"/>
  <c r="EX195" s="1"/>
  <c r="W66"/>
  <c r="W68" s="1"/>
  <c r="X22" s="1"/>
  <c r="B337" i="12"/>
  <c r="B338" s="1"/>
  <c r="N334"/>
  <c r="N335"/>
  <c r="N333"/>
  <c r="M286"/>
  <c r="L287"/>
  <c r="F287"/>
  <c r="DT71" i="35" l="1"/>
  <c r="DU65" s="1"/>
  <c r="DU67" s="1"/>
  <c r="DU68" s="1"/>
  <c r="DT78"/>
  <c r="DF162" i="26"/>
  <c r="DG156" s="1"/>
  <c r="DG158" s="1"/>
  <c r="DG159" s="1"/>
  <c r="DF169"/>
  <c r="DG131" i="35"/>
  <c r="DH125" s="1"/>
  <c r="DG138"/>
  <c r="DH127"/>
  <c r="DJ98"/>
  <c r="DJ102" s="1"/>
  <c r="DA192" i="26"/>
  <c r="DB186" s="1"/>
  <c r="DB188" s="1"/>
  <c r="DA199"/>
  <c r="EZ197"/>
  <c r="EY191"/>
  <c r="EY195" s="1"/>
  <c r="J285" i="12"/>
  <c r="EZ200" i="26" s="1"/>
  <c r="I286" i="12"/>
  <c r="O333"/>
  <c r="O334" s="1"/>
  <c r="P333"/>
  <c r="P334" s="1"/>
  <c r="B339"/>
  <c r="O338"/>
  <c r="C338"/>
  <c r="K338"/>
  <c r="K337" s="1"/>
  <c r="K336" s="1"/>
  <c r="E338"/>
  <c r="E337" s="1"/>
  <c r="E336" s="1"/>
  <c r="P338"/>
  <c r="H338"/>
  <c r="H337" s="1"/>
  <c r="H336" s="1"/>
  <c r="R338"/>
  <c r="R337" s="1"/>
  <c r="R336" s="1"/>
  <c r="Q338"/>
  <c r="Q337" s="1"/>
  <c r="Q336" s="1"/>
  <c r="F288"/>
  <c r="G288" s="1"/>
  <c r="M287"/>
  <c r="L288"/>
  <c r="G287"/>
  <c r="DU72" i="35" l="1"/>
  <c r="DU78"/>
  <c r="DU71"/>
  <c r="DV65" s="1"/>
  <c r="DG163" i="26"/>
  <c r="DG162"/>
  <c r="DH156" s="1"/>
  <c r="DG169"/>
  <c r="DH128" i="35"/>
  <c r="DH132" s="1"/>
  <c r="DJ101"/>
  <c r="DK95" s="1"/>
  <c r="DK97" s="1"/>
  <c r="DJ108"/>
  <c r="DB189" i="26"/>
  <c r="DB193" s="1"/>
  <c r="I287" i="12"/>
  <c r="J286"/>
  <c r="FA200" i="26" s="1"/>
  <c r="FA197"/>
  <c r="EZ191"/>
  <c r="C337" i="12"/>
  <c r="C336" s="1"/>
  <c r="D336" s="1"/>
  <c r="D337" s="1"/>
  <c r="D338" s="1"/>
  <c r="V129" i="26"/>
  <c r="V133" s="1"/>
  <c r="N338" i="12"/>
  <c r="N337"/>
  <c r="N336"/>
  <c r="B340"/>
  <c r="B341" s="1"/>
  <c r="M288"/>
  <c r="L289"/>
  <c r="F289"/>
  <c r="G289" s="1"/>
  <c r="DV67" i="35" l="1"/>
  <c r="DV68" s="1"/>
  <c r="DV72" s="1"/>
  <c r="DH158" i="26"/>
  <c r="DH159" s="1"/>
  <c r="DH163" s="1"/>
  <c r="DH131" i="35"/>
  <c r="DI125" s="1"/>
  <c r="DI127" s="1"/>
  <c r="DH138"/>
  <c r="DK98"/>
  <c r="DK102" s="1"/>
  <c r="DB199" i="26"/>
  <c r="DB192"/>
  <c r="DC186" s="1"/>
  <c r="DC188" s="1"/>
  <c r="DC189" s="1"/>
  <c r="DC193" s="1"/>
  <c r="EZ195"/>
  <c r="J287" i="12"/>
  <c r="FB200" i="26" s="1"/>
  <c r="I288" i="12"/>
  <c r="FA191" i="26"/>
  <c r="FA195" s="1"/>
  <c r="FB197"/>
  <c r="V139"/>
  <c r="V132"/>
  <c r="W126" s="1"/>
  <c r="B342" i="12"/>
  <c r="C341"/>
  <c r="C340" s="1"/>
  <c r="C339" s="1"/>
  <c r="D339" s="1"/>
  <c r="D340" s="1"/>
  <c r="D341" s="1"/>
  <c r="K341"/>
  <c r="K340" s="1"/>
  <c r="K339" s="1"/>
  <c r="E341"/>
  <c r="E340" s="1"/>
  <c r="E339" s="1"/>
  <c r="H341"/>
  <c r="H340" s="1"/>
  <c r="H339" s="1"/>
  <c r="P341"/>
  <c r="O341"/>
  <c r="R341"/>
  <c r="R340" s="1"/>
  <c r="R339" s="1"/>
  <c r="Q341"/>
  <c r="Q340" s="1"/>
  <c r="Q339" s="1"/>
  <c r="P336"/>
  <c r="P337" s="1"/>
  <c r="O336"/>
  <c r="O337" s="1"/>
  <c r="F290"/>
  <c r="G290" s="1"/>
  <c r="M289"/>
  <c r="L290"/>
  <c r="DH169" i="26" l="1"/>
  <c r="DH162"/>
  <c r="DI156" s="1"/>
  <c r="DI158" s="1"/>
  <c r="DV78" i="35"/>
  <c r="DV71"/>
  <c r="DW65" s="1"/>
  <c r="DI128"/>
  <c r="DI132" s="1"/>
  <c r="DK101"/>
  <c r="DL95" s="1"/>
  <c r="DI131"/>
  <c r="DJ125" s="1"/>
  <c r="DK108"/>
  <c r="DC192" i="26"/>
  <c r="DD186" s="1"/>
  <c r="DD188" s="1"/>
  <c r="DC199"/>
  <c r="FC197"/>
  <c r="FB191"/>
  <c r="I289" i="12"/>
  <c r="J288"/>
  <c r="FC200" i="26" s="1"/>
  <c r="W128"/>
  <c r="N339" i="12"/>
  <c r="N340"/>
  <c r="N341"/>
  <c r="B343"/>
  <c r="B344" s="1"/>
  <c r="M290"/>
  <c r="L291"/>
  <c r="F291"/>
  <c r="G291" s="1"/>
  <c r="DI159" i="26" l="1"/>
  <c r="DI163" s="1"/>
  <c r="DW67" i="35"/>
  <c r="DW68" s="1"/>
  <c r="DW72" s="1"/>
  <c r="DI138"/>
  <c r="DL97"/>
  <c r="DL98" s="1"/>
  <c r="DJ127"/>
  <c r="DJ128" s="1"/>
  <c r="DJ132" s="1"/>
  <c r="DD189" i="26"/>
  <c r="DD193" s="1"/>
  <c r="FB195"/>
  <c r="J289" i="12"/>
  <c r="FD200" i="26" s="1"/>
  <c r="I290" i="12"/>
  <c r="FC191" i="26"/>
  <c r="FC195" s="1"/>
  <c r="FD197"/>
  <c r="B345" i="12"/>
  <c r="P344"/>
  <c r="E344"/>
  <c r="E343" s="1"/>
  <c r="E342" s="1"/>
  <c r="H344"/>
  <c r="H343" s="1"/>
  <c r="H342" s="1"/>
  <c r="C344"/>
  <c r="K344"/>
  <c r="K343" s="1"/>
  <c r="K342" s="1"/>
  <c r="O344"/>
  <c r="R344"/>
  <c r="R343" s="1"/>
  <c r="R342" s="1"/>
  <c r="Q344"/>
  <c r="Q343" s="1"/>
  <c r="Q342" s="1"/>
  <c r="O339"/>
  <c r="O340" s="1"/>
  <c r="P339"/>
  <c r="P340" s="1"/>
  <c r="M291"/>
  <c r="L292"/>
  <c r="F292"/>
  <c r="DI169" i="26" l="1"/>
  <c r="DI162"/>
  <c r="DJ156" s="1"/>
  <c r="DJ158" s="1"/>
  <c r="DW71" i="35"/>
  <c r="DX65" s="1"/>
  <c r="DW78"/>
  <c r="DL102"/>
  <c r="DL101"/>
  <c r="DM95" s="1"/>
  <c r="DJ131"/>
  <c r="DK125" s="1"/>
  <c r="DJ138"/>
  <c r="DL108"/>
  <c r="DD192" i="26"/>
  <c r="DE186" s="1"/>
  <c r="DE188" s="1"/>
  <c r="DE189" s="1"/>
  <c r="DE193" s="1"/>
  <c r="DD199"/>
  <c r="FE197"/>
  <c r="FD191"/>
  <c r="J290" i="12"/>
  <c r="FE200" i="26" s="1"/>
  <c r="I291" i="12"/>
  <c r="C343"/>
  <c r="C342" s="1"/>
  <c r="D342" s="1"/>
  <c r="D343" s="1"/>
  <c r="D344" s="1"/>
  <c r="W60" i="26"/>
  <c r="W69" s="1"/>
  <c r="X23" s="1"/>
  <c r="N343" i="12"/>
  <c r="N342"/>
  <c r="N344"/>
  <c r="B346"/>
  <c r="F293"/>
  <c r="G293" s="1"/>
  <c r="M292"/>
  <c r="L293"/>
  <c r="G292"/>
  <c r="DJ159" i="26" l="1"/>
  <c r="DJ163" s="1"/>
  <c r="DM97" i="35"/>
  <c r="DM98" s="1"/>
  <c r="DM102" s="1"/>
  <c r="DX67"/>
  <c r="DX68" s="1"/>
  <c r="DX72" s="1"/>
  <c r="DK127"/>
  <c r="DK128" s="1"/>
  <c r="DK132" s="1"/>
  <c r="DE199" i="26"/>
  <c r="W70"/>
  <c r="DE192"/>
  <c r="DF186" s="1"/>
  <c r="I292" i="12"/>
  <c r="J291"/>
  <c r="FF200" i="26" s="1"/>
  <c r="FD195"/>
  <c r="FF197"/>
  <c r="FE191"/>
  <c r="FE195" s="1"/>
  <c r="B347" i="12"/>
  <c r="P342"/>
  <c r="P343" s="1"/>
  <c r="O342"/>
  <c r="O343" s="1"/>
  <c r="M293"/>
  <c r="L294"/>
  <c r="F294"/>
  <c r="G294" s="1"/>
  <c r="DX71" i="35" l="1"/>
  <c r="DY65" s="1"/>
  <c r="DY67" s="1"/>
  <c r="DY68" s="1"/>
  <c r="DY72" s="1"/>
  <c r="DM108"/>
  <c r="DJ169" i="26"/>
  <c r="DX78" i="35"/>
  <c r="DJ162" i="26"/>
  <c r="DK156" s="1"/>
  <c r="DK158" s="1"/>
  <c r="DM101" i="35"/>
  <c r="DN95" s="1"/>
  <c r="DN97" s="1"/>
  <c r="DN98" s="1"/>
  <c r="DN102" s="1"/>
  <c r="DK159" i="26"/>
  <c r="DK138" i="35"/>
  <c r="DK131"/>
  <c r="W73" i="26"/>
  <c r="X24"/>
  <c r="DF188"/>
  <c r="DF189" s="1"/>
  <c r="DF193" s="1"/>
  <c r="FG197"/>
  <c r="FF191"/>
  <c r="J292" i="12"/>
  <c r="FG200" i="26" s="1"/>
  <c r="I293" i="12"/>
  <c r="W75" i="26"/>
  <c r="W79"/>
  <c r="W72"/>
  <c r="C347" i="12"/>
  <c r="C346" s="1"/>
  <c r="C345" s="1"/>
  <c r="D345" s="1"/>
  <c r="D346" s="1"/>
  <c r="D347" s="1"/>
  <c r="B348"/>
  <c r="H347"/>
  <c r="H346" s="1"/>
  <c r="H345" s="1"/>
  <c r="O347"/>
  <c r="K347"/>
  <c r="K346" s="1"/>
  <c r="K345" s="1"/>
  <c r="P347"/>
  <c r="E347"/>
  <c r="E346" s="1"/>
  <c r="E345" s="1"/>
  <c r="R347"/>
  <c r="R346" s="1"/>
  <c r="R345" s="1"/>
  <c r="Q347"/>
  <c r="Q346" s="1"/>
  <c r="Q345" s="1"/>
  <c r="F295"/>
  <c r="G295" s="1"/>
  <c r="M294"/>
  <c r="L295"/>
  <c r="DN101" i="35" l="1"/>
  <c r="DO95" s="1"/>
  <c r="DO97" s="1"/>
  <c r="DK169" i="26"/>
  <c r="DN108" i="35"/>
  <c r="DK163" i="26"/>
  <c r="DK162"/>
  <c r="DL156" s="1"/>
  <c r="DY71" i="35"/>
  <c r="DZ65" s="1"/>
  <c r="DZ67" s="1"/>
  <c r="DZ68" s="1"/>
  <c r="DZ72" s="1"/>
  <c r="DY78"/>
  <c r="O26"/>
  <c r="DL125"/>
  <c r="X26" i="26"/>
  <c r="Y20" s="1"/>
  <c r="DF192"/>
  <c r="DG186" s="1"/>
  <c r="DG188" s="1"/>
  <c r="DG189" s="1"/>
  <c r="DG193" s="1"/>
  <c r="DF199"/>
  <c r="J293" i="12"/>
  <c r="FH200" i="26" s="1"/>
  <c r="I294" i="12"/>
  <c r="FF195" i="26"/>
  <c r="FG191"/>
  <c r="FG195" s="1"/>
  <c r="FH197"/>
  <c r="X66"/>
  <c r="X68" s="1"/>
  <c r="Y22" s="1"/>
  <c r="N347" i="12"/>
  <c r="N346"/>
  <c r="N345"/>
  <c r="B349"/>
  <c r="B350" s="1"/>
  <c r="M295"/>
  <c r="L296"/>
  <c r="F296"/>
  <c r="G296" s="1"/>
  <c r="DL158" i="26" l="1"/>
  <c r="DL159" s="1"/>
  <c r="DL163" s="1"/>
  <c r="DZ78" i="35"/>
  <c r="DZ71"/>
  <c r="EA65" s="1"/>
  <c r="DL127"/>
  <c r="DO98"/>
  <c r="DO101" s="1"/>
  <c r="DP95" s="1"/>
  <c r="P20"/>
  <c r="O27"/>
  <c r="S212" i="33" s="1"/>
  <c r="DG199" i="26"/>
  <c r="DG192"/>
  <c r="DH186" s="1"/>
  <c r="FI197"/>
  <c r="FH191"/>
  <c r="FH195" s="1"/>
  <c r="J294" i="12"/>
  <c r="FI200" i="26" s="1"/>
  <c r="I295" i="12"/>
  <c r="P345"/>
  <c r="P346" s="1"/>
  <c r="O345"/>
  <c r="O346" s="1"/>
  <c r="B351"/>
  <c r="O350"/>
  <c r="P350"/>
  <c r="K350"/>
  <c r="K349" s="1"/>
  <c r="K348" s="1"/>
  <c r="E350"/>
  <c r="E349" s="1"/>
  <c r="E348" s="1"/>
  <c r="C350"/>
  <c r="H350"/>
  <c r="H349" s="1"/>
  <c r="H348" s="1"/>
  <c r="R350"/>
  <c r="R349" s="1"/>
  <c r="R348" s="1"/>
  <c r="Q350"/>
  <c r="Q349" s="1"/>
  <c r="Q348" s="1"/>
  <c r="F297"/>
  <c r="G297" s="1"/>
  <c r="M296"/>
  <c r="L297"/>
  <c r="DL169" i="26" l="1"/>
  <c r="DL162"/>
  <c r="DM156" s="1"/>
  <c r="DM158" s="1"/>
  <c r="EA67" i="35"/>
  <c r="EA68" s="1"/>
  <c r="EA72" s="1"/>
  <c r="DO102"/>
  <c r="DP97" s="1"/>
  <c r="DO108"/>
  <c r="DL128"/>
  <c r="O28"/>
  <c r="S218" i="33" s="1"/>
  <c r="S237" s="1"/>
  <c r="DH188" i="26"/>
  <c r="DH189" s="1"/>
  <c r="DH193" s="1"/>
  <c r="J295" i="12"/>
  <c r="FJ200" i="26" s="1"/>
  <c r="I296" i="12"/>
  <c r="FJ197" i="26"/>
  <c r="FI191"/>
  <c r="FI195" s="1"/>
  <c r="C349" i="12"/>
  <c r="C348" s="1"/>
  <c r="D348" s="1"/>
  <c r="D349" s="1"/>
  <c r="D350" s="1"/>
  <c r="W129" i="26"/>
  <c r="W133" s="1"/>
  <c r="N350" i="12"/>
  <c r="N348"/>
  <c r="N349"/>
  <c r="B352"/>
  <c r="M297"/>
  <c r="L298"/>
  <c r="F298"/>
  <c r="G298" s="1"/>
  <c r="EA71" i="35" l="1"/>
  <c r="EB65" s="1"/>
  <c r="DM159" i="26"/>
  <c r="DM163" s="1"/>
  <c r="EB67" i="35"/>
  <c r="EB68" s="1"/>
  <c r="EA78"/>
  <c r="DL131"/>
  <c r="DM125" s="1"/>
  <c r="DL132"/>
  <c r="DP98"/>
  <c r="DP102" s="1"/>
  <c r="S217" i="33"/>
  <c r="DL138" i="35"/>
  <c r="DH192" i="26"/>
  <c r="DI186" s="1"/>
  <c r="DH199"/>
  <c r="FK197"/>
  <c r="FJ191"/>
  <c r="FJ195" s="1"/>
  <c r="J296" i="12"/>
  <c r="FK200" i="26" s="1"/>
  <c r="I297" i="12"/>
  <c r="W135" i="26"/>
  <c r="W139"/>
  <c r="W132"/>
  <c r="B353" i="12"/>
  <c r="P348"/>
  <c r="P349" s="1"/>
  <c r="O348"/>
  <c r="O349" s="1"/>
  <c r="F299"/>
  <c r="G299" s="1"/>
  <c r="M298"/>
  <c r="L299"/>
  <c r="DP108" i="35" l="1"/>
  <c r="EB72"/>
  <c r="EB78"/>
  <c r="DM162" i="26"/>
  <c r="DN156" s="1"/>
  <c r="DM169"/>
  <c r="EB71" i="35"/>
  <c r="EC65" s="1"/>
  <c r="DP101"/>
  <c r="DQ95" s="1"/>
  <c r="DQ97" s="1"/>
  <c r="DM127"/>
  <c r="DM128" s="1"/>
  <c r="DM132" s="1"/>
  <c r="H26" i="26"/>
  <c r="I20" s="1"/>
  <c r="DI188"/>
  <c r="DI189" s="1"/>
  <c r="J297" i="12"/>
  <c r="FL200" i="26" s="1"/>
  <c r="I298" i="12"/>
  <c r="FK191" i="26"/>
  <c r="FK195" s="1"/>
  <c r="FL197"/>
  <c r="X126"/>
  <c r="X128" s="1"/>
  <c r="B354" i="12"/>
  <c r="O353"/>
  <c r="H353"/>
  <c r="H352" s="1"/>
  <c r="H351" s="1"/>
  <c r="C353"/>
  <c r="C352" s="1"/>
  <c r="C351" s="1"/>
  <c r="D351" s="1"/>
  <c r="D352" s="1"/>
  <c r="D353" s="1"/>
  <c r="K353"/>
  <c r="K352" s="1"/>
  <c r="K351" s="1"/>
  <c r="E353"/>
  <c r="E352" s="1"/>
  <c r="E351" s="1"/>
  <c r="P353"/>
  <c r="R353"/>
  <c r="R352" s="1"/>
  <c r="R351" s="1"/>
  <c r="Q353"/>
  <c r="Q352" s="1"/>
  <c r="Q351" s="1"/>
  <c r="M299"/>
  <c r="L300"/>
  <c r="F300"/>
  <c r="G300" s="1"/>
  <c r="DN158" i="26" l="1"/>
  <c r="DN159" s="1"/>
  <c r="DN163" s="1"/>
  <c r="EC67" i="35"/>
  <c r="EC68" s="1"/>
  <c r="EC72" s="1"/>
  <c r="DM138"/>
  <c r="DQ98"/>
  <c r="DQ102" s="1"/>
  <c r="DM131"/>
  <c r="DN125" s="1"/>
  <c r="DN127" s="1"/>
  <c r="DN128" s="1"/>
  <c r="DN132" s="1"/>
  <c r="DI190" i="26"/>
  <c r="P24" s="1"/>
  <c r="FM197"/>
  <c r="FL191"/>
  <c r="I299" i="12"/>
  <c r="J298"/>
  <c r="FM200" i="26" s="1"/>
  <c r="B355" i="12"/>
  <c r="B356" s="1"/>
  <c r="N352"/>
  <c r="N353"/>
  <c r="N351"/>
  <c r="M300"/>
  <c r="L301"/>
  <c r="F301"/>
  <c r="DN169" i="26" l="1"/>
  <c r="DN162"/>
  <c r="DO156" s="1"/>
  <c r="DO158" s="1"/>
  <c r="EC71" i="35"/>
  <c r="ED65" s="1"/>
  <c r="ED67" s="1"/>
  <c r="ED68" s="1"/>
  <c r="ED72" s="1"/>
  <c r="EC78"/>
  <c r="DQ108"/>
  <c r="DN138"/>
  <c r="DN131"/>
  <c r="DO125" s="1"/>
  <c r="DO127" s="1"/>
  <c r="DQ101"/>
  <c r="DR95" s="1"/>
  <c r="DI199" i="26"/>
  <c r="DI193"/>
  <c r="DI192"/>
  <c r="DJ186" s="1"/>
  <c r="DI195"/>
  <c r="FL195"/>
  <c r="J299" i="12"/>
  <c r="FN200" i="26" s="1"/>
  <c r="I300" i="12"/>
  <c r="FM191" i="26"/>
  <c r="FM195" s="1"/>
  <c r="FN197"/>
  <c r="B357" i="12"/>
  <c r="O356"/>
  <c r="K356"/>
  <c r="K355" s="1"/>
  <c r="K354" s="1"/>
  <c r="C356"/>
  <c r="E356"/>
  <c r="E355" s="1"/>
  <c r="E354" s="1"/>
  <c r="P356"/>
  <c r="R356"/>
  <c r="R355" s="1"/>
  <c r="R354" s="1"/>
  <c r="H356"/>
  <c r="H355" s="1"/>
  <c r="H354" s="1"/>
  <c r="Q356"/>
  <c r="Q355" s="1"/>
  <c r="Q354" s="1"/>
  <c r="O351"/>
  <c r="O352" s="1"/>
  <c r="P351"/>
  <c r="P352" s="1"/>
  <c r="F302"/>
  <c r="G302" s="1"/>
  <c r="M301"/>
  <c r="L302"/>
  <c r="G301"/>
  <c r="DO159" i="26" l="1"/>
  <c r="DO163" s="1"/>
  <c r="ED78" i="35"/>
  <c r="ED71"/>
  <c r="EE65" s="1"/>
  <c r="DO128"/>
  <c r="DO138" s="1"/>
  <c r="DR97"/>
  <c r="DJ188" i="26"/>
  <c r="DJ189" s="1"/>
  <c r="DJ193" s="1"/>
  <c r="FO197"/>
  <c r="FN191"/>
  <c r="J300" i="12"/>
  <c r="FO200" i="26" s="1"/>
  <c r="I301" i="12"/>
  <c r="C355"/>
  <c r="C354" s="1"/>
  <c r="D354" s="1"/>
  <c r="D355" s="1"/>
  <c r="D356" s="1"/>
  <c r="X60" i="26"/>
  <c r="X69" s="1"/>
  <c r="Y23" s="1"/>
  <c r="B358" i="12"/>
  <c r="B359" s="1"/>
  <c r="N355"/>
  <c r="N356"/>
  <c r="N354"/>
  <c r="F303"/>
  <c r="G303" s="1"/>
  <c r="M302"/>
  <c r="L303"/>
  <c r="DO162" i="26" l="1"/>
  <c r="DP156" s="1"/>
  <c r="DP158" s="1"/>
  <c r="DO169"/>
  <c r="EE67" i="35"/>
  <c r="EE68" s="1"/>
  <c r="EE72" s="1"/>
  <c r="DR98"/>
  <c r="DR108" s="1"/>
  <c r="DO131"/>
  <c r="DP125" s="1"/>
  <c r="DO132"/>
  <c r="DJ199" i="26"/>
  <c r="DJ192"/>
  <c r="DK186" s="1"/>
  <c r="DK188" s="1"/>
  <c r="DK189" s="1"/>
  <c r="DK193" s="1"/>
  <c r="X70"/>
  <c r="FP197"/>
  <c r="FO191"/>
  <c r="FO195" s="1"/>
  <c r="J301" i="12"/>
  <c r="FP200" i="26" s="1"/>
  <c r="I302" i="12"/>
  <c r="FN195" i="26"/>
  <c r="O354" i="12"/>
  <c r="O355" s="1"/>
  <c r="P354"/>
  <c r="P355" s="1"/>
  <c r="B360"/>
  <c r="B361" s="1"/>
  <c r="B362" s="1"/>
  <c r="H359"/>
  <c r="H358" s="1"/>
  <c r="H357" s="1"/>
  <c r="O359"/>
  <c r="C359"/>
  <c r="C358" s="1"/>
  <c r="C357" s="1"/>
  <c r="D357" s="1"/>
  <c r="D358" s="1"/>
  <c r="D359" s="1"/>
  <c r="E359"/>
  <c r="E358" s="1"/>
  <c r="E357" s="1"/>
  <c r="P359"/>
  <c r="R359"/>
  <c r="R358" s="1"/>
  <c r="R357" s="1"/>
  <c r="Q359"/>
  <c r="Q358" s="1"/>
  <c r="Q357" s="1"/>
  <c r="M303"/>
  <c r="L304"/>
  <c r="F304"/>
  <c r="G304" s="1"/>
  <c r="DP159" i="26" l="1"/>
  <c r="DP163" s="1"/>
  <c r="EE71" i="35"/>
  <c r="EF65" s="1"/>
  <c r="EF67" s="1"/>
  <c r="EF68" s="1"/>
  <c r="EF72" s="1"/>
  <c r="EE78"/>
  <c r="DR102"/>
  <c r="DR101"/>
  <c r="DS95" s="1"/>
  <c r="DP127"/>
  <c r="DP128" s="1"/>
  <c r="DP132" s="1"/>
  <c r="X73" i="26"/>
  <c r="Y24"/>
  <c r="DK199"/>
  <c r="DK192"/>
  <c r="DL186" s="1"/>
  <c r="DL188" s="1"/>
  <c r="DL189" s="1"/>
  <c r="DL193" s="1"/>
  <c r="FP191"/>
  <c r="FQ197"/>
  <c r="I303" i="12"/>
  <c r="J302"/>
  <c r="FQ200" i="26" s="1"/>
  <c r="X75"/>
  <c r="X79"/>
  <c r="X72"/>
  <c r="B363" i="12"/>
  <c r="O362"/>
  <c r="H362"/>
  <c r="H361" s="1"/>
  <c r="H360" s="1"/>
  <c r="C362"/>
  <c r="E362"/>
  <c r="E361" s="1"/>
  <c r="E360" s="1"/>
  <c r="P362"/>
  <c r="R362"/>
  <c r="R361" s="1"/>
  <c r="R360" s="1"/>
  <c r="Q362"/>
  <c r="Q361" s="1"/>
  <c r="Q360" s="1"/>
  <c r="N358"/>
  <c r="N359"/>
  <c r="N357"/>
  <c r="F305"/>
  <c r="G305" s="1"/>
  <c r="M304"/>
  <c r="L305"/>
  <c r="DP162" i="26" l="1"/>
  <c r="DQ156" s="1"/>
  <c r="DQ158" s="1"/>
  <c r="DP169"/>
  <c r="DP131" i="35"/>
  <c r="DQ125" s="1"/>
  <c r="DQ127" s="1"/>
  <c r="DQ128" s="1"/>
  <c r="DQ132" s="1"/>
  <c r="EF71"/>
  <c r="EG65" s="1"/>
  <c r="DP138"/>
  <c r="EF78"/>
  <c r="DS97"/>
  <c r="Y26" i="26"/>
  <c r="Z20" s="1"/>
  <c r="DL199"/>
  <c r="DL192"/>
  <c r="DM186" s="1"/>
  <c r="J303" i="12"/>
  <c r="FR200" i="26" s="1"/>
  <c r="I304" i="12"/>
  <c r="FR197" i="26"/>
  <c r="FQ191"/>
  <c r="FQ195" s="1"/>
  <c r="FP195"/>
  <c r="Y66"/>
  <c r="Y68" s="1"/>
  <c r="Z22" s="1"/>
  <c r="C361" i="12"/>
  <c r="C360" s="1"/>
  <c r="D360" s="1"/>
  <c r="D361" s="1"/>
  <c r="D362" s="1"/>
  <c r="X129" i="26"/>
  <c r="B364" i="12"/>
  <c r="O357"/>
  <c r="O358" s="1"/>
  <c r="P357"/>
  <c r="P358" s="1"/>
  <c r="N362"/>
  <c r="N361"/>
  <c r="N360"/>
  <c r="M305"/>
  <c r="L306"/>
  <c r="F306"/>
  <c r="G306" s="1"/>
  <c r="DQ159" i="26" l="1"/>
  <c r="EG67" i="35"/>
  <c r="EG68" s="1"/>
  <c r="DQ138"/>
  <c r="DS98"/>
  <c r="DS102" s="1"/>
  <c r="DQ131"/>
  <c r="DR125" s="1"/>
  <c r="X133" i="26"/>
  <c r="DM188"/>
  <c r="DM189" s="1"/>
  <c r="DM193" s="1"/>
  <c r="J304" i="12"/>
  <c r="FS200" i="26" s="1"/>
  <c r="I305" i="12"/>
  <c r="FS197" i="26"/>
  <c r="FR191"/>
  <c r="X139"/>
  <c r="B365" i="12"/>
  <c r="O360"/>
  <c r="O361" s="1"/>
  <c r="P360"/>
  <c r="P361" s="1"/>
  <c r="M306"/>
  <c r="L307"/>
  <c r="F307"/>
  <c r="DQ163" i="26" l="1"/>
  <c r="DQ162"/>
  <c r="DR156" s="1"/>
  <c r="DQ169"/>
  <c r="EG72" i="35"/>
  <c r="EG78"/>
  <c r="DS108"/>
  <c r="EG71"/>
  <c r="EH65" s="1"/>
  <c r="DS101"/>
  <c r="DT95" s="1"/>
  <c r="DT97" s="1"/>
  <c r="DT98" s="1"/>
  <c r="DT102" s="1"/>
  <c r="DR127"/>
  <c r="DR128" s="1"/>
  <c r="DR132" s="1"/>
  <c r="DM192" i="26"/>
  <c r="DN186" s="1"/>
  <c r="X132"/>
  <c r="Y126" s="1"/>
  <c r="Y128" s="1"/>
  <c r="DN188"/>
  <c r="DM199"/>
  <c r="FS191"/>
  <c r="FS195" s="1"/>
  <c r="FT197"/>
  <c r="FR195"/>
  <c r="J305" i="12"/>
  <c r="FT200" i="26" s="1"/>
  <c r="I306" i="12"/>
  <c r="X135" i="26"/>
  <c r="B366" i="12"/>
  <c r="H365"/>
  <c r="H364" s="1"/>
  <c r="H363" s="1"/>
  <c r="E365"/>
  <c r="E364" s="1"/>
  <c r="E363" s="1"/>
  <c r="O365"/>
  <c r="C365"/>
  <c r="C364" s="1"/>
  <c r="C363" s="1"/>
  <c r="D363" s="1"/>
  <c r="D364" s="1"/>
  <c r="D365" s="1"/>
  <c r="P365"/>
  <c r="R365"/>
  <c r="R364" s="1"/>
  <c r="R363" s="1"/>
  <c r="Q365"/>
  <c r="Q364" s="1"/>
  <c r="Q363" s="1"/>
  <c r="F308"/>
  <c r="G308" s="1"/>
  <c r="M307"/>
  <c r="L308"/>
  <c r="G307"/>
  <c r="DR158" i="26" l="1"/>
  <c r="DR159" s="1"/>
  <c r="DR163" s="1"/>
  <c r="EH67" i="35"/>
  <c r="EH68" s="1"/>
  <c r="EH72" s="1"/>
  <c r="DT108"/>
  <c r="DT101"/>
  <c r="DU95" s="1"/>
  <c r="DU97" s="1"/>
  <c r="DU98" s="1"/>
  <c r="DU102" s="1"/>
  <c r="DR131"/>
  <c r="DS125" s="1"/>
  <c r="DR138"/>
  <c r="DN189" i="26"/>
  <c r="DN193" s="1"/>
  <c r="J306" i="12"/>
  <c r="FU200" i="26" s="1"/>
  <c r="I307" i="12"/>
  <c r="FU197" i="26"/>
  <c r="FT191"/>
  <c r="FT195" s="1"/>
  <c r="N364" i="12"/>
  <c r="N365"/>
  <c r="N363"/>
  <c r="B367"/>
  <c r="F309"/>
  <c r="G309" s="1"/>
  <c r="M308"/>
  <c r="L309"/>
  <c r="DR169" i="26" l="1"/>
  <c r="EH78" i="35"/>
  <c r="DR162" i="26"/>
  <c r="DS156" s="1"/>
  <c r="EH71" i="35"/>
  <c r="EI65" s="1"/>
  <c r="EI67" s="1"/>
  <c r="DU108"/>
  <c r="DU101"/>
  <c r="DV95" s="1"/>
  <c r="DV97" s="1"/>
  <c r="DS127"/>
  <c r="DS128" s="1"/>
  <c r="DN192" i="26"/>
  <c r="DO186" s="1"/>
  <c r="DN199"/>
  <c r="FV197"/>
  <c r="FU191"/>
  <c r="FU195" s="1"/>
  <c r="J307" i="12"/>
  <c r="FV200" i="26" s="1"/>
  <c r="I308" i="12"/>
  <c r="O363"/>
  <c r="O364" s="1"/>
  <c r="P363"/>
  <c r="P364" s="1"/>
  <c r="B368"/>
  <c r="M309"/>
  <c r="L310"/>
  <c r="F310"/>
  <c r="DS158" i="26" l="1"/>
  <c r="EI68" i="35"/>
  <c r="EI72" s="1"/>
  <c r="DV98"/>
  <c r="DV102" s="1"/>
  <c r="DS132"/>
  <c r="DS138"/>
  <c r="DS131"/>
  <c r="DT125" s="1"/>
  <c r="DO188" i="26"/>
  <c r="DO189" s="1"/>
  <c r="DO193" s="1"/>
  <c r="J308" i="12"/>
  <c r="FW200" i="26" s="1"/>
  <c r="I309" i="12"/>
  <c r="FV191" i="26"/>
  <c r="FV195" s="1"/>
  <c r="FW197"/>
  <c r="B369" i="12"/>
  <c r="C368"/>
  <c r="O368"/>
  <c r="H368"/>
  <c r="H367" s="1"/>
  <c r="H366" s="1"/>
  <c r="E368"/>
  <c r="E367" s="1"/>
  <c r="E366" s="1"/>
  <c r="P368"/>
  <c r="R368"/>
  <c r="R367" s="1"/>
  <c r="R366" s="1"/>
  <c r="Q368"/>
  <c r="Q367" s="1"/>
  <c r="Q366" s="1"/>
  <c r="F311"/>
  <c r="M310"/>
  <c r="L311"/>
  <c r="G310"/>
  <c r="EI78" i="35" l="1"/>
  <c r="DS159" i="26"/>
  <c r="DV101" i="35"/>
  <c r="DW95" s="1"/>
  <c r="DW98" s="1"/>
  <c r="DW102" s="1"/>
  <c r="EI71"/>
  <c r="EJ65" s="1"/>
  <c r="DW97"/>
  <c r="DV108"/>
  <c r="DT127"/>
  <c r="DT128" s="1"/>
  <c r="DT132" s="1"/>
  <c r="DO192" i="26"/>
  <c r="DP186" s="1"/>
  <c r="DP188" s="1"/>
  <c r="DP189" s="1"/>
  <c r="DP193" s="1"/>
  <c r="DO199"/>
  <c r="FW191"/>
  <c r="FW195" s="1"/>
  <c r="FX197"/>
  <c r="I310" i="12"/>
  <c r="J309"/>
  <c r="FX200" i="26" s="1"/>
  <c r="C367" i="12"/>
  <c r="C366" s="1"/>
  <c r="D366" s="1"/>
  <c r="D367" s="1"/>
  <c r="D368" s="1"/>
  <c r="Y60" i="26"/>
  <c r="Y69" s="1"/>
  <c r="Z23" s="1"/>
  <c r="N368" i="12"/>
  <c r="N367"/>
  <c r="N366"/>
  <c r="B370"/>
  <c r="B371" s="1"/>
  <c r="F312"/>
  <c r="G312" s="1"/>
  <c r="M311"/>
  <c r="L312"/>
  <c r="G311"/>
  <c r="DT131" i="35" l="1"/>
  <c r="DU125" s="1"/>
  <c r="DU127" s="1"/>
  <c r="DU128" s="1"/>
  <c r="DU132" s="1"/>
  <c r="DS163" i="26"/>
  <c r="DS162"/>
  <c r="DT156" s="1"/>
  <c r="EJ67" i="35"/>
  <c r="DT138"/>
  <c r="DS169" i="26"/>
  <c r="DW108" i="35"/>
  <c r="DW101"/>
  <c r="DX95" s="1"/>
  <c r="Y70" i="26"/>
  <c r="DP199"/>
  <c r="DP192"/>
  <c r="DQ186" s="1"/>
  <c r="J310" i="12"/>
  <c r="FY200" i="26" s="1"/>
  <c r="I311" i="12"/>
  <c r="FY197" i="26"/>
  <c r="FX191"/>
  <c r="B372" i="12"/>
  <c r="C371"/>
  <c r="C370" s="1"/>
  <c r="C369" s="1"/>
  <c r="D369" s="1"/>
  <c r="D370" s="1"/>
  <c r="D371" s="1"/>
  <c r="H371"/>
  <c r="H370" s="1"/>
  <c r="H369" s="1"/>
  <c r="E371"/>
  <c r="E370" s="1"/>
  <c r="E369" s="1"/>
  <c r="O371"/>
  <c r="P371"/>
  <c r="R371"/>
  <c r="R370" s="1"/>
  <c r="R369" s="1"/>
  <c r="Q371"/>
  <c r="Q370" s="1"/>
  <c r="Q369" s="1"/>
  <c r="P366"/>
  <c r="P367" s="1"/>
  <c r="O366"/>
  <c r="O367" s="1"/>
  <c r="M312"/>
  <c r="L313"/>
  <c r="F313"/>
  <c r="G313" s="1"/>
  <c r="DT158" i="26" l="1"/>
  <c r="DT159" s="1"/>
  <c r="DT163" s="1"/>
  <c r="EJ68" i="35"/>
  <c r="EJ72" s="1"/>
  <c r="DT162" i="26"/>
  <c r="DU156" s="1"/>
  <c r="DU138" i="35"/>
  <c r="DX97"/>
  <c r="DX98" s="1"/>
  <c r="DX102" s="1"/>
  <c r="DU131"/>
  <c r="DV125" s="1"/>
  <c r="Y73" i="26"/>
  <c r="Z24"/>
  <c r="DQ188"/>
  <c r="DQ189" s="1"/>
  <c r="DQ193" s="1"/>
  <c r="FX195"/>
  <c r="I312" i="12"/>
  <c r="J311"/>
  <c r="FZ200" i="26" s="1"/>
  <c r="FY191"/>
  <c r="FY195" s="1"/>
  <c r="FZ197"/>
  <c r="Y72"/>
  <c r="Y79"/>
  <c r="Y75"/>
  <c r="B373" i="12"/>
  <c r="B374" s="1"/>
  <c r="N370"/>
  <c r="N371"/>
  <c r="N369"/>
  <c r="F314"/>
  <c r="G314" s="1"/>
  <c r="M313"/>
  <c r="L314"/>
  <c r="DU158" i="26" l="1"/>
  <c r="DT169"/>
  <c r="DU159"/>
  <c r="DU162" s="1"/>
  <c r="DV156" s="1"/>
  <c r="EJ71" i="35"/>
  <c r="EK65" s="1"/>
  <c r="EJ78"/>
  <c r="DX108"/>
  <c r="DV127"/>
  <c r="DV128" s="1"/>
  <c r="DV132" s="1"/>
  <c r="DX101"/>
  <c r="DY95" s="1"/>
  <c r="DY97" s="1"/>
  <c r="Z26" i="26"/>
  <c r="AA20" s="1"/>
  <c r="DQ192"/>
  <c r="DR186" s="1"/>
  <c r="DR188" s="1"/>
  <c r="DR189" s="1"/>
  <c r="DR193" s="1"/>
  <c r="DQ199"/>
  <c r="J312" i="12"/>
  <c r="GA200" i="26" s="1"/>
  <c r="I313" i="12"/>
  <c r="FZ191" i="26"/>
  <c r="GA197"/>
  <c r="Z66"/>
  <c r="Z68" s="1"/>
  <c r="AA22" s="1"/>
  <c r="O369" i="12"/>
  <c r="O370" s="1"/>
  <c r="P369"/>
  <c r="P370" s="1"/>
  <c r="B375"/>
  <c r="O374"/>
  <c r="C374"/>
  <c r="H374"/>
  <c r="H373" s="1"/>
  <c r="H372" s="1"/>
  <c r="E374"/>
  <c r="E373" s="1"/>
  <c r="E372" s="1"/>
  <c r="P374"/>
  <c r="R374"/>
  <c r="R373" s="1"/>
  <c r="R372" s="1"/>
  <c r="Q374"/>
  <c r="Q373" s="1"/>
  <c r="Q372" s="1"/>
  <c r="M314"/>
  <c r="L315"/>
  <c r="F315"/>
  <c r="G315" s="1"/>
  <c r="DU163" i="26" l="1"/>
  <c r="DV158" s="1"/>
  <c r="DV159" s="1"/>
  <c r="DV163" s="1"/>
  <c r="DU169"/>
  <c r="EK67" i="35"/>
  <c r="EK68" s="1"/>
  <c r="EK72" s="1"/>
  <c r="DY98"/>
  <c r="DY102" s="1"/>
  <c r="DV131"/>
  <c r="DW125" s="1"/>
  <c r="DV138"/>
  <c r="DR192" i="26"/>
  <c r="DS186" s="1"/>
  <c r="DS188" s="1"/>
  <c r="DS189" s="1"/>
  <c r="DS193" s="1"/>
  <c r="DR199"/>
  <c r="GA191"/>
  <c r="GB197"/>
  <c r="FZ195"/>
  <c r="J313" i="12"/>
  <c r="GB200" i="26" s="1"/>
  <c r="I314" i="12"/>
  <c r="C373"/>
  <c r="C372" s="1"/>
  <c r="D372" s="1"/>
  <c r="D373" s="1"/>
  <c r="D374" s="1"/>
  <c r="Y129" i="26"/>
  <c r="N374" i="12"/>
  <c r="N373"/>
  <c r="N372"/>
  <c r="B376"/>
  <c r="B377" s="1"/>
  <c r="F316"/>
  <c r="M315"/>
  <c r="L316"/>
  <c r="DV169" i="26" l="1"/>
  <c r="EK71" i="35"/>
  <c r="EL65" s="1"/>
  <c r="EL67" s="1"/>
  <c r="EL68" s="1"/>
  <c r="EL72" s="1"/>
  <c r="DV162" i="26"/>
  <c r="DW156" s="1"/>
  <c r="EK78" i="35"/>
  <c r="DW158" i="26"/>
  <c r="DW159" s="1"/>
  <c r="DW163" s="1"/>
  <c r="DY101" i="35"/>
  <c r="DZ95" s="1"/>
  <c r="DZ97" s="1"/>
  <c r="DW127"/>
  <c r="DW128" s="1"/>
  <c r="DW132" s="1"/>
  <c r="DY108"/>
  <c r="Y133" i="26"/>
  <c r="GA195"/>
  <c r="DS199"/>
  <c r="DS192"/>
  <c r="DT186" s="1"/>
  <c r="J314" i="12"/>
  <c r="GC200" i="26" s="1"/>
  <c r="I315" i="12"/>
  <c r="GB191" i="26"/>
  <c r="GC197"/>
  <c r="Y132"/>
  <c r="Z126" s="1"/>
  <c r="Y139"/>
  <c r="B378" i="12"/>
  <c r="B379" s="1"/>
  <c r="B380" s="1"/>
  <c r="C377"/>
  <c r="C376" s="1"/>
  <c r="C375" s="1"/>
  <c r="D375" s="1"/>
  <c r="D376" s="1"/>
  <c r="D377" s="1"/>
  <c r="H377"/>
  <c r="H376" s="1"/>
  <c r="H375" s="1"/>
  <c r="E377"/>
  <c r="E376" s="1"/>
  <c r="E375" s="1"/>
  <c r="O377"/>
  <c r="P377"/>
  <c r="R377"/>
  <c r="R376" s="1"/>
  <c r="R375" s="1"/>
  <c r="Q377"/>
  <c r="Q376" s="1"/>
  <c r="Q375" s="1"/>
  <c r="O372"/>
  <c r="O373" s="1"/>
  <c r="P372"/>
  <c r="P373" s="1"/>
  <c r="M316"/>
  <c r="L317"/>
  <c r="F317"/>
  <c r="G317" s="1"/>
  <c r="G316"/>
  <c r="EL78" i="35" l="1"/>
  <c r="EL71"/>
  <c r="EM65" s="1"/>
  <c r="EM67" s="1"/>
  <c r="EM68" s="1"/>
  <c r="EM72" s="1"/>
  <c r="DW162" i="26"/>
  <c r="DX156" s="1"/>
  <c r="DX158" s="1"/>
  <c r="DX159" s="1"/>
  <c r="DX163" s="1"/>
  <c r="DW169"/>
  <c r="DZ98" i="35"/>
  <c r="DZ102" s="1"/>
  <c r="DW138"/>
  <c r="DW131"/>
  <c r="DT188" i="26"/>
  <c r="DT189" s="1"/>
  <c r="DT193" s="1"/>
  <c r="GB195"/>
  <c r="J315" i="12"/>
  <c r="GD200" i="26" s="1"/>
  <c r="I316" i="12"/>
  <c r="GD197" i="26"/>
  <c r="GC191"/>
  <c r="Z128"/>
  <c r="Z129" s="1"/>
  <c r="K380" i="12"/>
  <c r="K379" s="1"/>
  <c r="K378" s="1"/>
  <c r="K377" s="1"/>
  <c r="K376" s="1"/>
  <c r="K375" s="1"/>
  <c r="K374" s="1"/>
  <c r="K373" s="1"/>
  <c r="K372" s="1"/>
  <c r="K371" s="1"/>
  <c r="K370" s="1"/>
  <c r="K369" s="1"/>
  <c r="K368" s="1"/>
  <c r="K367" s="1"/>
  <c r="K366" s="1"/>
  <c r="K365" s="1"/>
  <c r="K364" s="1"/>
  <c r="K363" s="1"/>
  <c r="K362" s="1"/>
  <c r="K361" s="1"/>
  <c r="K360" s="1"/>
  <c r="K359" s="1"/>
  <c r="K358" s="1"/>
  <c r="K357" s="1"/>
  <c r="H380"/>
  <c r="H379" s="1"/>
  <c r="H378" s="1"/>
  <c r="O380"/>
  <c r="C380"/>
  <c r="P380"/>
  <c r="E380"/>
  <c r="E379" s="1"/>
  <c r="E378" s="1"/>
  <c r="R380"/>
  <c r="Q380"/>
  <c r="Q379" s="1"/>
  <c r="Q378" s="1"/>
  <c r="N375"/>
  <c r="N376"/>
  <c r="N377"/>
  <c r="F318"/>
  <c r="G318" s="1"/>
  <c r="M317"/>
  <c r="L318"/>
  <c r="EM78" i="35" l="1"/>
  <c r="EM71"/>
  <c r="EN65" s="1"/>
  <c r="DX162" i="26"/>
  <c r="DY156" s="1"/>
  <c r="DY158" s="1"/>
  <c r="DY159" s="1"/>
  <c r="DY163" s="1"/>
  <c r="DX169"/>
  <c r="DZ108" i="35"/>
  <c r="DX125"/>
  <c r="P26"/>
  <c r="DZ101"/>
  <c r="EA95" s="1"/>
  <c r="EA97" s="1"/>
  <c r="EA98" s="1"/>
  <c r="EA102" s="1"/>
  <c r="GC195" i="26"/>
  <c r="Z133"/>
  <c r="DT199"/>
  <c r="DT192"/>
  <c r="DU186" s="1"/>
  <c r="J316" i="12"/>
  <c r="GE200" i="26" s="1"/>
  <c r="I317" i="12"/>
  <c r="GD191" i="26"/>
  <c r="GD195" s="1"/>
  <c r="GE197"/>
  <c r="Z139"/>
  <c r="Z132"/>
  <c r="AA126" s="1"/>
  <c r="AA128" s="1"/>
  <c r="C379" i="12"/>
  <c r="C378" s="1"/>
  <c r="D378" s="1"/>
  <c r="D379" s="1"/>
  <c r="D380" s="1"/>
  <c r="Z60" i="26"/>
  <c r="Z69" s="1"/>
  <c r="AA23" s="1"/>
  <c r="O375" i="12"/>
  <c r="O376" s="1"/>
  <c r="P375"/>
  <c r="P376" s="1"/>
  <c r="R379"/>
  <c r="R378" s="1"/>
  <c r="N378"/>
  <c r="N380"/>
  <c r="N379"/>
  <c r="M318"/>
  <c r="L319"/>
  <c r="F319"/>
  <c r="EN67" i="35" l="1"/>
  <c r="EN68" s="1"/>
  <c r="EN72" s="1"/>
  <c r="DY169" i="26"/>
  <c r="DY162"/>
  <c r="DZ156" s="1"/>
  <c r="Q20" i="35"/>
  <c r="P27"/>
  <c r="T212" i="33" s="1"/>
  <c r="EA108" i="35"/>
  <c r="EA101"/>
  <c r="EB95" s="1"/>
  <c r="EB97" s="1"/>
  <c r="EB98" s="1"/>
  <c r="EB102" s="1"/>
  <c r="DX127"/>
  <c r="Z73" i="26"/>
  <c r="DU188"/>
  <c r="DU189" s="1"/>
  <c r="GF197"/>
  <c r="GE191"/>
  <c r="GE195" s="1"/>
  <c r="J317" i="12"/>
  <c r="GF200" i="26" s="1"/>
  <c r="I318" i="12"/>
  <c r="AA129" i="26"/>
  <c r="AA133" s="1"/>
  <c r="Z79"/>
  <c r="Z72"/>
  <c r="O378" i="12"/>
  <c r="O379" s="1"/>
  <c r="P378"/>
  <c r="P379" s="1"/>
  <c r="F320"/>
  <c r="G320" s="1"/>
  <c r="M319"/>
  <c r="L320"/>
  <c r="G319"/>
  <c r="EN71" i="35" l="1"/>
  <c r="EO65" s="1"/>
  <c r="EO67" s="1"/>
  <c r="EO68" s="1"/>
  <c r="EO72" s="1"/>
  <c r="EN78"/>
  <c r="DZ158" i="26"/>
  <c r="DZ159" s="1"/>
  <c r="DZ163" s="1"/>
  <c r="DX128" i="35"/>
  <c r="DX138" s="1"/>
  <c r="EB101"/>
  <c r="EC95" s="1"/>
  <c r="EB108"/>
  <c r="P28"/>
  <c r="T218" i="33" s="1"/>
  <c r="T237" s="1"/>
  <c r="AA26" i="26"/>
  <c r="AB20" s="1"/>
  <c r="DU190"/>
  <c r="J318" i="12"/>
  <c r="GG200" i="26" s="1"/>
  <c r="I319" i="12"/>
  <c r="GF191" i="26"/>
  <c r="GF195" s="1"/>
  <c r="GG197"/>
  <c r="AA132"/>
  <c r="AB126" s="1"/>
  <c r="AB128" s="1"/>
  <c r="AA139"/>
  <c r="M320" i="12"/>
  <c r="L321"/>
  <c r="F321"/>
  <c r="EO78" i="35" l="1"/>
  <c r="EO71"/>
  <c r="EP65" s="1"/>
  <c r="DZ169" i="26"/>
  <c r="DZ162"/>
  <c r="EA156" s="1"/>
  <c r="EA158" s="1"/>
  <c r="DX132" i="35"/>
  <c r="DX131"/>
  <c r="DY125" s="1"/>
  <c r="T217" i="33"/>
  <c r="EC97" i="35"/>
  <c r="EC98" s="1"/>
  <c r="EC102" s="1"/>
  <c r="DU193" i="26"/>
  <c r="Q24"/>
  <c r="DU195"/>
  <c r="DU199"/>
  <c r="DU192"/>
  <c r="DV186" s="1"/>
  <c r="GH197"/>
  <c r="GG191"/>
  <c r="GG195" s="1"/>
  <c r="I320" i="12"/>
  <c r="J319"/>
  <c r="GH200" i="26" s="1"/>
  <c r="AB129"/>
  <c r="AB133" s="1"/>
  <c r="F322" i="12"/>
  <c r="M321"/>
  <c r="L322"/>
  <c r="G321"/>
  <c r="EP67" i="35" l="1"/>
  <c r="EP68" s="1"/>
  <c r="EP72" s="1"/>
  <c r="EA159" i="26"/>
  <c r="EA163" s="1"/>
  <c r="DY127" i="35"/>
  <c r="DY128" s="1"/>
  <c r="DY132" s="1"/>
  <c r="EC101"/>
  <c r="ED95" s="1"/>
  <c r="EC108"/>
  <c r="DV188" i="26"/>
  <c r="DV189" s="1"/>
  <c r="DV193" s="1"/>
  <c r="J320" i="12"/>
  <c r="GI200" i="26" s="1"/>
  <c r="I321" i="12"/>
  <c r="GI197" i="26"/>
  <c r="GH191"/>
  <c r="GH195" s="1"/>
  <c r="AB139"/>
  <c r="AB132"/>
  <c r="AC126" s="1"/>
  <c r="M322" i="12"/>
  <c r="L323"/>
  <c r="F323"/>
  <c r="G322"/>
  <c r="DY131" i="35" l="1"/>
  <c r="DZ125" s="1"/>
  <c r="DZ127" s="1"/>
  <c r="DY138"/>
  <c r="EA169" i="26"/>
  <c r="EP78" i="35"/>
  <c r="EP71"/>
  <c r="EQ65" s="1"/>
  <c r="EA162" i="26"/>
  <c r="EB156" s="1"/>
  <c r="EB158" s="1"/>
  <c r="DV192"/>
  <c r="DW186" s="1"/>
  <c r="DW188" s="1"/>
  <c r="DW189" s="1"/>
  <c r="DW193" s="1"/>
  <c r="ED97" i="35"/>
  <c r="ED98" s="1"/>
  <c r="DV199" i="26"/>
  <c r="GI191"/>
  <c r="GI195" s="1"/>
  <c r="GJ197"/>
  <c r="J321" i="12"/>
  <c r="GJ200" i="26" s="1"/>
  <c r="I322" i="12"/>
  <c r="AC128" i="26"/>
  <c r="AC129" s="1"/>
  <c r="F324" i="12"/>
  <c r="G324" s="1"/>
  <c r="M323"/>
  <c r="L324"/>
  <c r="G323"/>
  <c r="DZ128" i="35" l="1"/>
  <c r="DZ132" s="1"/>
  <c r="EQ67"/>
  <c r="EQ68" s="1"/>
  <c r="EQ72" s="1"/>
  <c r="EB159" i="26"/>
  <c r="EB163" s="1"/>
  <c r="ED102" i="35"/>
  <c r="ED101"/>
  <c r="EE95" s="1"/>
  <c r="ED108"/>
  <c r="DW192" i="26"/>
  <c r="DX186" s="1"/>
  <c r="DX188" s="1"/>
  <c r="DX189" s="1"/>
  <c r="DX193" s="1"/>
  <c r="AC130"/>
  <c r="AC139" s="1"/>
  <c r="DW199"/>
  <c r="I323" i="12"/>
  <c r="J322"/>
  <c r="GK200" i="26" s="1"/>
  <c r="GJ191"/>
  <c r="GK197"/>
  <c r="M324" i="12"/>
  <c r="L325"/>
  <c r="F325"/>
  <c r="G325" s="1"/>
  <c r="DZ138" i="35" l="1"/>
  <c r="DZ131"/>
  <c r="EA125" s="1"/>
  <c r="EA127" s="1"/>
  <c r="EA128" s="1"/>
  <c r="EA132" s="1"/>
  <c r="EB162" i="26"/>
  <c r="EC156" s="1"/>
  <c r="EC158" s="1"/>
  <c r="EC159" s="1"/>
  <c r="EC163" s="1"/>
  <c r="EQ71" i="35"/>
  <c r="ER65" s="1"/>
  <c r="ER67" s="1"/>
  <c r="ER68" s="1"/>
  <c r="ER72" s="1"/>
  <c r="EQ78"/>
  <c r="EB169" i="26"/>
  <c r="EE97" i="35"/>
  <c r="EE98" s="1"/>
  <c r="EE102" s="1"/>
  <c r="EA138"/>
  <c r="AC133" i="26"/>
  <c r="I24"/>
  <c r="DX199"/>
  <c r="AC132"/>
  <c r="AD126" s="1"/>
  <c r="AC135"/>
  <c r="DX192"/>
  <c r="DY186" s="1"/>
  <c r="DY188" s="1"/>
  <c r="DY189" s="1"/>
  <c r="DY193" s="1"/>
  <c r="GJ195"/>
  <c r="J323" i="12"/>
  <c r="GL200" i="26" s="1"/>
  <c r="I324" i="12"/>
  <c r="GK191" i="26"/>
  <c r="GK195" s="1"/>
  <c r="GL197"/>
  <c r="F326" i="12"/>
  <c r="G326" s="1"/>
  <c r="M325"/>
  <c r="L326"/>
  <c r="EA131" i="35" l="1"/>
  <c r="EB125" s="1"/>
  <c r="EB127" s="1"/>
  <c r="EB128" s="1"/>
  <c r="EB138" s="1"/>
  <c r="ER78"/>
  <c r="ER71"/>
  <c r="ES65" s="1"/>
  <c r="ES67" s="1"/>
  <c r="ES68" s="1"/>
  <c r="ES72" s="1"/>
  <c r="EC162" i="26"/>
  <c r="ED156" s="1"/>
  <c r="ED158" s="1"/>
  <c r="ED159" s="1"/>
  <c r="ED163" s="1"/>
  <c r="EC169"/>
  <c r="AD128"/>
  <c r="AD129" s="1"/>
  <c r="AD133" s="1"/>
  <c r="EE101" i="35"/>
  <c r="EF95" s="1"/>
  <c r="EF97" s="1"/>
  <c r="EF98" s="1"/>
  <c r="EE108"/>
  <c r="DY192" i="26"/>
  <c r="DZ186" s="1"/>
  <c r="DZ188" s="1"/>
  <c r="DZ189" s="1"/>
  <c r="DZ193" s="1"/>
  <c r="DY199"/>
  <c r="GL191"/>
  <c r="GM197"/>
  <c r="I325" i="12"/>
  <c r="J324"/>
  <c r="GM200" i="26" s="1"/>
  <c r="M326" i="12"/>
  <c r="L327"/>
  <c r="F327"/>
  <c r="G327" s="1"/>
  <c r="ES71" i="35" l="1"/>
  <c r="ET65" s="1"/>
  <c r="ES78"/>
  <c r="ED169" i="26"/>
  <c r="ED162"/>
  <c r="EE156" s="1"/>
  <c r="EF102" i="35"/>
  <c r="EF101"/>
  <c r="EG95" s="1"/>
  <c r="EB131"/>
  <c r="EC125" s="1"/>
  <c r="EB132"/>
  <c r="EF108"/>
  <c r="DZ192" i="26"/>
  <c r="EA186" s="1"/>
  <c r="EA188" s="1"/>
  <c r="DZ199"/>
  <c r="GM191"/>
  <c r="GN197"/>
  <c r="J325" i="12"/>
  <c r="GN200" i="26" s="1"/>
  <c r="I326" i="12"/>
  <c r="GL195" i="26"/>
  <c r="AD135"/>
  <c r="AD132"/>
  <c r="AE126" s="1"/>
  <c r="AD139"/>
  <c r="F328" i="12"/>
  <c r="G328" s="1"/>
  <c r="M327"/>
  <c r="L328"/>
  <c r="ET67" i="35" l="1"/>
  <c r="ET68" s="1"/>
  <c r="ET72" s="1"/>
  <c r="EE158" i="26"/>
  <c r="EE159" s="1"/>
  <c r="EE163" s="1"/>
  <c r="EG97" i="35"/>
  <c r="EG98" s="1"/>
  <c r="EG102" s="1"/>
  <c r="EC127"/>
  <c r="GM195" i="26"/>
  <c r="EA189"/>
  <c r="EA193" s="1"/>
  <c r="J326" i="12"/>
  <c r="GO200" i="26" s="1"/>
  <c r="I327" i="12"/>
  <c r="GN191" i="26"/>
  <c r="GO197"/>
  <c r="AE128"/>
  <c r="F329" i="12"/>
  <c r="G329" s="1"/>
  <c r="M328"/>
  <c r="L329"/>
  <c r="ET78" i="35" l="1"/>
  <c r="EG108"/>
  <c r="EE169" i="26"/>
  <c r="ET71" i="35"/>
  <c r="EU65" s="1"/>
  <c r="EE162" i="26"/>
  <c r="EF156" s="1"/>
  <c r="EF158" s="1"/>
  <c r="EF159" s="1"/>
  <c r="EF163" s="1"/>
  <c r="EG101" i="35"/>
  <c r="EH95" s="1"/>
  <c r="EH97" s="1"/>
  <c r="EH98" s="1"/>
  <c r="EH102" s="1"/>
  <c r="EC128"/>
  <c r="EC132" s="1"/>
  <c r="EA192" i="26"/>
  <c r="EB186" s="1"/>
  <c r="EB188" s="1"/>
  <c r="EB189" s="1"/>
  <c r="EB193" s="1"/>
  <c r="EA199"/>
  <c r="GN195"/>
  <c r="GO191"/>
  <c r="GP197"/>
  <c r="J327" i="12"/>
  <c r="GP200" i="26" s="1"/>
  <c r="I328" i="12"/>
  <c r="AE129" i="26"/>
  <c r="M329" i="12"/>
  <c r="L330"/>
  <c r="F330"/>
  <c r="EU67" i="35" l="1"/>
  <c r="EU68" s="1"/>
  <c r="EU72" s="1"/>
  <c r="EF169" i="26"/>
  <c r="EF162"/>
  <c r="EG156" s="1"/>
  <c r="EG158" s="1"/>
  <c r="EC138" i="35"/>
  <c r="EC131"/>
  <c r="ED125" s="1"/>
  <c r="ED127" s="1"/>
  <c r="ED128" s="1"/>
  <c r="EH101"/>
  <c r="EI95" s="1"/>
  <c r="ED132"/>
  <c r="EI97"/>
  <c r="EI98" s="1"/>
  <c r="EI102" s="1"/>
  <c r="EH108"/>
  <c r="GO195" i="26"/>
  <c r="AE132"/>
  <c r="AF126" s="1"/>
  <c r="AE133"/>
  <c r="EB199"/>
  <c r="EB192"/>
  <c r="EC186" s="1"/>
  <c r="EC188" s="1"/>
  <c r="EC189" s="1"/>
  <c r="EC193" s="1"/>
  <c r="J328" i="12"/>
  <c r="GQ200" i="26" s="1"/>
  <c r="I329" i="12"/>
  <c r="GP191" i="26"/>
  <c r="GQ197"/>
  <c r="GQ191" s="1"/>
  <c r="AE139"/>
  <c r="F331" i="12"/>
  <c r="G331" s="1"/>
  <c r="M330"/>
  <c r="L331"/>
  <c r="G330"/>
  <c r="EU78" i="35" l="1"/>
  <c r="EU71"/>
  <c r="EV65" s="1"/>
  <c r="EG159" i="26"/>
  <c r="EG163" s="1"/>
  <c r="ED138" i="35"/>
  <c r="ED131"/>
  <c r="EE125" s="1"/>
  <c r="EE127" s="1"/>
  <c r="EE128" s="1"/>
  <c r="EE132" s="1"/>
  <c r="EI101"/>
  <c r="EJ95" s="1"/>
  <c r="EJ97" s="1"/>
  <c r="EJ98" s="1"/>
  <c r="EJ102" s="1"/>
  <c r="EI108"/>
  <c r="W25" i="26"/>
  <c r="H25"/>
  <c r="I25"/>
  <c r="J25"/>
  <c r="K25"/>
  <c r="L25"/>
  <c r="M25"/>
  <c r="N25"/>
  <c r="O25"/>
  <c r="P25"/>
  <c r="Q25"/>
  <c r="R25"/>
  <c r="S25"/>
  <c r="T25"/>
  <c r="U25"/>
  <c r="V25"/>
  <c r="AF128"/>
  <c r="AF129" s="1"/>
  <c r="AF133" s="1"/>
  <c r="EC199"/>
  <c r="EC192"/>
  <c r="ED186" s="1"/>
  <c r="GQ195"/>
  <c r="H27"/>
  <c r="I330" i="12"/>
  <c r="J329"/>
  <c r="GP195" i="26"/>
  <c r="M331" i="12"/>
  <c r="L332"/>
  <c r="F332"/>
  <c r="G332" s="1"/>
  <c r="EV67" i="35" l="1"/>
  <c r="EV68" s="1"/>
  <c r="EV72" s="1"/>
  <c r="EG169" i="26"/>
  <c r="EG162"/>
  <c r="EH156" s="1"/>
  <c r="EH158" s="1"/>
  <c r="EE131" i="35"/>
  <c r="EF125" s="1"/>
  <c r="L321" i="33"/>
  <c r="EF127" i="35"/>
  <c r="G27" i="26"/>
  <c r="EE138" i="35"/>
  <c r="EJ101"/>
  <c r="EK95" s="1"/>
  <c r="EK97" s="1"/>
  <c r="EK98" s="1"/>
  <c r="EK102" s="1"/>
  <c r="EJ108"/>
  <c r="EF128"/>
  <c r="EF132" s="1"/>
  <c r="ED188" i="26"/>
  <c r="ED189" s="1"/>
  <c r="ED193" s="1"/>
  <c r="J330" i="12"/>
  <c r="I331"/>
  <c r="H28" i="26"/>
  <c r="AF132"/>
  <c r="AG126" s="1"/>
  <c r="AF139"/>
  <c r="M332" i="12"/>
  <c r="L333"/>
  <c r="F333"/>
  <c r="G333" s="1"/>
  <c r="EV71" i="35" l="1"/>
  <c r="EW65" s="1"/>
  <c r="EW67" s="1"/>
  <c r="EW68" s="1"/>
  <c r="EW72" s="1"/>
  <c r="EV78"/>
  <c r="EH159" i="26"/>
  <c r="EH162" s="1"/>
  <c r="EI156" s="1"/>
  <c r="EF131" i="35"/>
  <c r="EG125" s="1"/>
  <c r="EG127" s="1"/>
  <c r="EG128" s="1"/>
  <c r="EG132" s="1"/>
  <c r="L326" i="33"/>
  <c r="L366" s="1"/>
  <c r="G44" i="39" s="1"/>
  <c r="K321" i="33"/>
  <c r="G28" i="26"/>
  <c r="EK108" i="35"/>
  <c r="EK101"/>
  <c r="EL95" s="1"/>
  <c r="EL97" s="1"/>
  <c r="EL98" s="1"/>
  <c r="EF138"/>
  <c r="ED192" i="26"/>
  <c r="EE186" s="1"/>
  <c r="ED199"/>
  <c r="J331" i="12"/>
  <c r="I332"/>
  <c r="AG128" i="26"/>
  <c r="AG129" s="1"/>
  <c r="AG133" s="1"/>
  <c r="F334" i="12"/>
  <c r="M333"/>
  <c r="L334"/>
  <c r="EW71" i="35" l="1"/>
  <c r="EX65" s="1"/>
  <c r="EX67" s="1"/>
  <c r="EW78"/>
  <c r="EH163" i="26"/>
  <c r="EI158" s="1"/>
  <c r="EI159" s="1"/>
  <c r="EI163" s="1"/>
  <c r="EH169"/>
  <c r="EI162"/>
  <c r="EJ156" s="1"/>
  <c r="L325" i="33"/>
  <c r="EJ158" i="26"/>
  <c r="EJ159" s="1"/>
  <c r="K326" i="33"/>
  <c r="K366" s="1"/>
  <c r="F44" i="39" s="1"/>
  <c r="EG131" i="35"/>
  <c r="EH125" s="1"/>
  <c r="EH127" s="1"/>
  <c r="EH128" s="1"/>
  <c r="EH132" s="1"/>
  <c r="EG138"/>
  <c r="EL102"/>
  <c r="EL108"/>
  <c r="EL101"/>
  <c r="EM95" s="1"/>
  <c r="EE188" i="26"/>
  <c r="EE189" s="1"/>
  <c r="EE193" s="1"/>
  <c r="J332" i="12"/>
  <c r="I333"/>
  <c r="AG132" i="26"/>
  <c r="AH126" s="1"/>
  <c r="AH128" s="1"/>
  <c r="AG139"/>
  <c r="F335" i="12"/>
  <c r="G335" s="1"/>
  <c r="M334"/>
  <c r="L335"/>
  <c r="G334"/>
  <c r="K325" i="33" l="1"/>
  <c r="EX68" i="35"/>
  <c r="EX72" s="1"/>
  <c r="EI169" i="26"/>
  <c r="EJ163"/>
  <c r="EJ162"/>
  <c r="EK156" s="1"/>
  <c r="EJ169"/>
  <c r="EH138" i="35"/>
  <c r="EH131"/>
  <c r="EI125" s="1"/>
  <c r="EM97"/>
  <c r="EE192" i="26"/>
  <c r="EF186" s="1"/>
  <c r="EF188" s="1"/>
  <c r="EE199"/>
  <c r="J333" i="12"/>
  <c r="I334"/>
  <c r="AH129" i="26"/>
  <c r="AH133" s="1"/>
  <c r="M335" i="12"/>
  <c r="L336"/>
  <c r="F336"/>
  <c r="EX78" i="35" l="1"/>
  <c r="EX71"/>
  <c r="EY65" s="1"/>
  <c r="EY67" s="1"/>
  <c r="EY68" s="1"/>
  <c r="EY72" s="1"/>
  <c r="EK158" i="26"/>
  <c r="EK159" s="1"/>
  <c r="EK163" s="1"/>
  <c r="EI127" i="35"/>
  <c r="EI128" s="1"/>
  <c r="EI132" s="1"/>
  <c r="EM98"/>
  <c r="EM102" s="1"/>
  <c r="EF189" i="26"/>
  <c r="EF193" s="1"/>
  <c r="I335" i="12"/>
  <c r="J334"/>
  <c r="AH132" i="26"/>
  <c r="AI126" s="1"/>
  <c r="AI128" s="1"/>
  <c r="AH139"/>
  <c r="F337" i="12"/>
  <c r="G337" s="1"/>
  <c r="M336"/>
  <c r="L337"/>
  <c r="G336"/>
  <c r="EY71" i="35" l="1"/>
  <c r="EZ65" s="1"/>
  <c r="EY78"/>
  <c r="EK169" i="26"/>
  <c r="EK162"/>
  <c r="EL156" s="1"/>
  <c r="EL158" s="1"/>
  <c r="EI138" i="35"/>
  <c r="EI131"/>
  <c r="EM108"/>
  <c r="EM101"/>
  <c r="EN95" s="1"/>
  <c r="EF199" i="26"/>
  <c r="EF192"/>
  <c r="EG186" s="1"/>
  <c r="EG188" s="1"/>
  <c r="EG189" s="1"/>
  <c r="EG193" s="1"/>
  <c r="J335" i="12"/>
  <c r="I336"/>
  <c r="AI129" i="26"/>
  <c r="AI133" s="1"/>
  <c r="M337" i="12"/>
  <c r="L338"/>
  <c r="F338"/>
  <c r="EZ67" i="35" l="1"/>
  <c r="EZ68" s="1"/>
  <c r="EZ72" s="1"/>
  <c r="EL159" i="26"/>
  <c r="EL163" s="1"/>
  <c r="EJ125" i="35"/>
  <c r="Q26"/>
  <c r="EN97"/>
  <c r="EN98" s="1"/>
  <c r="EG192" i="26"/>
  <c r="EH186" s="1"/>
  <c r="EH188" s="1"/>
  <c r="EG199"/>
  <c r="I337" i="12"/>
  <c r="J336"/>
  <c r="AI135" i="26"/>
  <c r="F339" i="12"/>
  <c r="G339" s="1"/>
  <c r="M338"/>
  <c r="L339"/>
  <c r="G338"/>
  <c r="EZ71" i="35" l="1"/>
  <c r="FA65" s="1"/>
  <c r="FA67" s="1"/>
  <c r="FA68" s="1"/>
  <c r="FA72" s="1"/>
  <c r="EZ78"/>
  <c r="EL169" i="26"/>
  <c r="EL162"/>
  <c r="EM156" s="1"/>
  <c r="EM158" s="1"/>
  <c r="EM159" s="1"/>
  <c r="EM163" s="1"/>
  <c r="EJ127" i="35"/>
  <c r="EJ128" s="1"/>
  <c r="R20"/>
  <c r="Q27"/>
  <c r="U212" i="33" s="1"/>
  <c r="EN102" i="35"/>
  <c r="EN108"/>
  <c r="EN101"/>
  <c r="EO95" s="1"/>
  <c r="EH189" i="26"/>
  <c r="EH193" s="1"/>
  <c r="J337" i="12"/>
  <c r="I338"/>
  <c r="AI132" i="26"/>
  <c r="I26" s="1"/>
  <c r="J20" s="1"/>
  <c r="AI139"/>
  <c r="M339" i="12"/>
  <c r="L340"/>
  <c r="F340"/>
  <c r="FA78" i="35" l="1"/>
  <c r="FA71"/>
  <c r="FB65" s="1"/>
  <c r="FB67" s="1"/>
  <c r="FB68" s="1"/>
  <c r="FB72" s="1"/>
  <c r="EM162" i="26"/>
  <c r="EN156" s="1"/>
  <c r="EM169"/>
  <c r="Q28" i="35"/>
  <c r="U218" i="33" s="1"/>
  <c r="U237" s="1"/>
  <c r="EJ131" i="35"/>
  <c r="EK125" s="1"/>
  <c r="EJ132"/>
  <c r="EJ138"/>
  <c r="EO97"/>
  <c r="EO98" s="1"/>
  <c r="EH192" i="26"/>
  <c r="EI186" s="1"/>
  <c r="EI188" s="1"/>
  <c r="EH199"/>
  <c r="J338" i="12"/>
  <c r="I339"/>
  <c r="AJ126" i="26"/>
  <c r="AJ128" s="1"/>
  <c r="F341" i="12"/>
  <c r="G341" s="1"/>
  <c r="M340"/>
  <c r="L341"/>
  <c r="G340"/>
  <c r="FB71" i="35" l="1"/>
  <c r="FC65" s="1"/>
  <c r="FB78"/>
  <c r="FC67"/>
  <c r="FC68" s="1"/>
  <c r="FC72" s="1"/>
  <c r="EN158" i="26"/>
  <c r="U217" i="33"/>
  <c r="EK127" i="35"/>
  <c r="EK128" s="1"/>
  <c r="EK132" s="1"/>
  <c r="EO102"/>
  <c r="EO101"/>
  <c r="EP95" s="1"/>
  <c r="EO108"/>
  <c r="EI189" i="26"/>
  <c r="EI193" s="1"/>
  <c r="I340" i="12"/>
  <c r="J339"/>
  <c r="AJ129" i="26"/>
  <c r="I27"/>
  <c r="M341" i="12"/>
  <c r="L342"/>
  <c r="F342"/>
  <c r="FC78" i="35" l="1"/>
  <c r="FC71"/>
  <c r="FD65" s="1"/>
  <c r="FD67" s="1"/>
  <c r="FD68" s="1"/>
  <c r="FD72" s="1"/>
  <c r="EN159" i="26"/>
  <c r="EN169" s="1"/>
  <c r="M321" i="33"/>
  <c r="EK138" i="35"/>
  <c r="EK131"/>
  <c r="EL125" s="1"/>
  <c r="EP97"/>
  <c r="EP98" s="1"/>
  <c r="EP102" s="1"/>
  <c r="EI199" i="26"/>
  <c r="AJ133"/>
  <c r="EI192"/>
  <c r="EJ186" s="1"/>
  <c r="EJ188" s="1"/>
  <c r="EJ189" s="1"/>
  <c r="EJ193" s="1"/>
  <c r="J340" i="12"/>
  <c r="I341"/>
  <c r="I28" i="26"/>
  <c r="M342" i="12"/>
  <c r="L343"/>
  <c r="F343"/>
  <c r="G343" s="1"/>
  <c r="G342"/>
  <c r="FD78" i="35" l="1"/>
  <c r="FD71"/>
  <c r="FE65" s="1"/>
  <c r="EN163" i="26"/>
  <c r="EN162"/>
  <c r="EO156" s="1"/>
  <c r="M326" i="33"/>
  <c r="M366" s="1"/>
  <c r="H44" i="39" s="1"/>
  <c r="EL127" i="35"/>
  <c r="EP101"/>
  <c r="EQ95" s="1"/>
  <c r="EP108"/>
  <c r="EQ97"/>
  <c r="EQ98" s="1"/>
  <c r="EQ102" s="1"/>
  <c r="EJ199" i="26"/>
  <c r="EJ192"/>
  <c r="EK186" s="1"/>
  <c r="J341" i="12"/>
  <c r="I342"/>
  <c r="AJ135" i="26"/>
  <c r="AJ139"/>
  <c r="AJ132"/>
  <c r="AK126" s="1"/>
  <c r="F344" i="12"/>
  <c r="M343"/>
  <c r="L344"/>
  <c r="EO158" i="26" l="1"/>
  <c r="EO159" s="1"/>
  <c r="EO163" s="1"/>
  <c r="FE67" i="35"/>
  <c r="FE68" s="1"/>
  <c r="FE72" s="1"/>
  <c r="M325" i="33"/>
  <c r="EL128" i="35"/>
  <c r="EL132" s="1"/>
  <c r="EQ101"/>
  <c r="ER95" s="1"/>
  <c r="EQ108"/>
  <c r="ER97"/>
  <c r="ER98" s="1"/>
  <c r="ER102" s="1"/>
  <c r="EK188" i="26"/>
  <c r="EK189" s="1"/>
  <c r="EK193" s="1"/>
  <c r="J342" i="12"/>
  <c r="I343"/>
  <c r="AK128" i="26"/>
  <c r="F345" i="12"/>
  <c r="G345" s="1"/>
  <c r="M344"/>
  <c r="L345"/>
  <c r="G344"/>
  <c r="FE78" i="35" l="1"/>
  <c r="EO162" i="26"/>
  <c r="EP156" s="1"/>
  <c r="EP158" s="1"/>
  <c r="EP159" s="1"/>
  <c r="EP163" s="1"/>
  <c r="FE71" i="35"/>
  <c r="FF65" s="1"/>
  <c r="EO169" i="26"/>
  <c r="FF67" i="35"/>
  <c r="EL138"/>
  <c r="EL131"/>
  <c r="EM125" s="1"/>
  <c r="EM127" s="1"/>
  <c r="ER108"/>
  <c r="ER101"/>
  <c r="ES95" s="1"/>
  <c r="EK199" i="26"/>
  <c r="EK192"/>
  <c r="EL186" s="1"/>
  <c r="EL188" s="1"/>
  <c r="J343" i="12"/>
  <c r="I344"/>
  <c r="AK129" i="26"/>
  <c r="M345" i="12"/>
  <c r="L346"/>
  <c r="F346"/>
  <c r="G346" s="1"/>
  <c r="EP169" i="26" l="1"/>
  <c r="EP162"/>
  <c r="EQ156" s="1"/>
  <c r="EQ158" s="1"/>
  <c r="FF68" i="35"/>
  <c r="FF72" s="1"/>
  <c r="EM128"/>
  <c r="EM132" s="1"/>
  <c r="ES97"/>
  <c r="AK132" i="26"/>
  <c r="AL126" s="1"/>
  <c r="AK133"/>
  <c r="EL189"/>
  <c r="EL193" s="1"/>
  <c r="J344" i="12"/>
  <c r="I345"/>
  <c r="AK139" i="26"/>
  <c r="F347" i="12"/>
  <c r="G347" s="1"/>
  <c r="M346"/>
  <c r="L347"/>
  <c r="FF78" i="35" l="1"/>
  <c r="EQ159" i="26"/>
  <c r="EQ163" s="1"/>
  <c r="FF71" i="35"/>
  <c r="FG65" s="1"/>
  <c r="EQ169" i="26"/>
  <c r="EM131" i="35"/>
  <c r="EN125" s="1"/>
  <c r="EN127" s="1"/>
  <c r="EN128" s="1"/>
  <c r="EN132" s="1"/>
  <c r="EM138"/>
  <c r="ES98"/>
  <c r="ES102" s="1"/>
  <c r="AL128" i="26"/>
  <c r="AL129" s="1"/>
  <c r="EL192"/>
  <c r="EM186" s="1"/>
  <c r="EL199"/>
  <c r="J345" i="12"/>
  <c r="I346"/>
  <c r="M347"/>
  <c r="L348"/>
  <c r="F348"/>
  <c r="G348" s="1"/>
  <c r="EQ162" i="26" l="1"/>
  <c r="ER156" s="1"/>
  <c r="FG67" i="35"/>
  <c r="FG68" s="1"/>
  <c r="FG72" s="1"/>
  <c r="ER158" i="26"/>
  <c r="ER159" s="1"/>
  <c r="ER163" s="1"/>
  <c r="EN138" i="35"/>
  <c r="EN131"/>
  <c r="EO125" s="1"/>
  <c r="EO127" s="1"/>
  <c r="ES108"/>
  <c r="ES101"/>
  <c r="AL132" i="26"/>
  <c r="AM126" s="1"/>
  <c r="AL139"/>
  <c r="AL133"/>
  <c r="EM188"/>
  <c r="EM189" s="1"/>
  <c r="EM193" s="1"/>
  <c r="J346" i="12"/>
  <c r="I347"/>
  <c r="F349"/>
  <c r="M348"/>
  <c r="L349"/>
  <c r="FG71" i="35" l="1"/>
  <c r="FH65" s="1"/>
  <c r="FH67" s="1"/>
  <c r="FG78"/>
  <c r="ER169" i="26"/>
  <c r="ER162"/>
  <c r="ES156" s="1"/>
  <c r="EO128" i="35"/>
  <c r="EO132" s="1"/>
  <c r="ET95"/>
  <c r="AM128" i="26"/>
  <c r="AM129" s="1"/>
  <c r="AM133" s="1"/>
  <c r="EM192"/>
  <c r="EN186" s="1"/>
  <c r="EN188" s="1"/>
  <c r="EM199"/>
  <c r="J347" i="12"/>
  <c r="I348"/>
  <c r="F350"/>
  <c r="G350" s="1"/>
  <c r="M349"/>
  <c r="L350"/>
  <c r="G349"/>
  <c r="FH68" i="35" l="1"/>
  <c r="FH72" s="1"/>
  <c r="EO131"/>
  <c r="EP125" s="1"/>
  <c r="EP127" s="1"/>
  <c r="EP128" s="1"/>
  <c r="EP132" s="1"/>
  <c r="EO138"/>
  <c r="ES158" i="26"/>
  <c r="ES159" s="1"/>
  <c r="ES163" s="1"/>
  <c r="ET97" i="35"/>
  <c r="ET98" s="1"/>
  <c r="EN189" i="26"/>
  <c r="EN193" s="1"/>
  <c r="J348" i="12"/>
  <c r="I349"/>
  <c r="AM132" i="26"/>
  <c r="AN126" s="1"/>
  <c r="AM139"/>
  <c r="F351" i="12"/>
  <c r="G351" s="1"/>
  <c r="M350"/>
  <c r="L351"/>
  <c r="FH78" i="35" l="1"/>
  <c r="FH71"/>
  <c r="FI65" s="1"/>
  <c r="ES169" i="26"/>
  <c r="ES162"/>
  <c r="ET156" s="1"/>
  <c r="EP131" i="35"/>
  <c r="EQ125" s="1"/>
  <c r="EP138"/>
  <c r="ET102"/>
  <c r="ET108"/>
  <c r="ET101"/>
  <c r="EU95" s="1"/>
  <c r="EN192" i="26"/>
  <c r="EO186" s="1"/>
  <c r="EO188" s="1"/>
  <c r="EO189" s="1"/>
  <c r="EO193" s="1"/>
  <c r="EN199"/>
  <c r="J349" i="12"/>
  <c r="I350"/>
  <c r="AN128" i="26"/>
  <c r="AN129" s="1"/>
  <c r="AN133" s="1"/>
  <c r="AP135"/>
  <c r="M351" i="12"/>
  <c r="L352"/>
  <c r="F352"/>
  <c r="FI67" i="35" l="1"/>
  <c r="ET158" i="26"/>
  <c r="ET159" s="1"/>
  <c r="EQ127" i="35"/>
  <c r="EQ128" s="1"/>
  <c r="EQ132" s="1"/>
  <c r="EU97"/>
  <c r="EO192" i="26"/>
  <c r="EP186" s="1"/>
  <c r="EP188" s="1"/>
  <c r="EO199"/>
  <c r="AN139"/>
  <c r="J350" i="12"/>
  <c r="I351"/>
  <c r="AN132" i="26"/>
  <c r="AO126" s="1"/>
  <c r="F353" i="12"/>
  <c r="G353" s="1"/>
  <c r="M352"/>
  <c r="L353"/>
  <c r="G352"/>
  <c r="FI78" i="35" l="1"/>
  <c r="FI68"/>
  <c r="ET163" i="26"/>
  <c r="ET169"/>
  <c r="ET162"/>
  <c r="EU156" s="1"/>
  <c r="EQ138" i="35"/>
  <c r="EQ131"/>
  <c r="ER125" s="1"/>
  <c r="ER127" s="1"/>
  <c r="ER128" s="1"/>
  <c r="ER132" s="1"/>
  <c r="EU98"/>
  <c r="EU108" s="1"/>
  <c r="EP189" i="26"/>
  <c r="EP193" s="1"/>
  <c r="I352" i="12"/>
  <c r="I353" s="1"/>
  <c r="J353" s="1"/>
  <c r="J351"/>
  <c r="J352"/>
  <c r="AO128" i="26"/>
  <c r="AO129" s="1"/>
  <c r="M353" i="12"/>
  <c r="L354"/>
  <c r="F354"/>
  <c r="G354" s="1"/>
  <c r="FI72" i="35" l="1"/>
  <c r="FI71"/>
  <c r="FJ65" s="1"/>
  <c r="EU158" i="26"/>
  <c r="EU159" s="1"/>
  <c r="EU163" s="1"/>
  <c r="ER131" i="35"/>
  <c r="ES125" s="1"/>
  <c r="ER138"/>
  <c r="EU102"/>
  <c r="EU101"/>
  <c r="EV95" s="1"/>
  <c r="AO130" i="26"/>
  <c r="AO139" s="1"/>
  <c r="EP199"/>
  <c r="EP192"/>
  <c r="EQ186" s="1"/>
  <c r="EQ188" s="1"/>
  <c r="I354" i="12"/>
  <c r="J354" s="1"/>
  <c r="F355"/>
  <c r="G355" s="1"/>
  <c r="M354"/>
  <c r="L355"/>
  <c r="I355"/>
  <c r="J355" s="1"/>
  <c r="FJ67" i="35" l="1"/>
  <c r="FJ68" s="1"/>
  <c r="EU169" i="26"/>
  <c r="EU162"/>
  <c r="EV156" s="1"/>
  <c r="ES127" i="35"/>
  <c r="ES128" s="1"/>
  <c r="ES132" s="1"/>
  <c r="EV97"/>
  <c r="EV98" s="1"/>
  <c r="AO133" i="26"/>
  <c r="J24"/>
  <c r="EQ189"/>
  <c r="EQ193" s="1"/>
  <c r="AO135"/>
  <c r="AO132"/>
  <c r="AP126" s="1"/>
  <c r="I356" i="12"/>
  <c r="J356" s="1"/>
  <c r="M355"/>
  <c r="L356"/>
  <c r="F356"/>
  <c r="G356" s="1"/>
  <c r="FJ72" i="35" l="1"/>
  <c r="FJ71"/>
  <c r="FK65" s="1"/>
  <c r="FJ78"/>
  <c r="EV158" i="26"/>
  <c r="EV159" s="1"/>
  <c r="EV163" s="1"/>
  <c r="ES138" i="35"/>
  <c r="ES131"/>
  <c r="ET125" s="1"/>
  <c r="ET127" s="1"/>
  <c r="ET128" s="1"/>
  <c r="ET132" s="1"/>
  <c r="EV102"/>
  <c r="EV108"/>
  <c r="EV101"/>
  <c r="EW95" s="1"/>
  <c r="EQ199" i="26"/>
  <c r="AP128"/>
  <c r="AP129" s="1"/>
  <c r="AP133" s="1"/>
  <c r="EQ192"/>
  <c r="ER186" s="1"/>
  <c r="ER188" s="1"/>
  <c r="F357" i="12"/>
  <c r="G357" s="1"/>
  <c r="M356"/>
  <c r="L357"/>
  <c r="I357"/>
  <c r="FK67" i="35" l="1"/>
  <c r="FK68" s="1"/>
  <c r="FK72" s="1"/>
  <c r="FK71"/>
  <c r="FL65" s="1"/>
  <c r="EV162" i="26"/>
  <c r="EW156" s="1"/>
  <c r="EW158" s="1"/>
  <c r="EW159" s="1"/>
  <c r="EW163" s="1"/>
  <c r="EV169"/>
  <c r="ET131" i="35"/>
  <c r="EU125" s="1"/>
  <c r="ET138"/>
  <c r="EW97"/>
  <c r="EW98" s="1"/>
  <c r="EW102" s="1"/>
  <c r="AP132" i="26"/>
  <c r="AQ126" s="1"/>
  <c r="AQ128" s="1"/>
  <c r="AP139"/>
  <c r="ER189"/>
  <c r="ER193" s="1"/>
  <c r="I358" i="12"/>
  <c r="J358" s="1"/>
  <c r="M357"/>
  <c r="L358"/>
  <c r="F358"/>
  <c r="G358" s="1"/>
  <c r="J357"/>
  <c r="FK78" i="35" l="1"/>
  <c r="FL67"/>
  <c r="FL68" s="1"/>
  <c r="FL72" s="1"/>
  <c r="EW169" i="26"/>
  <c r="EW162"/>
  <c r="EX156" s="1"/>
  <c r="EX158" s="1"/>
  <c r="EX159" s="1"/>
  <c r="EX163" s="1"/>
  <c r="EU127" i="35"/>
  <c r="EW108"/>
  <c r="EW101"/>
  <c r="EX95" s="1"/>
  <c r="ER199" i="26"/>
  <c r="ER192"/>
  <c r="ES186" s="1"/>
  <c r="ES188" s="1"/>
  <c r="AQ129"/>
  <c r="AQ133" s="1"/>
  <c r="F359" i="12"/>
  <c r="G359" s="1"/>
  <c r="M358"/>
  <c r="L359"/>
  <c r="I359"/>
  <c r="J359" s="1"/>
  <c r="FM67" i="35" l="1"/>
  <c r="FM68" s="1"/>
  <c r="FM72" s="1"/>
  <c r="FL71"/>
  <c r="FM65" s="1"/>
  <c r="FL78"/>
  <c r="EX162" i="26"/>
  <c r="EY156" s="1"/>
  <c r="EY158" s="1"/>
  <c r="EY159" s="1"/>
  <c r="EY163" s="1"/>
  <c r="EX169"/>
  <c r="EU128" i="35"/>
  <c r="EU132" s="1"/>
  <c r="EX97"/>
  <c r="EX98" s="1"/>
  <c r="EX102" s="1"/>
  <c r="ES189" i="26"/>
  <c r="ES193" s="1"/>
  <c r="AQ132"/>
  <c r="AR126" s="1"/>
  <c r="AQ139"/>
  <c r="M359" i="12"/>
  <c r="L360"/>
  <c r="I360"/>
  <c r="J360" s="1"/>
  <c r="F360"/>
  <c r="G360" s="1"/>
  <c r="FM78" i="35" l="1"/>
  <c r="FM71"/>
  <c r="FN65" s="1"/>
  <c r="EY169" i="26"/>
  <c r="EY162"/>
  <c r="EZ156" s="1"/>
  <c r="EU138" i="35"/>
  <c r="EU131"/>
  <c r="EX101"/>
  <c r="EY95" s="1"/>
  <c r="EY97" s="1"/>
  <c r="EY98" s="1"/>
  <c r="EX108"/>
  <c r="AR128" i="26"/>
  <c r="AR129" s="1"/>
  <c r="AR133" s="1"/>
  <c r="ES199"/>
  <c r="ES192"/>
  <c r="ET186" s="1"/>
  <c r="ET188" s="1"/>
  <c r="ET189" s="1"/>
  <c r="ET193" s="1"/>
  <c r="F361" i="12"/>
  <c r="G361" s="1"/>
  <c r="I361"/>
  <c r="J361" s="1"/>
  <c r="M360"/>
  <c r="L361"/>
  <c r="FN67" i="35" l="1"/>
  <c r="FN68" s="1"/>
  <c r="FN72" s="1"/>
  <c r="EZ158" i="26"/>
  <c r="EZ159" s="1"/>
  <c r="EZ163" s="1"/>
  <c r="R26" i="35"/>
  <c r="EV125"/>
  <c r="EY102"/>
  <c r="EY101"/>
  <c r="EZ95" s="1"/>
  <c r="EY108"/>
  <c r="AR139" i="26"/>
  <c r="ET199"/>
  <c r="AR132"/>
  <c r="AS126" s="1"/>
  <c r="AS128" s="1"/>
  <c r="AS129" s="1"/>
  <c r="AS133" s="1"/>
  <c r="ET192"/>
  <c r="EU186" s="1"/>
  <c r="EU188" s="1"/>
  <c r="EU189" s="1"/>
  <c r="EU193" s="1"/>
  <c r="AU135"/>
  <c r="M361" i="12"/>
  <c r="L362"/>
  <c r="F362"/>
  <c r="G362" s="1"/>
  <c r="I362"/>
  <c r="J362" s="1"/>
  <c r="FN78" i="35" l="1"/>
  <c r="FN71"/>
  <c r="FO65" s="1"/>
  <c r="EZ162" i="26"/>
  <c r="FA156" s="1"/>
  <c r="FA158" s="1"/>
  <c r="FA159" s="1"/>
  <c r="FA163" s="1"/>
  <c r="EZ169"/>
  <c r="EZ97" i="35"/>
  <c r="EZ98" s="1"/>
  <c r="EZ102" s="1"/>
  <c r="R27"/>
  <c r="S20"/>
  <c r="R28"/>
  <c r="EV127"/>
  <c r="EV128" s="1"/>
  <c r="EU199" i="26"/>
  <c r="EU192"/>
  <c r="EV186" s="1"/>
  <c r="EV188" s="1"/>
  <c r="EV189" s="1"/>
  <c r="EV193" s="1"/>
  <c r="AS132"/>
  <c r="AT126" s="1"/>
  <c r="AT128" s="1"/>
  <c r="AT129" s="1"/>
  <c r="AT133" s="1"/>
  <c r="AS139"/>
  <c r="I363" i="12"/>
  <c r="J363" s="1"/>
  <c r="F363"/>
  <c r="G363" s="1"/>
  <c r="M362"/>
  <c r="L363"/>
  <c r="FO67" i="35" l="1"/>
  <c r="FO68" s="1"/>
  <c r="FO72" s="1"/>
  <c r="FA162" i="26"/>
  <c r="FB156" s="1"/>
  <c r="FB158" s="1"/>
  <c r="FB159" s="1"/>
  <c r="FB163" s="1"/>
  <c r="FA169"/>
  <c r="EV132" i="35"/>
  <c r="EV138"/>
  <c r="EV131"/>
  <c r="EW125" s="1"/>
  <c r="EZ101"/>
  <c r="FA95" s="1"/>
  <c r="FA97" s="1"/>
  <c r="FA98" s="1"/>
  <c r="EZ108"/>
  <c r="AT139" i="26"/>
  <c r="EV199"/>
  <c r="EV192"/>
  <c r="EW186" s="1"/>
  <c r="AT132"/>
  <c r="AU126" s="1"/>
  <c r="AU128" s="1"/>
  <c r="AU129" s="1"/>
  <c r="AU133" s="1"/>
  <c r="M363" i="12"/>
  <c r="L364"/>
  <c r="F364"/>
  <c r="G364" s="1"/>
  <c r="I364"/>
  <c r="J364" s="1"/>
  <c r="FO71" i="35" l="1"/>
  <c r="FP65" s="1"/>
  <c r="FP67" s="1"/>
  <c r="FO78"/>
  <c r="FB162" i="26"/>
  <c r="FC156" s="1"/>
  <c r="FB169"/>
  <c r="EW127" i="35"/>
  <c r="FA102"/>
  <c r="FA101"/>
  <c r="FB95" s="1"/>
  <c r="FA108"/>
  <c r="EW188" i="26"/>
  <c r="EW189" s="1"/>
  <c r="EW193" s="1"/>
  <c r="AU132"/>
  <c r="J26" s="1"/>
  <c r="K20" s="1"/>
  <c r="AU139"/>
  <c r="I365" i="12"/>
  <c r="J365" s="1"/>
  <c r="F365"/>
  <c r="G365" s="1"/>
  <c r="M364"/>
  <c r="L365"/>
  <c r="FP68" i="35" l="1"/>
  <c r="FP72" s="1"/>
  <c r="FC158" i="26"/>
  <c r="EW128" i="35"/>
  <c r="EW131" s="1"/>
  <c r="EX125" s="1"/>
  <c r="FB97"/>
  <c r="FB98" s="1"/>
  <c r="FB102" s="1"/>
  <c r="AV126" i="26"/>
  <c r="AV128" s="1"/>
  <c r="EW199"/>
  <c r="EW192"/>
  <c r="EX186" s="1"/>
  <c r="J27"/>
  <c r="I366" i="12"/>
  <c r="J366" s="1"/>
  <c r="M365"/>
  <c r="L366"/>
  <c r="F366"/>
  <c r="G366" s="1"/>
  <c r="FP78" i="35" l="1"/>
  <c r="FP71"/>
  <c r="FQ65" s="1"/>
  <c r="FQ67" s="1"/>
  <c r="FQ68" s="1"/>
  <c r="FQ72" s="1"/>
  <c r="FQ71"/>
  <c r="FR65" s="1"/>
  <c r="FQ78"/>
  <c r="FC159" i="26"/>
  <c r="FC163" s="1"/>
  <c r="N321" i="33"/>
  <c r="EW132" i="35"/>
  <c r="EX127" s="1"/>
  <c r="EX128" s="1"/>
  <c r="EX132" s="1"/>
  <c r="EW138"/>
  <c r="EX138"/>
  <c r="FB108"/>
  <c r="FB101"/>
  <c r="FC95" s="1"/>
  <c r="FC97" s="1"/>
  <c r="AV129" i="26"/>
  <c r="EX188"/>
  <c r="J28"/>
  <c r="M366" i="12"/>
  <c r="L367"/>
  <c r="F367"/>
  <c r="G367" s="1"/>
  <c r="I367"/>
  <c r="J367" s="1"/>
  <c r="FR67" i="35" l="1"/>
  <c r="FR68" s="1"/>
  <c r="FR72" s="1"/>
  <c r="FC169" i="26"/>
  <c r="EX131" i="35"/>
  <c r="EY125" s="1"/>
  <c r="FC162" i="26"/>
  <c r="FD156" s="1"/>
  <c r="FD158" s="1"/>
  <c r="FD159" s="1"/>
  <c r="FD163" s="1"/>
  <c r="EY127" i="35"/>
  <c r="EY128" s="1"/>
  <c r="EY132" s="1"/>
  <c r="N326" i="33"/>
  <c r="N366" s="1"/>
  <c r="I44" i="39" s="1"/>
  <c r="FC98" i="35"/>
  <c r="FC102" s="1"/>
  <c r="AV133" i="26"/>
  <c r="EX189"/>
  <c r="EX193" s="1"/>
  <c r="AV139"/>
  <c r="AV132"/>
  <c r="AW126" s="1"/>
  <c r="I368" i="12"/>
  <c r="F368"/>
  <c r="M367"/>
  <c r="L368"/>
  <c r="FS67" i="35" l="1"/>
  <c r="FS68" s="1"/>
  <c r="FS72" s="1"/>
  <c r="FR71"/>
  <c r="FS65" s="1"/>
  <c r="FR78"/>
  <c r="FD162" i="26"/>
  <c r="FE156" s="1"/>
  <c r="FE158" s="1"/>
  <c r="FE159" s="1"/>
  <c r="FE163" s="1"/>
  <c r="FD169"/>
  <c r="FC108" i="35"/>
  <c r="EY138"/>
  <c r="EY131"/>
  <c r="EZ125" s="1"/>
  <c r="EZ127" s="1"/>
  <c r="EZ128" s="1"/>
  <c r="EZ132" s="1"/>
  <c r="N325" i="33"/>
  <c r="FC101" i="35"/>
  <c r="FD95" s="1"/>
  <c r="FD97" s="1"/>
  <c r="FD98" s="1"/>
  <c r="AW128" i="26"/>
  <c r="AW129" s="1"/>
  <c r="EX192"/>
  <c r="EY186" s="1"/>
  <c r="EY188" s="1"/>
  <c r="EY189" s="1"/>
  <c r="EY193" s="1"/>
  <c r="EX199"/>
  <c r="F369" i="12"/>
  <c r="G369" s="1"/>
  <c r="I369"/>
  <c r="J369" s="1"/>
  <c r="M368"/>
  <c r="L369"/>
  <c r="G368"/>
  <c r="J368"/>
  <c r="FS71" i="35" l="1"/>
  <c r="FT65" s="1"/>
  <c r="FS78"/>
  <c r="FT67"/>
  <c r="FT68" s="1"/>
  <c r="FT72" s="1"/>
  <c r="FE162" i="26"/>
  <c r="FF156" s="1"/>
  <c r="FE169"/>
  <c r="FF158"/>
  <c r="FF159" s="1"/>
  <c r="FF163" s="1"/>
  <c r="EZ131" i="35"/>
  <c r="FA125" s="1"/>
  <c r="EZ138"/>
  <c r="FD102"/>
  <c r="FD101"/>
  <c r="FE95" s="1"/>
  <c r="FD108"/>
  <c r="AW139" i="26"/>
  <c r="AW133"/>
  <c r="AW132"/>
  <c r="AX126" s="1"/>
  <c r="EY192"/>
  <c r="EZ186" s="1"/>
  <c r="EZ188" s="1"/>
  <c r="EY199"/>
  <c r="M369" i="12"/>
  <c r="L370"/>
  <c r="I370"/>
  <c r="J370" s="1"/>
  <c r="F370"/>
  <c r="G370" s="1"/>
  <c r="FT71" i="35" l="1"/>
  <c r="FU65" s="1"/>
  <c r="FT78"/>
  <c r="FU67"/>
  <c r="FU68" s="1"/>
  <c r="FU72" s="1"/>
  <c r="FF169" i="26"/>
  <c r="FF162"/>
  <c r="FG156" s="1"/>
  <c r="FA127" i="35"/>
  <c r="FE97"/>
  <c r="FE98" s="1"/>
  <c r="AX128" i="26"/>
  <c r="AX129" s="1"/>
  <c r="AX133" s="1"/>
  <c r="EZ189"/>
  <c r="EZ193" s="1"/>
  <c r="I371" i="12"/>
  <c r="J371" s="1"/>
  <c r="M370"/>
  <c r="L371"/>
  <c r="F371"/>
  <c r="G371" s="1"/>
  <c r="FU71" i="35" l="1"/>
  <c r="FV65" s="1"/>
  <c r="FU78"/>
  <c r="AX139" i="26"/>
  <c r="FG158"/>
  <c r="FG159" s="1"/>
  <c r="FA128" i="35"/>
  <c r="FA132" s="1"/>
  <c r="FE102"/>
  <c r="FE101"/>
  <c r="FF95" s="1"/>
  <c r="AX132" i="26"/>
  <c r="AY126" s="1"/>
  <c r="AY128" s="1"/>
  <c r="AY129" s="1"/>
  <c r="FE108" i="35"/>
  <c r="EZ192" i="26"/>
  <c r="FA186" s="1"/>
  <c r="FA188" s="1"/>
  <c r="FA189" s="1"/>
  <c r="FA193" s="1"/>
  <c r="EZ199"/>
  <c r="I372" i="12"/>
  <c r="J372" s="1"/>
  <c r="F372"/>
  <c r="G372" s="1"/>
  <c r="M371"/>
  <c r="L372"/>
  <c r="FV67" i="35" l="1"/>
  <c r="FV68" s="1"/>
  <c r="FV72" s="1"/>
  <c r="FG163" i="26"/>
  <c r="FG169"/>
  <c r="FG162"/>
  <c r="FH156" s="1"/>
  <c r="FA138" i="35"/>
  <c r="FA131"/>
  <c r="FB125" s="1"/>
  <c r="FB127" s="1"/>
  <c r="FA192" i="26"/>
  <c r="FB186" s="1"/>
  <c r="FB188" s="1"/>
  <c r="FB189" s="1"/>
  <c r="FB193" s="1"/>
  <c r="FF97" i="35"/>
  <c r="FF98" s="1"/>
  <c r="FF102" s="1"/>
  <c r="FA199" i="26"/>
  <c r="AY139"/>
  <c r="AY133"/>
  <c r="AY132"/>
  <c r="AZ126" s="1"/>
  <c r="M372" i="12"/>
  <c r="L373"/>
  <c r="F373"/>
  <c r="G373" s="1"/>
  <c r="I373"/>
  <c r="J373" s="1"/>
  <c r="FV71" i="35" l="1"/>
  <c r="FW65" s="1"/>
  <c r="FW67" s="1"/>
  <c r="FW68" s="1"/>
  <c r="FW72" s="1"/>
  <c r="FV78"/>
  <c r="FH158" i="26"/>
  <c r="FH159" s="1"/>
  <c r="FH163" s="1"/>
  <c r="FB128" i="35"/>
  <c r="FF101"/>
  <c r="FG95" s="1"/>
  <c r="FG97" s="1"/>
  <c r="FG98" s="1"/>
  <c r="FG102" s="1"/>
  <c r="FF108"/>
  <c r="AZ128" i="26"/>
  <c r="AZ129" s="1"/>
  <c r="FB192"/>
  <c r="FC186" s="1"/>
  <c r="FC188" s="1"/>
  <c r="FC189" s="1"/>
  <c r="FC193" s="1"/>
  <c r="FB199"/>
  <c r="I374" i="12"/>
  <c r="J374" s="1"/>
  <c r="F374"/>
  <c r="G374" s="1"/>
  <c r="M373"/>
  <c r="L374"/>
  <c r="FW71" i="35" l="1"/>
  <c r="FX65" s="1"/>
  <c r="FW78"/>
  <c r="FH169" i="26"/>
  <c r="FH162"/>
  <c r="FI156" s="1"/>
  <c r="FB132" i="35"/>
  <c r="FB131"/>
  <c r="FC125" s="1"/>
  <c r="FB138"/>
  <c r="FG108"/>
  <c r="FG101"/>
  <c r="FH95" s="1"/>
  <c r="AZ139" i="26"/>
  <c r="AZ133"/>
  <c r="AZ132"/>
  <c r="BA126" s="1"/>
  <c r="FC199"/>
  <c r="FC192"/>
  <c r="FD186" s="1"/>
  <c r="M374" i="12"/>
  <c r="L375"/>
  <c r="F375"/>
  <c r="I375"/>
  <c r="J375" s="1"/>
  <c r="FX67" i="35" l="1"/>
  <c r="FX68" s="1"/>
  <c r="FI158" i="26"/>
  <c r="FI159" s="1"/>
  <c r="FI163" s="1"/>
  <c r="FC127" i="35"/>
  <c r="FC128" s="1"/>
  <c r="FC132" s="1"/>
  <c r="FH97"/>
  <c r="BA128" i="26"/>
  <c r="BA129" s="1"/>
  <c r="BA130" s="1"/>
  <c r="BA135" s="1"/>
  <c r="FD188"/>
  <c r="FD189" s="1"/>
  <c r="FD193" s="1"/>
  <c r="F376" i="12"/>
  <c r="G376" s="1"/>
  <c r="I376"/>
  <c r="M375"/>
  <c r="L376"/>
  <c r="G375"/>
  <c r="FX72" i="35" l="1"/>
  <c r="FX78"/>
  <c r="FC138"/>
  <c r="FX71"/>
  <c r="FY65" s="1"/>
  <c r="FC131"/>
  <c r="FD125" s="1"/>
  <c r="FI169" i="26"/>
  <c r="FI162"/>
  <c r="FJ156" s="1"/>
  <c r="FH98" i="35"/>
  <c r="FH102" s="1"/>
  <c r="FD127"/>
  <c r="FD128" s="1"/>
  <c r="BA139" i="26"/>
  <c r="K24"/>
  <c r="BA132"/>
  <c r="BB126" s="1"/>
  <c r="BA133"/>
  <c r="FD192"/>
  <c r="FE186" s="1"/>
  <c r="FE188" s="1"/>
  <c r="FE189" s="1"/>
  <c r="FE193" s="1"/>
  <c r="FD199"/>
  <c r="M376" i="12"/>
  <c r="L377"/>
  <c r="I377"/>
  <c r="J377" s="1"/>
  <c r="F377"/>
  <c r="G377" s="1"/>
  <c r="J376"/>
  <c r="FY67" i="35" l="1"/>
  <c r="FY68" s="1"/>
  <c r="FJ158" i="26"/>
  <c r="FJ159" s="1"/>
  <c r="FJ163" s="1"/>
  <c r="FD132" i="35"/>
  <c r="FD138"/>
  <c r="FD131"/>
  <c r="FE125" s="1"/>
  <c r="FH101"/>
  <c r="FI95" s="1"/>
  <c r="FH108"/>
  <c r="BB128" i="26"/>
  <c r="BB129" s="1"/>
  <c r="BB133" s="1"/>
  <c r="FE192"/>
  <c r="FF186" s="1"/>
  <c r="FF188" s="1"/>
  <c r="FE199"/>
  <c r="F378" i="12"/>
  <c r="G378" s="1"/>
  <c r="M377"/>
  <c r="L378"/>
  <c r="I378"/>
  <c r="FY72" i="35" l="1"/>
  <c r="FY78"/>
  <c r="FY71"/>
  <c r="FZ65" s="1"/>
  <c r="FJ169" i="26"/>
  <c r="FJ162"/>
  <c r="FK156" s="1"/>
  <c r="BB139"/>
  <c r="FE127" i="35"/>
  <c r="FI97"/>
  <c r="FI98" s="1"/>
  <c r="FI102" s="1"/>
  <c r="FE128"/>
  <c r="FE132" s="1"/>
  <c r="BB132" i="26"/>
  <c r="BC126" s="1"/>
  <c r="BC128" s="1"/>
  <c r="BC129" s="1"/>
  <c r="BC133" s="1"/>
  <c r="FF189"/>
  <c r="FF193" s="1"/>
  <c r="I379" i="12"/>
  <c r="F379"/>
  <c r="G379" s="1"/>
  <c r="M378"/>
  <c r="L379"/>
  <c r="J378"/>
  <c r="FZ67" i="35" l="1"/>
  <c r="FZ68" s="1"/>
  <c r="FZ72" s="1"/>
  <c r="FK158" i="26"/>
  <c r="FK159" s="1"/>
  <c r="FK163" s="1"/>
  <c r="FE131" i="35"/>
  <c r="FF125" s="1"/>
  <c r="FF127" s="1"/>
  <c r="FF128" s="1"/>
  <c r="BC132" i="26"/>
  <c r="BD126" s="1"/>
  <c r="BD128" s="1"/>
  <c r="FI101" i="35"/>
  <c r="FJ95" s="1"/>
  <c r="FJ97" s="1"/>
  <c r="FE138"/>
  <c r="FI108"/>
  <c r="BC139" i="26"/>
  <c r="FF192"/>
  <c r="FG186" s="1"/>
  <c r="FG188" s="1"/>
  <c r="FG189" s="1"/>
  <c r="FG193" s="1"/>
  <c r="FF199"/>
  <c r="M379" i="12"/>
  <c r="L380"/>
  <c r="M380" s="1"/>
  <c r="I380"/>
  <c r="J380" s="1"/>
  <c r="F380"/>
  <c r="G380" s="1"/>
  <c r="J379"/>
  <c r="FZ78" i="35" l="1"/>
  <c r="FZ71"/>
  <c r="GA65" s="1"/>
  <c r="FK162" i="26"/>
  <c r="FL156" s="1"/>
  <c r="FL158" s="1"/>
  <c r="FK169"/>
  <c r="FJ98" i="35"/>
  <c r="FJ102" s="1"/>
  <c r="FF132"/>
  <c r="FF131"/>
  <c r="FG125" s="1"/>
  <c r="FF138"/>
  <c r="FG199" i="26"/>
  <c r="FG192"/>
  <c r="FH186" s="1"/>
  <c r="FH188" s="1"/>
  <c r="FH189" s="1"/>
  <c r="FH193" s="1"/>
  <c r="BD129"/>
  <c r="BD133" s="1"/>
  <c r="GA67" i="35" l="1"/>
  <c r="GA68" s="1"/>
  <c r="GA72" s="1"/>
  <c r="FL159" i="26"/>
  <c r="FL163" s="1"/>
  <c r="FJ108" i="35"/>
  <c r="FJ101"/>
  <c r="FK95" s="1"/>
  <c r="FK97" s="1"/>
  <c r="FK98" s="1"/>
  <c r="FK102" s="1"/>
  <c r="FG127"/>
  <c r="FG128" s="1"/>
  <c r="FH199" i="26"/>
  <c r="FH192"/>
  <c r="FI186" s="1"/>
  <c r="BD139"/>
  <c r="BD132"/>
  <c r="BE126" s="1"/>
  <c r="BE128" s="1"/>
  <c r="GA78" i="35" l="1"/>
  <c r="GA71"/>
  <c r="GB65" s="1"/>
  <c r="FL162" i="26"/>
  <c r="FM156" s="1"/>
  <c r="FM158" s="1"/>
  <c r="FL169"/>
  <c r="FK108" i="35"/>
  <c r="FK101"/>
  <c r="FL95" s="1"/>
  <c r="FL97" s="1"/>
  <c r="FL98" s="1"/>
  <c r="FG132"/>
  <c r="FG138"/>
  <c r="FG131"/>
  <c r="FI188" i="26"/>
  <c r="FI189" s="1"/>
  <c r="FI193" s="1"/>
  <c r="BE129"/>
  <c r="BE133" s="1"/>
  <c r="GB67" i="35" l="1"/>
  <c r="GB68" s="1"/>
  <c r="GB72" s="1"/>
  <c r="FM159" i="26"/>
  <c r="FM163" s="1"/>
  <c r="FL102" i="35"/>
  <c r="FL108"/>
  <c r="FH125"/>
  <c r="S26"/>
  <c r="FL101"/>
  <c r="FM95" s="1"/>
  <c r="BE132" i="26"/>
  <c r="BF126" s="1"/>
  <c r="BF128" s="1"/>
  <c r="FI192"/>
  <c r="FJ186" s="1"/>
  <c r="FJ188" s="1"/>
  <c r="FJ189" s="1"/>
  <c r="FJ193" s="1"/>
  <c r="FI199"/>
  <c r="BE139"/>
  <c r="GB78" i="35" l="1"/>
  <c r="GB71"/>
  <c r="GC65" s="1"/>
  <c r="FM169" i="26"/>
  <c r="FM162"/>
  <c r="FN156" s="1"/>
  <c r="FN158" s="1"/>
  <c r="T20" i="35"/>
  <c r="S27"/>
  <c r="S28" s="1"/>
  <c r="FM97"/>
  <c r="FM98" s="1"/>
  <c r="FH127"/>
  <c r="FH128" s="1"/>
  <c r="FJ192" i="26"/>
  <c r="FK186" s="1"/>
  <c r="FK188" s="1"/>
  <c r="FK189" s="1"/>
  <c r="FK193" s="1"/>
  <c r="FJ199"/>
  <c r="BF129"/>
  <c r="BF133" s="1"/>
  <c r="GC67" i="35" l="1"/>
  <c r="GC68" s="1"/>
  <c r="GC72" s="1"/>
  <c r="FN159" i="26"/>
  <c r="FN163" s="1"/>
  <c r="FH132" i="35"/>
  <c r="FH138"/>
  <c r="FM102"/>
  <c r="FM101"/>
  <c r="FN95" s="1"/>
  <c r="FH131"/>
  <c r="FI125" s="1"/>
  <c r="FM108"/>
  <c r="BF139" i="26"/>
  <c r="BF132"/>
  <c r="BG126" s="1"/>
  <c r="BG128" s="1"/>
  <c r="FK199"/>
  <c r="FK192"/>
  <c r="FL186" s="1"/>
  <c r="GC71" i="35" l="1"/>
  <c r="GD65" s="1"/>
  <c r="GD67" s="1"/>
  <c r="GD68" s="1"/>
  <c r="GD72" s="1"/>
  <c r="GC78"/>
  <c r="FN169" i="26"/>
  <c r="FN162"/>
  <c r="FO156" s="1"/>
  <c r="FN97" i="35"/>
  <c r="FN98" s="1"/>
  <c r="FI127"/>
  <c r="FI128" s="1"/>
  <c r="FI138" s="1"/>
  <c r="FL188" i="26"/>
  <c r="FL189" s="1"/>
  <c r="FL193" s="1"/>
  <c r="BG129"/>
  <c r="BG133" s="1"/>
  <c r="GD71" i="35" l="1"/>
  <c r="GE65" s="1"/>
  <c r="GD78"/>
  <c r="FO158" i="26"/>
  <c r="FO159" s="1"/>
  <c r="FO163" s="1"/>
  <c r="FI131" i="35"/>
  <c r="FJ125" s="1"/>
  <c r="FN102"/>
  <c r="FN101"/>
  <c r="FO95" s="1"/>
  <c r="FI132"/>
  <c r="FN108"/>
  <c r="BG132" i="26"/>
  <c r="BG139"/>
  <c r="FL199"/>
  <c r="FL192"/>
  <c r="FM186" s="1"/>
  <c r="GE67" i="35" l="1"/>
  <c r="GE68" s="1"/>
  <c r="GE72" s="1"/>
  <c r="FO162" i="26"/>
  <c r="FP156" s="1"/>
  <c r="FP158" s="1"/>
  <c r="FP159" s="1"/>
  <c r="FP163" s="1"/>
  <c r="FO169"/>
  <c r="FJ127" i="35"/>
  <c r="FJ128" s="1"/>
  <c r="FJ132" s="1"/>
  <c r="BH126" i="26"/>
  <c r="BH128" s="1"/>
  <c r="K26"/>
  <c r="L20" s="1"/>
  <c r="FO97" i="35"/>
  <c r="FO98" s="1"/>
  <c r="FM188" i="26"/>
  <c r="FM189" s="1"/>
  <c r="FM193" s="1"/>
  <c r="GE71" i="35" l="1"/>
  <c r="GF65" s="1"/>
  <c r="GF67" s="1"/>
  <c r="GE78"/>
  <c r="FP169" i="26"/>
  <c r="FP162"/>
  <c r="FQ156" s="1"/>
  <c r="FQ158" s="1"/>
  <c r="FQ159" s="1"/>
  <c r="FQ163" s="1"/>
  <c r="FJ138" i="35"/>
  <c r="FJ131"/>
  <c r="FK125" s="1"/>
  <c r="FO108"/>
  <c r="FO102"/>
  <c r="FO101"/>
  <c r="FP95" s="1"/>
  <c r="FK127"/>
  <c r="BH129" i="26"/>
  <c r="BH139" s="1"/>
  <c r="FM192"/>
  <c r="FN186" s="1"/>
  <c r="FN188" s="1"/>
  <c r="FM199"/>
  <c r="GF68" i="35" l="1"/>
  <c r="GF72" s="1"/>
  <c r="FQ169" i="26"/>
  <c r="FQ162"/>
  <c r="FR156" s="1"/>
  <c r="FR158" s="1"/>
  <c r="FP97" i="35"/>
  <c r="FP98" s="1"/>
  <c r="FP102" s="1"/>
  <c r="FK128"/>
  <c r="BH132" i="26"/>
  <c r="BI126" s="1"/>
  <c r="BH133"/>
  <c r="FN189"/>
  <c r="FN193" s="1"/>
  <c r="GF78" i="35" l="1"/>
  <c r="GF71"/>
  <c r="GG65" s="1"/>
  <c r="GG67" s="1"/>
  <c r="GG68" s="1"/>
  <c r="GG72" s="1"/>
  <c r="GH67"/>
  <c r="GH68" s="1"/>
  <c r="GH72" s="1"/>
  <c r="GG71"/>
  <c r="GH65" s="1"/>
  <c r="GG78"/>
  <c r="FR159" i="26"/>
  <c r="FR163" s="1"/>
  <c r="FP101" i="35"/>
  <c r="FQ95" s="1"/>
  <c r="FQ97" s="1"/>
  <c r="FP108"/>
  <c r="BI128" i="26"/>
  <c r="BI129" s="1"/>
  <c r="FK132" i="35"/>
  <c r="FK131"/>
  <c r="FL125" s="1"/>
  <c r="FK138"/>
  <c r="FN192" i="26"/>
  <c r="FO186" s="1"/>
  <c r="FO188" s="1"/>
  <c r="FO189" s="1"/>
  <c r="FO193" s="1"/>
  <c r="FN199"/>
  <c r="GH71" i="35" l="1"/>
  <c r="GI65" s="1"/>
  <c r="GH78"/>
  <c r="FR162" i="26"/>
  <c r="FS156" s="1"/>
  <c r="FS158" s="1"/>
  <c r="FR169"/>
  <c r="FQ98" i="35"/>
  <c r="FQ102" s="1"/>
  <c r="FL127"/>
  <c r="FL128" s="1"/>
  <c r="BI133" i="26"/>
  <c r="FO192"/>
  <c r="FP186" s="1"/>
  <c r="FP188" s="1"/>
  <c r="FP189" s="1"/>
  <c r="FP193" s="1"/>
  <c r="FO199"/>
  <c r="BI139"/>
  <c r="BI132"/>
  <c r="BJ126" s="1"/>
  <c r="GI67" i="35" l="1"/>
  <c r="GI68" s="1"/>
  <c r="GI72" s="1"/>
  <c r="GI71"/>
  <c r="GJ65" s="1"/>
  <c r="FS159" i="26"/>
  <c r="FS163" s="1"/>
  <c r="FQ108" i="35"/>
  <c r="FQ101"/>
  <c r="FR95" s="1"/>
  <c r="FR97" s="1"/>
  <c r="FR98" s="1"/>
  <c r="FR102" s="1"/>
  <c r="FL132"/>
  <c r="FL138"/>
  <c r="FL131"/>
  <c r="FM125" s="1"/>
  <c r="FP192" i="26"/>
  <c r="FQ186" s="1"/>
  <c r="FP199"/>
  <c r="BJ128"/>
  <c r="GI78" i="35" l="1"/>
  <c r="GJ67"/>
  <c r="GJ68" s="1"/>
  <c r="GJ72" s="1"/>
  <c r="GJ78"/>
  <c r="FS169" i="26"/>
  <c r="FS162"/>
  <c r="FT156" s="1"/>
  <c r="FT158" s="1"/>
  <c r="FT159" s="1"/>
  <c r="FT163" s="1"/>
  <c r="FR101" i="35"/>
  <c r="FS95" s="1"/>
  <c r="FS97" s="1"/>
  <c r="FM127"/>
  <c r="FM128" s="1"/>
  <c r="FR108"/>
  <c r="FQ188" i="26"/>
  <c r="FQ189" s="1"/>
  <c r="FQ193" s="1"/>
  <c r="BJ129"/>
  <c r="GK67" i="35" l="1"/>
  <c r="GK68" s="1"/>
  <c r="GK72" s="1"/>
  <c r="GJ71"/>
  <c r="GK65" s="1"/>
  <c r="FT169" i="26"/>
  <c r="FT162"/>
  <c r="FU156" s="1"/>
  <c r="FM132" i="35"/>
  <c r="FM131"/>
  <c r="FN125" s="1"/>
  <c r="FM138"/>
  <c r="FS98"/>
  <c r="FS102" s="1"/>
  <c r="BJ133" i="26"/>
  <c r="FQ199"/>
  <c r="FQ192"/>
  <c r="FR186" s="1"/>
  <c r="BJ132"/>
  <c r="BK126" s="1"/>
  <c r="BJ139"/>
  <c r="GK71" i="35" l="1"/>
  <c r="GL65" s="1"/>
  <c r="GK78"/>
  <c r="FU158" i="26"/>
  <c r="FU159" s="1"/>
  <c r="FU163" s="1"/>
  <c r="FS101" i="35"/>
  <c r="FT95" s="1"/>
  <c r="FN127"/>
  <c r="FN128" s="1"/>
  <c r="FS108"/>
  <c r="FR188" i="26"/>
  <c r="FR189" s="1"/>
  <c r="FR193" s="1"/>
  <c r="BK128"/>
  <c r="BK129" s="1"/>
  <c r="GL67" i="35" l="1"/>
  <c r="GL68" s="1"/>
  <c r="GL72" s="1"/>
  <c r="FU169" i="26"/>
  <c r="FU162"/>
  <c r="FV156" s="1"/>
  <c r="FN132" i="35"/>
  <c r="FN138"/>
  <c r="FN131"/>
  <c r="FO125" s="1"/>
  <c r="FT97"/>
  <c r="FT98" s="1"/>
  <c r="FT102" s="1"/>
  <c r="BK133" i="26"/>
  <c r="BK139"/>
  <c r="FR192"/>
  <c r="FS186" s="1"/>
  <c r="FR199"/>
  <c r="BK132"/>
  <c r="BL126" s="1"/>
  <c r="GL78" i="35" l="1"/>
  <c r="GL71"/>
  <c r="GM65" s="1"/>
  <c r="GM67" s="1"/>
  <c r="GM68" s="1"/>
  <c r="GM72" s="1"/>
  <c r="FV158" i="26"/>
  <c r="FV159" s="1"/>
  <c r="FV163" s="1"/>
  <c r="FO127" i="35"/>
  <c r="FO128" s="1"/>
  <c r="FT101"/>
  <c r="FU95" s="1"/>
  <c r="FU97" s="1"/>
  <c r="FT108"/>
  <c r="FS188" i="26"/>
  <c r="BL128"/>
  <c r="BL129" s="1"/>
  <c r="BL133" s="1"/>
  <c r="GM78" i="35" l="1"/>
  <c r="GM71"/>
  <c r="GN65" s="1"/>
  <c r="FV169" i="26"/>
  <c r="FV162"/>
  <c r="FW156" s="1"/>
  <c r="FO132" i="35"/>
  <c r="FO138"/>
  <c r="FO131"/>
  <c r="FP125" s="1"/>
  <c r="FU98"/>
  <c r="FU102" s="1"/>
  <c r="FS189" i="26"/>
  <c r="FS193" s="1"/>
  <c r="BL139"/>
  <c r="BL132"/>
  <c r="BM126" s="1"/>
  <c r="GN67" i="35" l="1"/>
  <c r="GN68" s="1"/>
  <c r="GN72" s="1"/>
  <c r="FW158" i="26"/>
  <c r="FW159" s="1"/>
  <c r="FW163" s="1"/>
  <c r="FU101" i="35"/>
  <c r="FV95" s="1"/>
  <c r="FV97" s="1"/>
  <c r="FU108"/>
  <c r="FP127"/>
  <c r="FS199" i="26"/>
  <c r="FS192"/>
  <c r="FT186" s="1"/>
  <c r="FT188" s="1"/>
  <c r="BM128"/>
  <c r="BM129" s="1"/>
  <c r="GN78" i="35" l="1"/>
  <c r="GN71"/>
  <c r="GO65" s="1"/>
  <c r="FW162" i="26"/>
  <c r="FX156" s="1"/>
  <c r="FX158" s="1"/>
  <c r="FX159" s="1"/>
  <c r="FX163" s="1"/>
  <c r="FW169"/>
  <c r="FV98" i="35"/>
  <c r="FV102" s="1"/>
  <c r="FP128"/>
  <c r="FP132" s="1"/>
  <c r="FT189" i="26"/>
  <c r="FT193" s="1"/>
  <c r="BM130"/>
  <c r="GO67" i="35" l="1"/>
  <c r="GO68" s="1"/>
  <c r="GO72" s="1"/>
  <c r="GO71"/>
  <c r="GP65" s="1"/>
  <c r="FX169" i="26"/>
  <c r="FX162"/>
  <c r="FY156" s="1"/>
  <c r="FY158" s="1"/>
  <c r="FY159" s="1"/>
  <c r="FY163" s="1"/>
  <c r="FP138" i="35"/>
  <c r="FV101"/>
  <c r="FW95" s="1"/>
  <c r="FP131"/>
  <c r="FQ125" s="1"/>
  <c r="FV108"/>
  <c r="FT192" i="26"/>
  <c r="FU186" s="1"/>
  <c r="FU188" s="1"/>
  <c r="FU189" s="1"/>
  <c r="FU193" s="1"/>
  <c r="FT199"/>
  <c r="BM133"/>
  <c r="L24"/>
  <c r="BM135"/>
  <c r="BM132"/>
  <c r="BN126" s="1"/>
  <c r="BM139"/>
  <c r="GO78" i="35" l="1"/>
  <c r="GP67"/>
  <c r="GP68" s="1"/>
  <c r="GP72" s="1"/>
  <c r="FY162" i="26"/>
  <c r="FZ156" s="1"/>
  <c r="FY169"/>
  <c r="FZ158"/>
  <c r="FZ159" s="1"/>
  <c r="FZ163" s="1"/>
  <c r="FU199"/>
  <c r="FQ127" i="35"/>
  <c r="FQ128" s="1"/>
  <c r="FW97"/>
  <c r="FW98" s="1"/>
  <c r="FU192" i="26"/>
  <c r="FV186" s="1"/>
  <c r="FV188" s="1"/>
  <c r="BN128"/>
  <c r="BN129" s="1"/>
  <c r="BN133" s="1"/>
  <c r="GP78" i="35" l="1"/>
  <c r="GP71"/>
  <c r="GQ65" s="1"/>
  <c r="FZ169" i="26"/>
  <c r="FZ162"/>
  <c r="GA156" s="1"/>
  <c r="GA158" s="1"/>
  <c r="GA159" s="1"/>
  <c r="GA163" s="1"/>
  <c r="FQ132" i="35"/>
  <c r="FQ131"/>
  <c r="FR125" s="1"/>
  <c r="FQ138"/>
  <c r="FW102"/>
  <c r="FW101"/>
  <c r="FX95" s="1"/>
  <c r="FW108"/>
  <c r="FV189" i="26"/>
  <c r="FV199" s="1"/>
  <c r="BN132"/>
  <c r="BO126" s="1"/>
  <c r="BO128" s="1"/>
  <c r="BO129" s="1"/>
  <c r="BO133" s="1"/>
  <c r="BN139"/>
  <c r="GQ67" i="35" l="1"/>
  <c r="GQ68" s="1"/>
  <c r="GA169" i="26"/>
  <c r="GA162"/>
  <c r="GB156" s="1"/>
  <c r="FX97" i="35"/>
  <c r="FX98" s="1"/>
  <c r="FR127"/>
  <c r="FR128" s="1"/>
  <c r="FV193" i="26"/>
  <c r="FV192"/>
  <c r="FW186" s="1"/>
  <c r="BO139"/>
  <c r="BO132"/>
  <c r="BP126" s="1"/>
  <c r="GQ72" i="35" l="1"/>
  <c r="GQ71"/>
  <c r="GQ78"/>
  <c r="GB158" i="26"/>
  <c r="GB159" s="1"/>
  <c r="GB163" s="1"/>
  <c r="FX102" i="35"/>
  <c r="FX101"/>
  <c r="FY95" s="1"/>
  <c r="FX108"/>
  <c r="FR132"/>
  <c r="FR138"/>
  <c r="FR131"/>
  <c r="FS125" s="1"/>
  <c r="FW188" i="26"/>
  <c r="FW189" s="1"/>
  <c r="FW193" s="1"/>
  <c r="BP128"/>
  <c r="BP129" s="1"/>
  <c r="BP133" s="1"/>
  <c r="GB169" l="1"/>
  <c r="FY97" i="35"/>
  <c r="FY98" s="1"/>
  <c r="FY102" s="1"/>
  <c r="GB162" i="26"/>
  <c r="GC156" s="1"/>
  <c r="GC158" s="1"/>
  <c r="GC159" s="1"/>
  <c r="GC163" s="1"/>
  <c r="FW192"/>
  <c r="FX186" s="1"/>
  <c r="FX188" s="1"/>
  <c r="FX189" s="1"/>
  <c r="FX193" s="1"/>
  <c r="FW199"/>
  <c r="FS127" i="35"/>
  <c r="FS128" s="1"/>
  <c r="BP132" i="26"/>
  <c r="BQ126" s="1"/>
  <c r="BP139"/>
  <c r="FY101" i="35" l="1"/>
  <c r="FZ95" s="1"/>
  <c r="FZ97" s="1"/>
  <c r="FZ98" s="1"/>
  <c r="GC169" i="26"/>
  <c r="GC162"/>
  <c r="GD156" s="1"/>
  <c r="FY108" i="35"/>
  <c r="FS132"/>
  <c r="FS138"/>
  <c r="FS131"/>
  <c r="FX199" i="26"/>
  <c r="FX192"/>
  <c r="FY186" s="1"/>
  <c r="BQ128"/>
  <c r="BQ129" s="1"/>
  <c r="BQ133" s="1"/>
  <c r="GD158" l="1"/>
  <c r="FZ102" i="35"/>
  <c r="FZ108"/>
  <c r="FT125"/>
  <c r="T26"/>
  <c r="FT127"/>
  <c r="FZ101"/>
  <c r="GA95" s="1"/>
  <c r="FY188" i="26"/>
  <c r="FY189" s="1"/>
  <c r="FY193" s="1"/>
  <c r="BQ132"/>
  <c r="BR126" s="1"/>
  <c r="BQ139"/>
  <c r="GD159" l="1"/>
  <c r="GD163" s="1"/>
  <c r="FT128" i="35"/>
  <c r="FT138" s="1"/>
  <c r="GA97"/>
  <c r="GA98" s="1"/>
  <c r="GA102" s="1"/>
  <c r="U20"/>
  <c r="T27"/>
  <c r="T28" s="1"/>
  <c r="FY199" i="26"/>
  <c r="FY192"/>
  <c r="FZ186" s="1"/>
  <c r="BR128"/>
  <c r="GD162" l="1"/>
  <c r="GE156" s="1"/>
  <c r="GE158" s="1"/>
  <c r="GE159" s="1"/>
  <c r="GE163" s="1"/>
  <c r="GD169"/>
  <c r="FT131" i="35"/>
  <c r="FU125" s="1"/>
  <c r="FT132"/>
  <c r="GA101"/>
  <c r="GB95" s="1"/>
  <c r="GA108"/>
  <c r="FZ188" i="26"/>
  <c r="FZ189" s="1"/>
  <c r="FZ193" s="1"/>
  <c r="BR129"/>
  <c r="BR133" s="1"/>
  <c r="GE169" l="1"/>
  <c r="GE162"/>
  <c r="GF156" s="1"/>
  <c r="GF158" s="1"/>
  <c r="FU127" i="35"/>
  <c r="FU128" s="1"/>
  <c r="FU132" s="1"/>
  <c r="FZ192" i="26"/>
  <c r="GA186" s="1"/>
  <c r="GA188" s="1"/>
  <c r="GA189" s="1"/>
  <c r="GA193" s="1"/>
  <c r="GB97" i="35"/>
  <c r="GB98" s="1"/>
  <c r="FZ199" i="26"/>
  <c r="BR139"/>
  <c r="BR132"/>
  <c r="BS126" s="1"/>
  <c r="GF159" l="1"/>
  <c r="GF163" s="1"/>
  <c r="FU131" i="35"/>
  <c r="FV125" s="1"/>
  <c r="FV127" s="1"/>
  <c r="FV128" s="1"/>
  <c r="FV138" s="1"/>
  <c r="FU138"/>
  <c r="GB102"/>
  <c r="GB108"/>
  <c r="GB101"/>
  <c r="GC95" s="1"/>
  <c r="GA199" i="26"/>
  <c r="GA192"/>
  <c r="GB186" s="1"/>
  <c r="BS128"/>
  <c r="BS129" s="1"/>
  <c r="BS133" s="1"/>
  <c r="GF162" l="1"/>
  <c r="GG156" s="1"/>
  <c r="GG158" s="1"/>
  <c r="GG159" s="1"/>
  <c r="GG163" s="1"/>
  <c r="GF169"/>
  <c r="FV131" i="35"/>
  <c r="FW125" s="1"/>
  <c r="FV132"/>
  <c r="GC97"/>
  <c r="GC98" s="1"/>
  <c r="GC102" s="1"/>
  <c r="GB188" i="26"/>
  <c r="GB189" s="1"/>
  <c r="BS139"/>
  <c r="BS132"/>
  <c r="L26" s="1"/>
  <c r="M20" s="1"/>
  <c r="GG169" l="1"/>
  <c r="GG162"/>
  <c r="GH156" s="1"/>
  <c r="GH158" s="1"/>
  <c r="GH159" s="1"/>
  <c r="GH163" s="1"/>
  <c r="FW127" i="35"/>
  <c r="GC101"/>
  <c r="GD95" s="1"/>
  <c r="GD97" s="1"/>
  <c r="FW128"/>
  <c r="FW138" s="1"/>
  <c r="GC108"/>
  <c r="GB193" i="26"/>
  <c r="GB199"/>
  <c r="GB192"/>
  <c r="GC186" s="1"/>
  <c r="BT126"/>
  <c r="GH162" l="1"/>
  <c r="GI156" s="1"/>
  <c r="GH169"/>
  <c r="GI158"/>
  <c r="GI159" s="1"/>
  <c r="GD98" i="35"/>
  <c r="GD102" s="1"/>
  <c r="FW132"/>
  <c r="FW131"/>
  <c r="FX125" s="1"/>
  <c r="GC188" i="26"/>
  <c r="GC189" s="1"/>
  <c r="BT128"/>
  <c r="GI163" l="1"/>
  <c r="GI162"/>
  <c r="GJ156" s="1"/>
  <c r="GI169"/>
  <c r="GD108" i="35"/>
  <c r="GD101"/>
  <c r="GE95" s="1"/>
  <c r="GE97" s="1"/>
  <c r="GE98" s="1"/>
  <c r="FX127"/>
  <c r="FX128" s="1"/>
  <c r="GC193" i="26"/>
  <c r="GC199"/>
  <c r="GC192"/>
  <c r="GD186" s="1"/>
  <c r="BT129"/>
  <c r="GJ158" l="1"/>
  <c r="GJ159" s="1"/>
  <c r="GJ163" s="1"/>
  <c r="FX132" i="35"/>
  <c r="FX131"/>
  <c r="FY125" s="1"/>
  <c r="FX138"/>
  <c r="GE102"/>
  <c r="GE108"/>
  <c r="GE101"/>
  <c r="GF95" s="1"/>
  <c r="GD188" i="26"/>
  <c r="GD189" s="1"/>
  <c r="BT133"/>
  <c r="BT139"/>
  <c r="BT132"/>
  <c r="BU126" s="1"/>
  <c r="BU128" l="1"/>
  <c r="BU129" s="1"/>
  <c r="GJ162"/>
  <c r="GK156" s="1"/>
  <c r="GJ169"/>
  <c r="GK158"/>
  <c r="GK159" s="1"/>
  <c r="GK163" s="1"/>
  <c r="GF97" i="35"/>
  <c r="GF98" s="1"/>
  <c r="FY127"/>
  <c r="FY128" s="1"/>
  <c r="GD193" i="26"/>
  <c r="GD192"/>
  <c r="GE186" s="1"/>
  <c r="GD199"/>
  <c r="GK162" l="1"/>
  <c r="GL156" s="1"/>
  <c r="GL158" s="1"/>
  <c r="GL159" s="1"/>
  <c r="GL163" s="1"/>
  <c r="GK169"/>
  <c r="GF102" i="35"/>
  <c r="GF101"/>
  <c r="GG95" s="1"/>
  <c r="GF108"/>
  <c r="FY132"/>
  <c r="FY138"/>
  <c r="FY131"/>
  <c r="FZ125" s="1"/>
  <c r="GE188" i="26"/>
  <c r="GE189" s="1"/>
  <c r="GE193" s="1"/>
  <c r="BU139"/>
  <c r="BU133"/>
  <c r="BU132"/>
  <c r="BV126" s="1"/>
  <c r="GL162" l="1"/>
  <c r="GM156" s="1"/>
  <c r="GM158" s="1"/>
  <c r="GM159" s="1"/>
  <c r="GM163" s="1"/>
  <c r="GL169"/>
  <c r="GE199"/>
  <c r="GE192"/>
  <c r="GF186" s="1"/>
  <c r="GF188" s="1"/>
  <c r="GF189" s="1"/>
  <c r="GF193" s="1"/>
  <c r="GG97" i="35"/>
  <c r="FZ127"/>
  <c r="FZ128" s="1"/>
  <c r="GG98"/>
  <c r="GG102" s="1"/>
  <c r="BV128" i="26"/>
  <c r="BV129" s="1"/>
  <c r="GM169" l="1"/>
  <c r="GM162"/>
  <c r="GN156" s="1"/>
  <c r="GG101" i="35"/>
  <c r="GH95" s="1"/>
  <c r="GH97" s="1"/>
  <c r="GH98" s="1"/>
  <c r="GF192" i="26"/>
  <c r="GG186" s="1"/>
  <c r="GG188" s="1"/>
  <c r="GG189" s="1"/>
  <c r="GG193" s="1"/>
  <c r="FZ132" i="35"/>
  <c r="FZ131"/>
  <c r="GA125" s="1"/>
  <c r="FZ138"/>
  <c r="GG108"/>
  <c r="GF199" i="26"/>
  <c r="BV139"/>
  <c r="BV133"/>
  <c r="BV132"/>
  <c r="BW126" s="1"/>
  <c r="GN158" l="1"/>
  <c r="GN159" s="1"/>
  <c r="GH102" i="35"/>
  <c r="GH101"/>
  <c r="GI95" s="1"/>
  <c r="GH108"/>
  <c r="GA127"/>
  <c r="GA128" s="1"/>
  <c r="GG199" i="26"/>
  <c r="GG192"/>
  <c r="GH186" s="1"/>
  <c r="BW128"/>
  <c r="BW129" s="1"/>
  <c r="BW133" s="1"/>
  <c r="GN163" l="1"/>
  <c r="GN169"/>
  <c r="GN162"/>
  <c r="GO156" s="1"/>
  <c r="GA132" i="35"/>
  <c r="GA131"/>
  <c r="GB125" s="1"/>
  <c r="GA138"/>
  <c r="GI97"/>
  <c r="GI98" s="1"/>
  <c r="GH188" i="26"/>
  <c r="GH189" s="1"/>
  <c r="GH193" s="1"/>
  <c r="BW139"/>
  <c r="BW132"/>
  <c r="BX126" s="1"/>
  <c r="BX128" s="1"/>
  <c r="GO158" l="1"/>
  <c r="GO159" s="1"/>
  <c r="GO163" s="1"/>
  <c r="GI102" i="35"/>
  <c r="GI101"/>
  <c r="GJ95" s="1"/>
  <c r="GI108"/>
  <c r="GB127"/>
  <c r="GB128" s="1"/>
  <c r="GH199" i="26"/>
  <c r="GH192"/>
  <c r="GI186" s="1"/>
  <c r="BX129"/>
  <c r="BX133" s="1"/>
  <c r="GO162" l="1"/>
  <c r="GP156" s="1"/>
  <c r="GP158" s="1"/>
  <c r="GP159" s="1"/>
  <c r="GP163" s="1"/>
  <c r="GO169"/>
  <c r="GB132" i="35"/>
  <c r="GB131"/>
  <c r="GC125" s="1"/>
  <c r="GB138"/>
  <c r="GJ97"/>
  <c r="GJ98" s="1"/>
  <c r="GI188" i="26"/>
  <c r="GI189" s="1"/>
  <c r="GI193" s="1"/>
  <c r="BX139"/>
  <c r="BX132"/>
  <c r="BY126" s="1"/>
  <c r="BY128" s="1"/>
  <c r="BY129" s="1"/>
  <c r="BY133" s="1"/>
  <c r="GP169" l="1"/>
  <c r="GP162"/>
  <c r="GQ156" s="1"/>
  <c r="GJ102" i="35"/>
  <c r="GJ108"/>
  <c r="GI192" i="26"/>
  <c r="GJ186" s="1"/>
  <c r="GJ101" i="35"/>
  <c r="GK95" s="1"/>
  <c r="GC127"/>
  <c r="GC128" s="1"/>
  <c r="GI199" i="26"/>
  <c r="BY139"/>
  <c r="BY132"/>
  <c r="BZ126" s="1"/>
  <c r="GQ158" l="1"/>
  <c r="GQ159" s="1"/>
  <c r="GQ163" s="1"/>
  <c r="GJ188"/>
  <c r="GJ189" s="1"/>
  <c r="GC132" i="35"/>
  <c r="GC138"/>
  <c r="GK97"/>
  <c r="GK98" s="1"/>
  <c r="GC131"/>
  <c r="GD125" s="1"/>
  <c r="BZ128" i="26"/>
  <c r="BZ129" s="1"/>
  <c r="BZ133" s="1"/>
  <c r="GQ169" l="1"/>
  <c r="GQ162"/>
  <c r="GK102" i="35"/>
  <c r="GK101"/>
  <c r="GL95" s="1"/>
  <c r="GK108"/>
  <c r="GJ193" i="26"/>
  <c r="GJ199"/>
  <c r="GJ192"/>
  <c r="GK186" s="1"/>
  <c r="GK188" s="1"/>
  <c r="GK189" s="1"/>
  <c r="GK193" s="1"/>
  <c r="GD127" i="35"/>
  <c r="GD128" s="1"/>
  <c r="GD132" s="1"/>
  <c r="BZ132" i="26"/>
  <c r="CA126" s="1"/>
  <c r="CA128" s="1"/>
  <c r="BZ139"/>
  <c r="GL97" i="35" l="1"/>
  <c r="GD131"/>
  <c r="GE125" s="1"/>
  <c r="GE127" s="1"/>
  <c r="GE128" s="1"/>
  <c r="GE132" s="1"/>
  <c r="GK199" i="26"/>
  <c r="GD138" i="35"/>
  <c r="GK192" i="26"/>
  <c r="GL186" s="1"/>
  <c r="CA129"/>
  <c r="CA133" s="1"/>
  <c r="GL98" i="35" l="1"/>
  <c r="GL102" s="1"/>
  <c r="GE131"/>
  <c r="GF125" s="1"/>
  <c r="GF127" s="1"/>
  <c r="GE138"/>
  <c r="GL188" i="26"/>
  <c r="GL189" s="1"/>
  <c r="CA132"/>
  <c r="CB126" s="1"/>
  <c r="CB128" s="1"/>
  <c r="CB129" s="1"/>
  <c r="CB133" s="1"/>
  <c r="CA139"/>
  <c r="U26" i="35" l="1"/>
  <c r="U27" s="1"/>
  <c r="U28" s="1"/>
  <c r="GL101"/>
  <c r="GM95" s="1"/>
  <c r="GL108"/>
  <c r="GM97"/>
  <c r="GF128"/>
  <c r="GF131" s="1"/>
  <c r="GG125" s="1"/>
  <c r="GL193" i="26"/>
  <c r="GL199"/>
  <c r="GL192"/>
  <c r="GM186" s="1"/>
  <c r="CB139"/>
  <c r="CB132"/>
  <c r="CC126" s="1"/>
  <c r="CC128" s="1"/>
  <c r="CC129" s="1"/>
  <c r="CC133" s="1"/>
  <c r="V20" i="35" l="1"/>
  <c r="GF138"/>
  <c r="GM98"/>
  <c r="GM102" s="1"/>
  <c r="GF132"/>
  <c r="GG127" s="1"/>
  <c r="GG128" s="1"/>
  <c r="GM188" i="26"/>
  <c r="GM189" s="1"/>
  <c r="GM193" s="1"/>
  <c r="CC132"/>
  <c r="CD126" s="1"/>
  <c r="CD128" s="1"/>
  <c r="CC139"/>
  <c r="GM108" i="35" l="1"/>
  <c r="GM101"/>
  <c r="GN95" s="1"/>
  <c r="GN97" s="1"/>
  <c r="GG132"/>
  <c r="GG138"/>
  <c r="GG131"/>
  <c r="GH125" s="1"/>
  <c r="GM199" i="26"/>
  <c r="GM192"/>
  <c r="GN186" s="1"/>
  <c r="CD129"/>
  <c r="CD133" s="1"/>
  <c r="GH127" i="35" l="1"/>
  <c r="GH128" s="1"/>
  <c r="GH132" s="1"/>
  <c r="GN98"/>
  <c r="GN188" i="26"/>
  <c r="GN189" s="1"/>
  <c r="CD139"/>
  <c r="CD132"/>
  <c r="CE126" s="1"/>
  <c r="CE128" s="1"/>
  <c r="GN102" i="35" l="1"/>
  <c r="GN101"/>
  <c r="GO95" s="1"/>
  <c r="GH138"/>
  <c r="GN108"/>
  <c r="GH131"/>
  <c r="GI125" s="1"/>
  <c r="GI127" s="1"/>
  <c r="GN193" i="26"/>
  <c r="GN199"/>
  <c r="GN192"/>
  <c r="GO186" s="1"/>
  <c r="CE129"/>
  <c r="CE133" s="1"/>
  <c r="GO97" i="35" l="1"/>
  <c r="GO98" s="1"/>
  <c r="GO102" s="1"/>
  <c r="GI128"/>
  <c r="GI132" s="1"/>
  <c r="GO101"/>
  <c r="GP95" s="1"/>
  <c r="GO188" i="26"/>
  <c r="GO189" s="1"/>
  <c r="GO193" s="1"/>
  <c r="CE139"/>
  <c r="CE132"/>
  <c r="M26" s="1"/>
  <c r="N20" s="1"/>
  <c r="GP97" i="35" l="1"/>
  <c r="GP98" s="1"/>
  <c r="GP102" s="1"/>
  <c r="GO108"/>
  <c r="GO192" i="26"/>
  <c r="GP186" s="1"/>
  <c r="GP188" s="1"/>
  <c r="GP189" s="1"/>
  <c r="GP193" s="1"/>
  <c r="GI131" i="35"/>
  <c r="GJ125" s="1"/>
  <c r="GJ127" s="1"/>
  <c r="GJ128" s="1"/>
  <c r="GJ132" s="1"/>
  <c r="GI138"/>
  <c r="GO199" i="26"/>
  <c r="CF126"/>
  <c r="GP101" i="35" l="1"/>
  <c r="GQ95" s="1"/>
  <c r="GQ97" s="1"/>
  <c r="W22" s="1"/>
  <c r="GJ131"/>
  <c r="GK125" s="1"/>
  <c r="GK127" s="1"/>
  <c r="GK128" s="1"/>
  <c r="GK131" s="1"/>
  <c r="GL125" s="1"/>
  <c r="GP108"/>
  <c r="GJ138"/>
  <c r="GP199" i="26"/>
  <c r="GP192"/>
  <c r="GQ186" s="1"/>
  <c r="CF128"/>
  <c r="GQ98" i="35" l="1"/>
  <c r="GQ108"/>
  <c r="GK132"/>
  <c r="GL127" s="1"/>
  <c r="GK138"/>
  <c r="GQ188" i="26"/>
  <c r="GQ189" s="1"/>
  <c r="GQ193" s="1"/>
  <c r="CF129"/>
  <c r="W23" i="35" l="1"/>
  <c r="GQ102"/>
  <c r="GQ101"/>
  <c r="GQ192" i="26"/>
  <c r="GL128" i="35"/>
  <c r="GL132" s="1"/>
  <c r="GQ199" i="26"/>
  <c r="CF133"/>
  <c r="CF132"/>
  <c r="CG126" s="1"/>
  <c r="CF139"/>
  <c r="GL131" i="35" l="1"/>
  <c r="GM125" s="1"/>
  <c r="GL138"/>
  <c r="GM127"/>
  <c r="GM128" s="1"/>
  <c r="CG128" i="26"/>
  <c r="CG129" s="1"/>
  <c r="GM132" i="35" l="1"/>
  <c r="GM138"/>
  <c r="GM131"/>
  <c r="GN125" s="1"/>
  <c r="CG139" i="26"/>
  <c r="CG133"/>
  <c r="CG132"/>
  <c r="CH126" s="1"/>
  <c r="GN127" i="35" l="1"/>
  <c r="GN128" s="1"/>
  <c r="GN132" s="1"/>
  <c r="CH128" i="26"/>
  <c r="CH129" s="1"/>
  <c r="CH133" s="1"/>
  <c r="GN138" i="35" l="1"/>
  <c r="GN131"/>
  <c r="GO125" s="1"/>
  <c r="CH132" i="26"/>
  <c r="CI126" s="1"/>
  <c r="CI128" s="1"/>
  <c r="CI129" s="1"/>
  <c r="CI133" s="1"/>
  <c r="CH139"/>
  <c r="GO127" i="35" l="1"/>
  <c r="GO128" s="1"/>
  <c r="CI139" i="26"/>
  <c r="CI132"/>
  <c r="CJ126" s="1"/>
  <c r="GO132" i="35" l="1"/>
  <c r="GO138"/>
  <c r="GO131"/>
  <c r="GP125" s="1"/>
  <c r="CJ128" i="26"/>
  <c r="GP127" i="35" l="1"/>
  <c r="CJ129" i="26"/>
  <c r="GP128" i="35" l="1"/>
  <c r="CJ139" i="26"/>
  <c r="CJ133"/>
  <c r="CJ132"/>
  <c r="CK126" s="1"/>
  <c r="GP132" i="35" l="1"/>
  <c r="GP131"/>
  <c r="GQ125" s="1"/>
  <c r="GP138"/>
  <c r="J23"/>
  <c r="K23"/>
  <c r="L23"/>
  <c r="M23"/>
  <c r="N23"/>
  <c r="O23"/>
  <c r="P23"/>
  <c r="Q23"/>
  <c r="R23"/>
  <c r="S23"/>
  <c r="T23"/>
  <c r="U23"/>
  <c r="J22"/>
  <c r="K22"/>
  <c r="L22"/>
  <c r="M22"/>
  <c r="N22"/>
  <c r="O22"/>
  <c r="P22"/>
  <c r="Q22"/>
  <c r="R22"/>
  <c r="S22"/>
  <c r="T22"/>
  <c r="U22"/>
  <c r="CK128" i="26"/>
  <c r="GQ127" i="35" l="1"/>
  <c r="CK129" i="26"/>
  <c r="CK133" s="1"/>
  <c r="V22" i="35" l="1"/>
  <c r="GQ128"/>
  <c r="GQ131" s="1"/>
  <c r="V26" s="1"/>
  <c r="CK139" i="26"/>
  <c r="CK132"/>
  <c r="CL126" s="1"/>
  <c r="W20" i="35" l="1"/>
  <c r="V27"/>
  <c r="V28" s="1"/>
  <c r="GQ132"/>
  <c r="V23"/>
  <c r="GQ138"/>
  <c r="CL128" i="26"/>
  <c r="CL129" s="1"/>
  <c r="CL133" s="1"/>
  <c r="CL132" l="1"/>
  <c r="CM126" s="1"/>
  <c r="CM128" s="1"/>
  <c r="CL139"/>
  <c r="CM129" l="1"/>
  <c r="CM133" s="1"/>
  <c r="CM132" l="1"/>
  <c r="CN126" s="1"/>
  <c r="CN128" s="1"/>
  <c r="CN129" s="1"/>
  <c r="CN133" s="1"/>
  <c r="CM139"/>
  <c r="CN132" l="1"/>
  <c r="CO126" s="1"/>
  <c r="CO128" s="1"/>
  <c r="CN139"/>
  <c r="CO129" l="1"/>
  <c r="CO133" s="1"/>
  <c r="CO132" l="1"/>
  <c r="CP126" s="1"/>
  <c r="CP128" s="1"/>
  <c r="CP129" s="1"/>
  <c r="CP133" s="1"/>
  <c r="CO139"/>
  <c r="CP132" l="1"/>
  <c r="CQ126" s="1"/>
  <c r="CQ128" s="1"/>
  <c r="CQ129" s="1"/>
  <c r="CQ133" s="1"/>
  <c r="CP139"/>
  <c r="CQ139" l="1"/>
  <c r="CQ132"/>
  <c r="N26" s="1"/>
  <c r="O20" s="1"/>
  <c r="CR126" l="1"/>
  <c r="CR128" l="1"/>
  <c r="CR129" l="1"/>
  <c r="CR139" l="1"/>
  <c r="CR133"/>
  <c r="CR132"/>
  <c r="CS126" s="1"/>
  <c r="CS128" l="1"/>
  <c r="CS129" l="1"/>
  <c r="CS132" s="1"/>
  <c r="CT126" s="1"/>
  <c r="CS139" l="1"/>
  <c r="CS133"/>
  <c r="CT128" s="1"/>
  <c r="CT129" s="1"/>
  <c r="CT132" l="1"/>
  <c r="CU126" s="1"/>
  <c r="CT133"/>
  <c r="CT139"/>
  <c r="CU128" l="1"/>
  <c r="CU129" s="1"/>
  <c r="CU133" s="1"/>
  <c r="CU139" l="1"/>
  <c r="CU132"/>
  <c r="CV126" s="1"/>
  <c r="CV128" s="1"/>
  <c r="CV129" s="1"/>
  <c r="CV133" s="1"/>
  <c r="CV139" l="1"/>
  <c r="CV132"/>
  <c r="CW126" s="1"/>
  <c r="CW128" s="1"/>
  <c r="CW129" l="1"/>
  <c r="CW133" s="1"/>
  <c r="CW132" l="1"/>
  <c r="CX126" s="1"/>
  <c r="CX128" s="1"/>
  <c r="CX129" s="1"/>
  <c r="CX133" s="1"/>
  <c r="CW139"/>
  <c r="CX139" l="1"/>
  <c r="CX132"/>
  <c r="CY126" s="1"/>
  <c r="CY128" s="1"/>
  <c r="CY129" s="1"/>
  <c r="CY133" s="1"/>
  <c r="CY132" l="1"/>
  <c r="CZ126" s="1"/>
  <c r="CZ128" s="1"/>
  <c r="CZ129" s="1"/>
  <c r="CZ133" s="1"/>
  <c r="CY139"/>
  <c r="CZ139" l="1"/>
  <c r="CZ132"/>
  <c r="DA126" s="1"/>
  <c r="DA128" s="1"/>
  <c r="DA129" s="1"/>
  <c r="DA133" s="1"/>
  <c r="DA139" l="1"/>
  <c r="DA132"/>
  <c r="DB126" s="1"/>
  <c r="DB128" s="1"/>
  <c r="DB129" l="1"/>
  <c r="DB132" s="1"/>
  <c r="DC126" s="1"/>
  <c r="DB139" l="1"/>
  <c r="DB133"/>
  <c r="DC128" s="1"/>
  <c r="DC129" l="1"/>
  <c r="DC133" s="1"/>
  <c r="DC139" l="1"/>
  <c r="DC132"/>
  <c r="O26" s="1"/>
  <c r="P20" s="1"/>
  <c r="DD126" l="1"/>
  <c r="DD128" s="1"/>
  <c r="DD129" s="1"/>
  <c r="DD133" l="1"/>
  <c r="DD132"/>
  <c r="DE126" s="1"/>
  <c r="DD139"/>
  <c r="DE128" l="1"/>
  <c r="DE129" l="1"/>
  <c r="DE133" l="1"/>
  <c r="DE132"/>
  <c r="DF126" s="1"/>
  <c r="DE139"/>
  <c r="DF128" l="1"/>
  <c r="DF129" s="1"/>
  <c r="DF133" l="1"/>
  <c r="DF139"/>
  <c r="DF132"/>
  <c r="DG126" s="1"/>
  <c r="DG128" l="1"/>
  <c r="DG129" s="1"/>
  <c r="DG133" s="1"/>
  <c r="DG139" l="1"/>
  <c r="DG132"/>
  <c r="DH126" s="1"/>
  <c r="DH128" s="1"/>
  <c r="DH129" s="1"/>
  <c r="DH133" s="1"/>
  <c r="DH132" l="1"/>
  <c r="DI126" s="1"/>
  <c r="DH139"/>
  <c r="DI128" l="1"/>
  <c r="DI129" s="1"/>
  <c r="DI133" s="1"/>
  <c r="DI139" l="1"/>
  <c r="DI132"/>
  <c r="DJ126" s="1"/>
  <c r="DJ128" s="1"/>
  <c r="DJ129" l="1"/>
  <c r="DJ139" s="1"/>
  <c r="DJ132" l="1"/>
  <c r="DK126" s="1"/>
  <c r="DJ133"/>
  <c r="DK128" l="1"/>
  <c r="DK129" s="1"/>
  <c r="DK133" s="1"/>
  <c r="DK139" l="1"/>
  <c r="DK132"/>
  <c r="DL126" s="1"/>
  <c r="DL128" l="1"/>
  <c r="DL129" s="1"/>
  <c r="DL133" l="1"/>
  <c r="DL139"/>
  <c r="DL132"/>
  <c r="DM126" s="1"/>
  <c r="DM128" l="1"/>
  <c r="DM129" s="1"/>
  <c r="DM133" s="1"/>
  <c r="DM132" l="1"/>
  <c r="DN126" s="1"/>
  <c r="DM139"/>
  <c r="DN128" l="1"/>
  <c r="DN129" s="1"/>
  <c r="DN133" s="1"/>
  <c r="DN139" l="1"/>
  <c r="DN132"/>
  <c r="DO126" s="1"/>
  <c r="DO128" l="1"/>
  <c r="DO129" s="1"/>
  <c r="DO133" l="1"/>
  <c r="DO139"/>
  <c r="DO132"/>
  <c r="P26" s="1"/>
  <c r="Q20" s="1"/>
  <c r="DP126" l="1"/>
  <c r="DP128" l="1"/>
  <c r="DP129" l="1"/>
  <c r="DP133" s="1"/>
  <c r="DP132" l="1"/>
  <c r="DQ126" s="1"/>
  <c r="DQ128" s="1"/>
  <c r="DP139"/>
  <c r="DQ129" l="1"/>
  <c r="DQ139" s="1"/>
  <c r="DQ132" l="1"/>
  <c r="DR126" s="1"/>
  <c r="DQ133"/>
  <c r="DR128" l="1"/>
  <c r="DR129" s="1"/>
  <c r="DR133" l="1"/>
  <c r="DR139"/>
  <c r="DR132"/>
  <c r="DS126" s="1"/>
  <c r="DS128" l="1"/>
  <c r="DS129" s="1"/>
  <c r="DS133" s="1"/>
  <c r="DS132" l="1"/>
  <c r="DT126" s="1"/>
  <c r="DT128" s="1"/>
  <c r="DS139"/>
  <c r="DT129" l="1"/>
  <c r="DT132" s="1"/>
  <c r="DU126" s="1"/>
  <c r="DT133" l="1"/>
  <c r="DU128" s="1"/>
  <c r="DT139"/>
  <c r="DU129" l="1"/>
  <c r="DU133" s="1"/>
  <c r="DU132" l="1"/>
  <c r="DV126" s="1"/>
  <c r="DV128" s="1"/>
  <c r="DU139"/>
  <c r="DV129" l="1"/>
  <c r="DV133" s="1"/>
  <c r="DV132" l="1"/>
  <c r="DW126" s="1"/>
  <c r="DW128" s="1"/>
  <c r="DW129" s="1"/>
  <c r="DW133" s="1"/>
  <c r="DV139"/>
  <c r="DW132" l="1"/>
  <c r="DX126" s="1"/>
  <c r="DW139"/>
  <c r="DX128" l="1"/>
  <c r="DX129" s="1"/>
  <c r="DX133" s="1"/>
  <c r="DX139" l="1"/>
  <c r="DX132"/>
  <c r="DY126" s="1"/>
  <c r="DY128" l="1"/>
  <c r="DY129" s="1"/>
  <c r="DY133" s="1"/>
  <c r="DY139" l="1"/>
  <c r="DY132"/>
  <c r="DZ126" s="1"/>
  <c r="DZ128" l="1"/>
  <c r="DZ129" s="1"/>
  <c r="DZ133" l="1"/>
  <c r="DZ132"/>
  <c r="EA126" s="1"/>
  <c r="DZ139"/>
  <c r="EA128" l="1"/>
  <c r="EA129" s="1"/>
  <c r="EA133" l="1"/>
  <c r="EA139"/>
  <c r="EA132"/>
  <c r="Q26" s="1"/>
  <c r="R20" s="1"/>
  <c r="EB126" l="1"/>
  <c r="EB128" l="1"/>
  <c r="EB129" l="1"/>
  <c r="EB139" s="1"/>
  <c r="EB132" l="1"/>
  <c r="EC126" s="1"/>
  <c r="EB133"/>
  <c r="EC128" l="1"/>
  <c r="EC129" s="1"/>
  <c r="EC133" l="1"/>
  <c r="EC132"/>
  <c r="ED126" s="1"/>
  <c r="EC139"/>
  <c r="ED128" l="1"/>
  <c r="ED129" s="1"/>
  <c r="ED132" s="1"/>
  <c r="EE126" s="1"/>
  <c r="ED133" l="1"/>
  <c r="EE128" s="1"/>
  <c r="EE129" s="1"/>
  <c r="ED139"/>
  <c r="EE133" l="1"/>
  <c r="EE132"/>
  <c r="EF126" s="1"/>
  <c r="EE139"/>
  <c r="EF128" l="1"/>
  <c r="EF129" s="1"/>
  <c r="EF133" s="1"/>
  <c r="EF139" l="1"/>
  <c r="EF132"/>
  <c r="EG126" s="1"/>
  <c r="EG128" l="1"/>
  <c r="EG129" s="1"/>
  <c r="EG133" s="1"/>
  <c r="EG132" l="1"/>
  <c r="EH126" s="1"/>
  <c r="EH128" s="1"/>
  <c r="EH129" s="1"/>
  <c r="EH133" s="1"/>
  <c r="EG139"/>
  <c r="EH132" l="1"/>
  <c r="EI126" s="1"/>
  <c r="EI128" s="1"/>
  <c r="EI129" s="1"/>
  <c r="EI133" s="1"/>
  <c r="EH139"/>
  <c r="EI139" l="1"/>
  <c r="EI132"/>
  <c r="EJ126" s="1"/>
  <c r="EJ128" l="1"/>
  <c r="EJ129" l="1"/>
  <c r="EJ133" s="1"/>
  <c r="EJ132" l="1"/>
  <c r="EK126" s="1"/>
  <c r="EJ139"/>
  <c r="EK128" l="1"/>
  <c r="EK129" s="1"/>
  <c r="EK133" l="1"/>
  <c r="EK139"/>
  <c r="EK132"/>
  <c r="EL126" s="1"/>
  <c r="EL128" l="1"/>
  <c r="EL129" s="1"/>
  <c r="EL133" s="1"/>
  <c r="EL132" l="1"/>
  <c r="EM126" s="1"/>
  <c r="EM128" s="1"/>
  <c r="EL139"/>
  <c r="EM129" l="1"/>
  <c r="EM133" s="1"/>
  <c r="EM139" l="1"/>
  <c r="EM132"/>
  <c r="EN126" l="1"/>
  <c r="EN128" s="1"/>
  <c r="R26"/>
  <c r="S20" s="1"/>
  <c r="EN129"/>
  <c r="EN139" l="1"/>
  <c r="EN132"/>
  <c r="EO126" s="1"/>
  <c r="EN133"/>
  <c r="EO128" l="1"/>
  <c r="EO129" l="1"/>
  <c r="EO133" s="1"/>
  <c r="EO132" l="1"/>
  <c r="EP126" s="1"/>
  <c r="EP128" s="1"/>
  <c r="EP129" s="1"/>
  <c r="EP133" s="1"/>
  <c r="EO139"/>
  <c r="EP139" l="1"/>
  <c r="EP132"/>
  <c r="EQ126" s="1"/>
  <c r="EQ128" s="1"/>
  <c r="EQ129" s="1"/>
  <c r="EQ133" l="1"/>
  <c r="EQ132"/>
  <c r="ER126" s="1"/>
  <c r="EQ139"/>
  <c r="ER128" l="1"/>
  <c r="ER129" s="1"/>
  <c r="ER133" l="1"/>
  <c r="ER132"/>
  <c r="ES126" s="1"/>
  <c r="ER139"/>
  <c r="ES128" l="1"/>
  <c r="ES129" s="1"/>
  <c r="ES133" s="1"/>
  <c r="ES139" l="1"/>
  <c r="ES132"/>
  <c r="ET126" s="1"/>
  <c r="ET128" s="1"/>
  <c r="ET129" l="1"/>
  <c r="ET133" s="1"/>
  <c r="ET139" l="1"/>
  <c r="ET132"/>
  <c r="EU126" s="1"/>
  <c r="EU128" l="1"/>
  <c r="EU129" s="1"/>
  <c r="EU133" s="1"/>
  <c r="EU132" l="1"/>
  <c r="EV126" s="1"/>
  <c r="EV128" s="1"/>
  <c r="EU139"/>
  <c r="EV129" l="1"/>
  <c r="EV133" s="1"/>
  <c r="EV139" l="1"/>
  <c r="EV132"/>
  <c r="EW126" s="1"/>
  <c r="EW128" l="1"/>
  <c r="EW129" s="1"/>
  <c r="EW133" s="1"/>
  <c r="EW139" l="1"/>
  <c r="EW132"/>
  <c r="EX126" s="1"/>
  <c r="EX128" s="1"/>
  <c r="EX129" l="1"/>
  <c r="EX133" s="1"/>
  <c r="EX139" l="1"/>
  <c r="EX132"/>
  <c r="EY126" s="1"/>
  <c r="EY128" s="1"/>
  <c r="EY129" l="1"/>
  <c r="EY133" s="1"/>
  <c r="EY132" l="1"/>
  <c r="EY139"/>
  <c r="EZ126" l="1"/>
  <c r="EZ128" s="1"/>
  <c r="S26"/>
  <c r="T20" s="1"/>
  <c r="EZ129"/>
  <c r="EZ133" l="1"/>
  <c r="EZ139"/>
  <c r="EZ132"/>
  <c r="FA126" s="1"/>
  <c r="FA128" l="1"/>
  <c r="FA129" l="1"/>
  <c r="FA133" l="1"/>
  <c r="FA132"/>
  <c r="FB126" s="1"/>
  <c r="FA139"/>
  <c r="FB128" l="1"/>
  <c r="FB129" s="1"/>
  <c r="FB139" l="1"/>
  <c r="FB133"/>
  <c r="FB132"/>
  <c r="FC126" s="1"/>
  <c r="FC128" l="1"/>
  <c r="FC129" s="1"/>
  <c r="FC133" s="1"/>
  <c r="FC132" l="1"/>
  <c r="FD126" s="1"/>
  <c r="FD128" s="1"/>
  <c r="FD129" s="1"/>
  <c r="FC139"/>
  <c r="FD132" l="1"/>
  <c r="FE126" s="1"/>
  <c r="FD133"/>
  <c r="FD139"/>
  <c r="FE128" l="1"/>
  <c r="FE129" s="1"/>
  <c r="FE133" s="1"/>
  <c r="FE132" l="1"/>
  <c r="FF126" s="1"/>
  <c r="FF128" s="1"/>
  <c r="FF129" s="1"/>
  <c r="FF133" s="1"/>
  <c r="FE139"/>
  <c r="FF139" l="1"/>
  <c r="FF132"/>
  <c r="FG126" s="1"/>
  <c r="FG128" s="1"/>
  <c r="FG129" l="1"/>
  <c r="FG133" s="1"/>
  <c r="FG132" l="1"/>
  <c r="FH126" s="1"/>
  <c r="FH128" s="1"/>
  <c r="FH129" s="1"/>
  <c r="FH133" s="1"/>
  <c r="FG139"/>
  <c r="FH139" l="1"/>
  <c r="FH132"/>
  <c r="FI126" s="1"/>
  <c r="FI128" s="1"/>
  <c r="FI129" l="1"/>
  <c r="FI133" s="1"/>
  <c r="FI139" l="1"/>
  <c r="FI132"/>
  <c r="FJ126" s="1"/>
  <c r="FJ128" s="1"/>
  <c r="FJ129" l="1"/>
  <c r="FJ133" s="1"/>
  <c r="FJ139" l="1"/>
  <c r="FJ132"/>
  <c r="FK126" s="1"/>
  <c r="FK128" s="1"/>
  <c r="FK129" s="1"/>
  <c r="FK133" s="1"/>
  <c r="FK132" l="1"/>
  <c r="T26" s="1"/>
  <c r="U20" s="1"/>
  <c r="FK139"/>
  <c r="FL126" l="1"/>
  <c r="FL128" s="1"/>
  <c r="FL129" l="1"/>
  <c r="FL133" s="1"/>
  <c r="FL139" l="1"/>
  <c r="FL132"/>
  <c r="FM126" s="1"/>
  <c r="FM128" s="1"/>
  <c r="FM129" l="1"/>
  <c r="FM132" s="1"/>
  <c r="FN126" s="1"/>
  <c r="FM139" l="1"/>
  <c r="FM133"/>
  <c r="FN128" s="1"/>
  <c r="FN129" s="1"/>
  <c r="FN133" s="1"/>
  <c r="FN132" l="1"/>
  <c r="FO126" s="1"/>
  <c r="FO128" s="1"/>
  <c r="FN139"/>
  <c r="FO129" l="1"/>
  <c r="FO139" l="1"/>
  <c r="FO133"/>
  <c r="FO132"/>
  <c r="FP126" s="1"/>
  <c r="FP128" l="1"/>
  <c r="FP129" s="1"/>
  <c r="FP133" s="1"/>
  <c r="FP139" l="1"/>
  <c r="FP132"/>
  <c r="FQ126" s="1"/>
  <c r="FQ128" s="1"/>
  <c r="K27"/>
  <c r="O321" i="33" l="1"/>
  <c r="FQ129" i="26"/>
  <c r="FQ133" s="1"/>
  <c r="K28"/>
  <c r="O326" i="33" l="1"/>
  <c r="O366" s="1"/>
  <c r="J44" i="39" s="1"/>
  <c r="FQ139" i="26"/>
  <c r="FQ132"/>
  <c r="FR126" s="1"/>
  <c r="FR128" s="1"/>
  <c r="O325" i="33" l="1"/>
  <c r="FR129" i="26"/>
  <c r="FR133" s="1"/>
  <c r="FR132" l="1"/>
  <c r="FS126" s="1"/>
  <c r="FS128" s="1"/>
  <c r="FR139"/>
  <c r="FS129" l="1"/>
  <c r="FS133" s="1"/>
  <c r="FS139" l="1"/>
  <c r="FS132"/>
  <c r="FT126" s="1"/>
  <c r="FT128" l="1"/>
  <c r="FT129" l="1"/>
  <c r="FT133" s="1"/>
  <c r="FT139" l="1"/>
  <c r="FT132"/>
  <c r="FU126" s="1"/>
  <c r="FU128" l="1"/>
  <c r="FU129" l="1"/>
  <c r="FU133" s="1"/>
  <c r="FU132" l="1"/>
  <c r="FV126" s="1"/>
  <c r="FV128" s="1"/>
  <c r="FU139"/>
  <c r="FV129" l="1"/>
  <c r="FV133" s="1"/>
  <c r="FV139" l="1"/>
  <c r="FV132"/>
  <c r="FW126" s="1"/>
  <c r="FW128" s="1"/>
  <c r="L27"/>
  <c r="P321" i="33" l="1"/>
  <c r="FW129" i="26"/>
  <c r="L28"/>
  <c r="P326" i="33" l="1"/>
  <c r="P366" s="1"/>
  <c r="K44" i="39" s="1"/>
  <c r="FW132" i="26"/>
  <c r="FW133"/>
  <c r="FW139"/>
  <c r="P325" i="33" l="1"/>
  <c r="FX126" i="26"/>
  <c r="U26"/>
  <c r="V20" s="1"/>
  <c r="FX128"/>
  <c r="FX129" s="1"/>
  <c r="FX132" l="1"/>
  <c r="FY126" s="1"/>
  <c r="FX133"/>
  <c r="FX139"/>
  <c r="FY128" l="1"/>
  <c r="FY129" l="1"/>
  <c r="FY139" s="1"/>
  <c r="FY132" l="1"/>
  <c r="FZ126" s="1"/>
  <c r="FY133"/>
  <c r="FZ128" l="1"/>
  <c r="FZ129" s="1"/>
  <c r="FZ133" s="1"/>
  <c r="FZ139" l="1"/>
  <c r="FZ132"/>
  <c r="GA126" s="1"/>
  <c r="GA128" s="1"/>
  <c r="GA129" s="1"/>
  <c r="GA133" s="1"/>
  <c r="GA139" l="1"/>
  <c r="GA132"/>
  <c r="GB126" s="1"/>
  <c r="GB128" s="1"/>
  <c r="GB129" s="1"/>
  <c r="GB133" s="1"/>
  <c r="GB139" l="1"/>
  <c r="GB132"/>
  <c r="GC126" s="1"/>
  <c r="M27"/>
  <c r="Q321" i="33" l="1"/>
  <c r="GC128" i="26"/>
  <c r="GC129" s="1"/>
  <c r="GC133" s="1"/>
  <c r="M28"/>
  <c r="Q326" i="33" l="1"/>
  <c r="Q366" s="1"/>
  <c r="L44" i="39" s="1"/>
  <c r="GC139" i="26"/>
  <c r="GC132"/>
  <c r="GD126" s="1"/>
  <c r="Q325" i="33" l="1"/>
  <c r="GD128" i="26"/>
  <c r="GD129" s="1"/>
  <c r="GD133" s="1"/>
  <c r="GD132" l="1"/>
  <c r="GE126" s="1"/>
  <c r="GE128" s="1"/>
  <c r="GD139"/>
  <c r="GE129" l="1"/>
  <c r="GE133" s="1"/>
  <c r="GE132" l="1"/>
  <c r="GF126" s="1"/>
  <c r="GF128" s="1"/>
  <c r="GE139"/>
  <c r="GF129" l="1"/>
  <c r="GF133" s="1"/>
  <c r="GF139" l="1"/>
  <c r="GF132"/>
  <c r="GG126" s="1"/>
  <c r="GG128" s="1"/>
  <c r="GG129" l="1"/>
  <c r="GG133" s="1"/>
  <c r="GG132" l="1"/>
  <c r="GH126" s="1"/>
  <c r="GH128" s="1"/>
  <c r="GH129" s="1"/>
  <c r="GH133" s="1"/>
  <c r="GG139"/>
  <c r="GH132" l="1"/>
  <c r="GI126" s="1"/>
  <c r="GI128" s="1"/>
  <c r="GH139"/>
  <c r="GI129" l="1"/>
  <c r="GI133" s="1"/>
  <c r="GI132" l="1"/>
  <c r="V26" s="1"/>
  <c r="W20" s="1"/>
  <c r="GI139"/>
  <c r="N27"/>
  <c r="R321" i="33" l="1"/>
  <c r="GJ126" i="26"/>
  <c r="GJ128" s="1"/>
  <c r="N28"/>
  <c r="R326" i="33" l="1"/>
  <c r="R366" s="1"/>
  <c r="M44" i="39" s="1"/>
  <c r="GJ129" i="26"/>
  <c r="R325" i="33" l="1"/>
  <c r="GJ133" i="26"/>
  <c r="GJ139"/>
  <c r="GJ132"/>
  <c r="GK126" s="1"/>
  <c r="GK128" l="1"/>
  <c r="GK129" l="1"/>
  <c r="GK133" l="1"/>
  <c r="GK139"/>
  <c r="GK132"/>
  <c r="GL126" s="1"/>
  <c r="GL128" l="1"/>
  <c r="GL129" s="1"/>
  <c r="GL133" l="1"/>
  <c r="GL132"/>
  <c r="GM126" s="1"/>
  <c r="GL139"/>
  <c r="GM128" l="1"/>
  <c r="GM129" s="1"/>
  <c r="GM133" s="1"/>
  <c r="GM139" l="1"/>
  <c r="GM132"/>
  <c r="GN126" s="1"/>
  <c r="GN128" s="1"/>
  <c r="GN129" s="1"/>
  <c r="GN133" s="1"/>
  <c r="GN139" l="1"/>
  <c r="GN132"/>
  <c r="GO126" s="1"/>
  <c r="GO128" s="1"/>
  <c r="GO129" s="1"/>
  <c r="GO133" s="1"/>
  <c r="GO132" l="1"/>
  <c r="GP126" s="1"/>
  <c r="GP128" s="1"/>
  <c r="GP129" s="1"/>
  <c r="GP133" s="1"/>
  <c r="GO139"/>
  <c r="GP139" l="1"/>
  <c r="GP132"/>
  <c r="GQ126" s="1"/>
  <c r="O27"/>
  <c r="S321" i="33" l="1"/>
  <c r="GQ128" i="26"/>
  <c r="O28"/>
  <c r="S326" i="33" l="1"/>
  <c r="S366" s="1"/>
  <c r="N44" i="39" s="1"/>
  <c r="H22" i="26"/>
  <c r="I22"/>
  <c r="J22"/>
  <c r="K22"/>
  <c r="L22"/>
  <c r="M22"/>
  <c r="N22"/>
  <c r="O22"/>
  <c r="P22"/>
  <c r="Q22"/>
  <c r="R22"/>
  <c r="S22"/>
  <c r="T22"/>
  <c r="U22"/>
  <c r="V22"/>
  <c r="W22"/>
  <c r="GQ129"/>
  <c r="GQ132" s="1"/>
  <c r="AD26" l="1"/>
  <c r="AB26"/>
  <c r="AC20" s="1"/>
  <c r="AC26"/>
  <c r="AD20" s="1"/>
  <c r="GQ139"/>
  <c r="S325" i="33"/>
  <c r="GQ133" i="26"/>
  <c r="H23"/>
  <c r="L288" i="33" s="1"/>
  <c r="I23" i="26"/>
  <c r="J23"/>
  <c r="K23"/>
  <c r="L23"/>
  <c r="M23"/>
  <c r="N23"/>
  <c r="O23"/>
  <c r="P23"/>
  <c r="Q23"/>
  <c r="R23"/>
  <c r="S23"/>
  <c r="T23"/>
  <c r="U23"/>
  <c r="V23"/>
  <c r="W23"/>
  <c r="P27" l="1"/>
  <c r="T321" i="33" l="1"/>
  <c r="P28" i="26"/>
  <c r="T326" i="33" l="1"/>
  <c r="T366" s="1"/>
  <c r="O44" i="39" s="1"/>
  <c r="T325" i="33" l="1"/>
  <c r="Q27" i="26"/>
  <c r="U321" i="33" l="1"/>
  <c r="Q28" i="26"/>
  <c r="U326" i="33" l="1"/>
  <c r="U366" s="1"/>
  <c r="P44" i="39" s="1"/>
  <c r="U325" i="33" l="1"/>
  <c r="R27" i="26"/>
  <c r="R28" l="1"/>
  <c r="S27" l="1"/>
  <c r="S28" l="1"/>
  <c r="T27" l="1"/>
  <c r="T28" l="1"/>
  <c r="U27" l="1"/>
  <c r="U28" l="1"/>
  <c r="V27" l="1"/>
  <c r="V28" s="1"/>
  <c r="W27" l="1"/>
  <c r="W28" l="1"/>
  <c r="X27" l="1"/>
  <c r="X28" l="1"/>
  <c r="Y27" l="1"/>
  <c r="Y28" l="1"/>
  <c r="Z27" l="1"/>
  <c r="Z28" l="1"/>
  <c r="AA27" l="1"/>
  <c r="AA28" l="1"/>
  <c r="AB27" l="1"/>
  <c r="AB28" s="1"/>
  <c r="AC27" l="1"/>
  <c r="AC28" l="1"/>
  <c r="AD27" l="1"/>
  <c r="AD28" s="1"/>
  <c r="G325" l="1"/>
  <c r="G328" s="1"/>
  <c r="G331" l="1"/>
  <c r="G335" s="1"/>
  <c r="H335" s="1"/>
  <c r="G333" l="1"/>
  <c r="I335"/>
  <c r="J335" l="1"/>
  <c r="K335" s="1"/>
  <c r="L335" s="1"/>
  <c r="M335" s="1"/>
  <c r="N335" s="1"/>
  <c r="O335" s="1"/>
  <c r="P335" s="1"/>
  <c r="Q335" s="1"/>
  <c r="R335" s="1"/>
  <c r="H325" l="1"/>
  <c r="H328" s="1"/>
  <c r="H331" l="1"/>
  <c r="H336" s="1"/>
  <c r="I336" s="1"/>
  <c r="H333" l="1"/>
  <c r="J336"/>
  <c r="K336" l="1"/>
  <c r="L336" l="1"/>
  <c r="M336" l="1"/>
  <c r="N336" l="1"/>
  <c r="O336" l="1"/>
  <c r="P336" l="1"/>
  <c r="Q336" l="1"/>
  <c r="R336" l="1"/>
  <c r="S336" l="1"/>
  <c r="I325" l="1"/>
  <c r="I328" s="1"/>
  <c r="I331" l="1"/>
  <c r="I337" s="1"/>
  <c r="J337" s="1"/>
  <c r="I333"/>
  <c r="K337" l="1"/>
  <c r="L337" l="1"/>
  <c r="M337" l="1"/>
  <c r="N337" l="1"/>
  <c r="O337" l="1"/>
  <c r="P337" l="1"/>
  <c r="Q337" l="1"/>
  <c r="R337" l="1"/>
  <c r="S337" l="1"/>
  <c r="J325" l="1"/>
  <c r="J328" s="1"/>
  <c r="J331" l="1"/>
  <c r="J338" s="1"/>
  <c r="K338" l="1"/>
  <c r="L338" s="1"/>
  <c r="M338" s="1"/>
  <c r="N338" s="1"/>
  <c r="J333"/>
  <c r="O338" l="1"/>
  <c r="P338" l="1"/>
  <c r="Q338" l="1"/>
  <c r="R338" l="1"/>
  <c r="S338" l="1"/>
  <c r="K325" l="1"/>
  <c r="K328" s="1"/>
  <c r="K331" l="1"/>
  <c r="K339" s="1"/>
  <c r="L339" s="1"/>
  <c r="K333" l="1"/>
  <c r="M339"/>
  <c r="N339" l="1"/>
  <c r="O339" l="1"/>
  <c r="P339" l="1"/>
  <c r="Q339" l="1"/>
  <c r="R339" l="1"/>
  <c r="S339" l="1"/>
  <c r="L325" l="1"/>
  <c r="L328" s="1"/>
  <c r="L331" l="1"/>
  <c r="L340" s="1"/>
  <c r="M340" s="1"/>
  <c r="L333"/>
  <c r="N340" l="1"/>
  <c r="O340" l="1"/>
  <c r="P340" l="1"/>
  <c r="Q340" l="1"/>
  <c r="R340" l="1"/>
  <c r="S340" l="1"/>
  <c r="M325" l="1"/>
  <c r="M328" s="1"/>
  <c r="M331" l="1"/>
  <c r="M341" s="1"/>
  <c r="N341" s="1"/>
  <c r="O341" s="1"/>
  <c r="P341" s="1"/>
  <c r="Q341" s="1"/>
  <c r="R341" s="1"/>
  <c r="S341" s="1"/>
  <c r="M333" l="1"/>
  <c r="N325" l="1"/>
  <c r="N328" s="1"/>
  <c r="N331" l="1"/>
  <c r="N342" s="1"/>
  <c r="N333" l="1"/>
  <c r="O342"/>
  <c r="O333" l="1"/>
  <c r="P342"/>
  <c r="Q342" l="1"/>
  <c r="P333"/>
  <c r="R342" l="1"/>
  <c r="Q333"/>
  <c r="R333" l="1"/>
  <c r="S342"/>
  <c r="S333" s="1"/>
  <c r="O325" l="1"/>
  <c r="O328" s="1"/>
  <c r="O331" l="1"/>
  <c r="P325" l="1"/>
  <c r="P328" s="1"/>
  <c r="P331" l="1"/>
  <c r="Q325" l="1"/>
  <c r="Q328" s="1"/>
  <c r="Q331" l="1"/>
  <c r="R325" l="1"/>
  <c r="R328" s="1"/>
  <c r="R331" l="1"/>
  <c r="S325" l="1"/>
  <c r="S328" s="1"/>
  <c r="S331" l="1"/>
  <c r="T325" l="1"/>
  <c r="T328" s="1"/>
  <c r="T331" l="1"/>
  <c r="U325" l="1"/>
  <c r="U328" s="1"/>
  <c r="U331" l="1"/>
  <c r="V325" l="1"/>
  <c r="V328" s="1"/>
  <c r="V331" l="1"/>
  <c r="W325" l="1"/>
  <c r="W328" s="1"/>
  <c r="W331" l="1"/>
  <c r="X325" l="1"/>
  <c r="X328" s="1"/>
  <c r="X331" l="1"/>
  <c r="Y325" l="1"/>
  <c r="Y328" s="1"/>
  <c r="Y331" l="1"/>
  <c r="Z325" l="1"/>
  <c r="Z328" s="1"/>
  <c r="Z331" l="1"/>
  <c r="AA325" l="1"/>
  <c r="AA328" s="1"/>
  <c r="AA331" l="1"/>
  <c r="AB325" l="1"/>
  <c r="AB328" s="1"/>
  <c r="AB331" l="1"/>
  <c r="AC325" l="1"/>
  <c r="AC328" s="1"/>
  <c r="AC331" l="1"/>
  <c r="AD325" l="1"/>
  <c r="AD328" s="1"/>
  <c r="AD331" l="1"/>
  <c r="AE325" l="1"/>
  <c r="AE328" s="1"/>
  <c r="AE331" l="1"/>
  <c r="AF325" l="1"/>
  <c r="AF328" s="1"/>
  <c r="AF331" l="1"/>
  <c r="AG325" l="1"/>
  <c r="AG328" s="1"/>
  <c r="AG331" l="1"/>
  <c r="AH325" l="1"/>
  <c r="AH328" s="1"/>
  <c r="AH331" l="1"/>
  <c r="AI325" l="1"/>
  <c r="AI328" s="1"/>
  <c r="AI331" l="1"/>
  <c r="AJ325" l="1"/>
  <c r="AJ328" s="1"/>
  <c r="AJ331" l="1"/>
  <c r="AK325" l="1"/>
  <c r="AK328" s="1"/>
  <c r="AK331" l="1"/>
  <c r="AL325" l="1"/>
  <c r="AL328" s="1"/>
  <c r="AL331" l="1"/>
  <c r="AM325" l="1"/>
  <c r="AM328" s="1"/>
  <c r="AM331" l="1"/>
  <c r="AN325"/>
  <c r="AN328" s="1"/>
  <c r="AN331" l="1"/>
  <c r="AO325"/>
  <c r="AO328" s="1"/>
  <c r="AO331" l="1"/>
  <c r="AP325" l="1"/>
  <c r="AP328" s="1"/>
  <c r="AP331" l="1"/>
  <c r="AQ325" l="1"/>
  <c r="AQ328" s="1"/>
  <c r="AQ331" l="1"/>
  <c r="AR325" l="1"/>
  <c r="AR328" s="1"/>
  <c r="AR331" l="1"/>
  <c r="AS325" l="1"/>
  <c r="AS328" s="1"/>
  <c r="AS331" l="1"/>
  <c r="AT325" l="1"/>
  <c r="AT328" s="1"/>
  <c r="AT331" l="1"/>
  <c r="AU325" l="1"/>
  <c r="AU328" s="1"/>
  <c r="AU331" l="1"/>
  <c r="AV325" l="1"/>
  <c r="AV328" s="1"/>
  <c r="AV331" l="1"/>
  <c r="AW325" l="1"/>
  <c r="AW328" s="1"/>
  <c r="AW331" l="1"/>
  <c r="AX325" l="1"/>
  <c r="AX328" s="1"/>
  <c r="AX331" l="1"/>
  <c r="AY325" l="1"/>
  <c r="AY328" s="1"/>
  <c r="AY331" l="1"/>
  <c r="AZ325" l="1"/>
  <c r="AZ328" s="1"/>
  <c r="AZ331" l="1"/>
  <c r="BA325" l="1"/>
  <c r="BA328" s="1"/>
  <c r="BA331" l="1"/>
  <c r="BB325" l="1"/>
  <c r="BB328" s="1"/>
  <c r="BB331" l="1"/>
  <c r="BC325" l="1"/>
  <c r="BC328" s="1"/>
  <c r="BC331" l="1"/>
  <c r="BD325" l="1"/>
  <c r="BD328" s="1"/>
  <c r="BD331" l="1"/>
  <c r="BE325" l="1"/>
  <c r="BE328" s="1"/>
  <c r="BE331" l="1"/>
  <c r="BF325" l="1"/>
  <c r="BF328" s="1"/>
  <c r="BF331" l="1"/>
  <c r="BG325" l="1"/>
  <c r="BG328" s="1"/>
  <c r="BG331" l="1"/>
  <c r="BH325" l="1"/>
  <c r="BH328" s="1"/>
  <c r="BH331" l="1"/>
  <c r="BI325" l="1"/>
  <c r="BI328" s="1"/>
  <c r="BI331" l="1"/>
  <c r="K59" i="30" l="1"/>
  <c r="L59" s="1"/>
  <c r="K61"/>
  <c r="L61" s="1"/>
  <c r="M61" s="1"/>
  <c r="N61" s="1"/>
  <c r="K60"/>
  <c r="L60" s="1"/>
  <c r="M60" s="1"/>
  <c r="N60" s="1"/>
  <c r="K63"/>
  <c r="L63" s="1"/>
  <c r="M63" s="1"/>
  <c r="N63" s="1"/>
  <c r="K65"/>
  <c r="L65" s="1"/>
  <c r="M65" s="1"/>
  <c r="N65" s="1"/>
  <c r="K67"/>
  <c r="L67" s="1"/>
  <c r="M67" s="1"/>
  <c r="N67" s="1"/>
  <c r="K62"/>
  <c r="L62" s="1"/>
  <c r="M62" s="1"/>
  <c r="N62" s="1"/>
  <c r="K64"/>
  <c r="L64" s="1"/>
  <c r="M64" s="1"/>
  <c r="N64" s="1"/>
  <c r="K66"/>
  <c r="L66" s="1"/>
  <c r="M66" s="1"/>
  <c r="N66" s="1"/>
  <c r="K68"/>
  <c r="L68" s="1"/>
  <c r="M68" s="1"/>
  <c r="N68" s="1"/>
  <c r="L58" l="1"/>
  <c r="M59"/>
  <c r="M58" l="1"/>
  <c r="N59"/>
  <c r="N58" l="1"/>
  <c r="O59" s="1"/>
  <c r="O68" l="1"/>
  <c r="O65"/>
  <c r="O62"/>
  <c r="O63"/>
  <c r="O61"/>
  <c r="O66"/>
  <c r="O64"/>
  <c r="O67"/>
  <c r="O60"/>
  <c r="O58" l="1"/>
  <c r="G54" s="1"/>
  <c r="L203" i="33" l="1"/>
  <c r="M203" l="1"/>
  <c r="N203" l="1"/>
  <c r="O203" l="1"/>
  <c r="P203" l="1"/>
  <c r="Q203" l="1"/>
  <c r="R203" l="1"/>
  <c r="S203" l="1"/>
  <c r="T203" l="1"/>
  <c r="U203" l="1"/>
  <c r="J141" l="1"/>
  <c r="K141" l="1"/>
  <c r="K209"/>
  <c r="K225" s="1"/>
  <c r="L194"/>
  <c r="M194" l="1"/>
  <c r="N194" l="1"/>
  <c r="O194" l="1"/>
  <c r="P194" l="1"/>
  <c r="Q194" l="1"/>
  <c r="R194" l="1"/>
  <c r="S194" l="1"/>
  <c r="T194" l="1"/>
  <c r="U194" l="1"/>
  <c r="K240"/>
  <c r="G42" i="35"/>
  <c r="G43" s="1"/>
  <c r="G45" s="1"/>
  <c r="G46" s="1"/>
  <c r="H41"/>
  <c r="H44" s="1"/>
  <c r="K193" i="33"/>
  <c r="K207" l="1"/>
  <c r="K234"/>
  <c r="K226"/>
  <c r="L167"/>
  <c r="L166" s="1"/>
  <c r="K235" l="1"/>
  <c r="L169"/>
  <c r="L170" l="1"/>
  <c r="L172" s="1"/>
  <c r="G23" i="39" s="1"/>
  <c r="G24" s="1"/>
  <c r="L271" i="33" l="1"/>
  <c r="L342" s="1"/>
  <c r="G30" i="39" s="1"/>
  <c r="L173" i="33"/>
  <c r="L176"/>
  <c r="L222" s="1"/>
  <c r="G31" i="39" l="1"/>
  <c r="L177" i="33"/>
  <c r="G25" i="39" s="1"/>
  <c r="L314" i="33" l="1"/>
  <c r="G41" i="39" s="1"/>
  <c r="L223" i="33"/>
  <c r="L221"/>
  <c r="L216"/>
  <c r="L343" s="1"/>
  <c r="G32" i="39" s="1"/>
  <c r="L347" i="33" l="1"/>
  <c r="L232"/>
  <c r="L233" s="1"/>
  <c r="L228"/>
  <c r="L220"/>
  <c r="L309"/>
  <c r="L349" l="1"/>
  <c r="G34" i="39"/>
  <c r="L195" i="33"/>
  <c r="L211"/>
  <c r="L313"/>
  <c r="L277"/>
  <c r="L281"/>
  <c r="L282" s="1"/>
  <c r="L272"/>
  <c r="L278"/>
  <c r="L307"/>
  <c r="J33" i="35" l="1"/>
  <c r="I38"/>
  <c r="L193" i="33"/>
  <c r="L207" s="1"/>
  <c r="L239"/>
  <c r="L209"/>
  <c r="L225" s="1"/>
  <c r="L236"/>
  <c r="L238" s="1"/>
  <c r="L241" s="1"/>
  <c r="L234"/>
  <c r="I41" i="35"/>
  <c r="I44" s="1"/>
  <c r="H42"/>
  <c r="H43" s="1"/>
  <c r="H45" s="1"/>
  <c r="H46" s="1"/>
  <c r="L273" i="33"/>
  <c r="L284" s="1"/>
  <c r="L279"/>
  <c r="I34" i="35" l="1"/>
  <c r="I35"/>
  <c r="L226" i="33"/>
  <c r="L240"/>
  <c r="L235"/>
  <c r="L285"/>
  <c r="M167"/>
  <c r="K329" l="1"/>
  <c r="K352" l="1"/>
  <c r="F37" i="39" s="1"/>
  <c r="F42"/>
  <c r="K306" i="33"/>
  <c r="K320"/>
  <c r="I34" i="26" l="1"/>
  <c r="I37" s="1"/>
  <c r="M288" i="33" s="1"/>
  <c r="H39" i="26"/>
  <c r="K319" i="33"/>
  <c r="K365"/>
  <c r="K368"/>
  <c r="F40" i="39" s="1"/>
  <c r="K358" i="33"/>
  <c r="L357" s="1"/>
  <c r="H42" i="26"/>
  <c r="K304" i="33"/>
  <c r="G43" i="26"/>
  <c r="G44" s="1"/>
  <c r="G46" s="1"/>
  <c r="G47" s="1"/>
  <c r="H36" l="1"/>
  <c r="L372" i="33" s="1"/>
  <c r="G48" i="39" s="1"/>
  <c r="H35" i="26"/>
  <c r="K334" i="33"/>
  <c r="I36" i="35"/>
  <c r="M168" i="33" s="1"/>
  <c r="M166" s="1"/>
  <c r="M169" s="1"/>
  <c r="K367"/>
  <c r="F45" i="39" s="1"/>
  <c r="F43"/>
  <c r="K362" i="33"/>
  <c r="H45" i="26"/>
  <c r="K370" i="33"/>
  <c r="F47" i="39" s="1"/>
  <c r="K317" i="33"/>
  <c r="K335" l="1"/>
  <c r="M170"/>
  <c r="M172" s="1"/>
  <c r="K351"/>
  <c r="F36" i="39" s="1"/>
  <c r="K369" i="33"/>
  <c r="F46" i="39" s="1"/>
  <c r="K354" i="33"/>
  <c r="K363"/>
  <c r="K364"/>
  <c r="L287"/>
  <c r="L286" s="1"/>
  <c r="H23" i="39" l="1"/>
  <c r="H24" s="1"/>
  <c r="M271" i="33"/>
  <c r="M176"/>
  <c r="M222" s="1"/>
  <c r="M173"/>
  <c r="K344"/>
  <c r="L289"/>
  <c r="L293" s="1"/>
  <c r="M177" l="1"/>
  <c r="M314" s="1"/>
  <c r="M342"/>
  <c r="H30" i="39" s="1"/>
  <c r="M272" i="33"/>
  <c r="M278"/>
  <c r="M281"/>
  <c r="M282" s="1"/>
  <c r="M307"/>
  <c r="M277"/>
  <c r="H41" i="39"/>
  <c r="M313" i="33"/>
  <c r="H25" i="39"/>
  <c r="M216" i="33"/>
  <c r="M232" s="1"/>
  <c r="M233" s="1"/>
  <c r="L341"/>
  <c r="G28" i="39"/>
  <c r="K345" i="33"/>
  <c r="K371" s="1"/>
  <c r="K373" s="1"/>
  <c r="F33" i="39"/>
  <c r="F35" s="1"/>
  <c r="L294" i="33"/>
  <c r="L297"/>
  <c r="L331" s="1"/>
  <c r="K356"/>
  <c r="K359" s="1"/>
  <c r="M223" l="1"/>
  <c r="M221"/>
  <c r="M220" s="1"/>
  <c r="M195" s="1"/>
  <c r="M343"/>
  <c r="H32" i="39" s="1"/>
  <c r="H31"/>
  <c r="M309" i="33"/>
  <c r="M279"/>
  <c r="M273"/>
  <c r="M284" s="1"/>
  <c r="M285" s="1"/>
  <c r="M347"/>
  <c r="F39" i="39"/>
  <c r="F49"/>
  <c r="G29"/>
  <c r="L298" i="33"/>
  <c r="M228" l="1"/>
  <c r="M211"/>
  <c r="K33" i="35" s="1"/>
  <c r="H34" i="39"/>
  <c r="M349" i="33"/>
  <c r="M239"/>
  <c r="J41" i="35"/>
  <c r="J44" s="1"/>
  <c r="N167" i="33" s="1"/>
  <c r="M193"/>
  <c r="I42" i="35"/>
  <c r="I43" s="1"/>
  <c r="I45" s="1"/>
  <c r="I46" s="1"/>
  <c r="L322" i="33"/>
  <c r="L353"/>
  <c r="G38" i="39" s="1"/>
  <c r="L332" i="33"/>
  <c r="L330"/>
  <c r="M209" l="1"/>
  <c r="M225" s="1"/>
  <c r="M236"/>
  <c r="M238" s="1"/>
  <c r="M240" s="1"/>
  <c r="J38" i="35"/>
  <c r="J34" s="1"/>
  <c r="M207" i="33"/>
  <c r="L337"/>
  <c r="L329"/>
  <c r="M241" l="1"/>
  <c r="M234"/>
  <c r="M235" s="1"/>
  <c r="M226"/>
  <c r="J35" i="35"/>
  <c r="L352" i="33"/>
  <c r="G37" i="39" s="1"/>
  <c r="G42"/>
  <c r="L320" i="33"/>
  <c r="L306"/>
  <c r="L358" s="1"/>
  <c r="M357" s="1"/>
  <c r="J34" i="26" l="1"/>
  <c r="J37" s="1"/>
  <c r="N288" i="33" s="1"/>
  <c r="I39" i="26"/>
  <c r="L319" i="33"/>
  <c r="L365"/>
  <c r="H43" i="26"/>
  <c r="H44" s="1"/>
  <c r="H46" s="1"/>
  <c r="H47" s="1"/>
  <c r="L368" i="33"/>
  <c r="G40" i="39" s="1"/>
  <c r="L304" i="33"/>
  <c r="I42" i="26"/>
  <c r="I35" l="1"/>
  <c r="I36"/>
  <c r="M372" i="33" s="1"/>
  <c r="H48" i="39" s="1"/>
  <c r="L334" i="33"/>
  <c r="L367"/>
  <c r="L370" s="1"/>
  <c r="G47" i="39" s="1"/>
  <c r="G43"/>
  <c r="L362" i="33"/>
  <c r="I45" i="26"/>
  <c r="L317" i="33"/>
  <c r="L335" l="1"/>
  <c r="J36" i="35"/>
  <c r="N168" i="33" s="1"/>
  <c r="N166" s="1"/>
  <c r="N169" s="1"/>
  <c r="N170" s="1"/>
  <c r="N172" s="1"/>
  <c r="L369"/>
  <c r="G46" i="39" s="1"/>
  <c r="L351" i="33"/>
  <c r="G45" i="39"/>
  <c r="M287" i="33"/>
  <c r="M286" s="1"/>
  <c r="L363"/>
  <c r="L364"/>
  <c r="L344" s="1"/>
  <c r="I23" i="39" l="1"/>
  <c r="I24" s="1"/>
  <c r="N176" i="33"/>
  <c r="N222" s="1"/>
  <c r="N173"/>
  <c r="N271"/>
  <c r="L345"/>
  <c r="L371" s="1"/>
  <c r="L373" s="1"/>
  <c r="G33" i="39"/>
  <c r="G35" s="1"/>
  <c r="L354" i="33"/>
  <c r="L356" s="1"/>
  <c r="L359" s="1"/>
  <c r="G36" i="39"/>
  <c r="M289" i="33"/>
  <c r="M293" s="1"/>
  <c r="N342" l="1"/>
  <c r="I30" i="39" s="1"/>
  <c r="N278" i="33"/>
  <c r="N272"/>
  <c r="N277"/>
  <c r="N281"/>
  <c r="N282" s="1"/>
  <c r="N307"/>
  <c r="N177"/>
  <c r="M341"/>
  <c r="H28" i="39"/>
  <c r="G39"/>
  <c r="G49"/>
  <c r="M294" i="33"/>
  <c r="M297"/>
  <c r="M331" s="1"/>
  <c r="I31" i="39" l="1"/>
  <c r="I25"/>
  <c r="N216" i="33"/>
  <c r="N343" s="1"/>
  <c r="I32" i="39" s="1"/>
  <c r="N221" i="33"/>
  <c r="N314"/>
  <c r="N279"/>
  <c r="N273"/>
  <c r="N284" s="1"/>
  <c r="N285" s="1"/>
  <c r="N223"/>
  <c r="H29" i="39"/>
  <c r="M298" i="33"/>
  <c r="I41" i="39" l="1"/>
  <c r="N313" i="33"/>
  <c r="N347"/>
  <c r="N309"/>
  <c r="N228"/>
  <c r="N220"/>
  <c r="N211" s="1"/>
  <c r="N232"/>
  <c r="N233" s="1"/>
  <c r="M322"/>
  <c r="M353"/>
  <c r="H38" i="39" s="1"/>
  <c r="M330" i="33"/>
  <c r="M332"/>
  <c r="N195" l="1"/>
  <c r="N239" s="1"/>
  <c r="K38" i="35"/>
  <c r="N209" i="33"/>
  <c r="N225" s="1"/>
  <c r="L33" i="35"/>
  <c r="L36" s="1"/>
  <c r="P168" i="33" s="1"/>
  <c r="N236"/>
  <c r="N238" s="1"/>
  <c r="I34" i="39"/>
  <c r="N349" i="33"/>
  <c r="M337"/>
  <c r="M329"/>
  <c r="K41" i="35" l="1"/>
  <c r="K44" s="1"/>
  <c r="O167" i="33" s="1"/>
  <c r="J42" i="35"/>
  <c r="J43" s="1"/>
  <c r="J45" s="1"/>
  <c r="J46" s="1"/>
  <c r="N193" i="33"/>
  <c r="N234" s="1"/>
  <c r="N235" s="1"/>
  <c r="K34" i="35"/>
  <c r="K35"/>
  <c r="N241" i="33"/>
  <c r="N240"/>
  <c r="M352"/>
  <c r="H37" i="39" s="1"/>
  <c r="H42"/>
  <c r="M306" i="33"/>
  <c r="M320"/>
  <c r="N207" l="1"/>
  <c r="N226" s="1"/>
  <c r="M319"/>
  <c r="K34" i="26"/>
  <c r="K37" s="1"/>
  <c r="O288" i="33" s="1"/>
  <c r="J39" i="26"/>
  <c r="I43"/>
  <c r="I44" s="1"/>
  <c r="I46" s="1"/>
  <c r="I47" s="1"/>
  <c r="M358" i="33"/>
  <c r="N357" s="1"/>
  <c r="M368"/>
  <c r="H40" i="39" s="1"/>
  <c r="J42" i="26"/>
  <c r="J45" s="1"/>
  <c r="M365" i="33"/>
  <c r="M304"/>
  <c r="M362" s="1"/>
  <c r="J36" i="26" l="1"/>
  <c r="N372" i="33" s="1"/>
  <c r="I48" i="39" s="1"/>
  <c r="J35" i="26"/>
  <c r="M334" i="33"/>
  <c r="K36" i="35"/>
  <c r="O168" i="33" s="1"/>
  <c r="O166" s="1"/>
  <c r="O169" s="1"/>
  <c r="M367"/>
  <c r="H45" i="39" s="1"/>
  <c r="H43"/>
  <c r="M370" i="33"/>
  <c r="H47" i="39" s="1"/>
  <c r="M317" i="33"/>
  <c r="M363"/>
  <c r="M364"/>
  <c r="M344" s="1"/>
  <c r="N287"/>
  <c r="N286" s="1"/>
  <c r="M335" l="1"/>
  <c r="O170"/>
  <c r="O172" s="1"/>
  <c r="M369"/>
  <c r="H46" i="39" s="1"/>
  <c r="M351" i="33"/>
  <c r="M354" s="1"/>
  <c r="M345"/>
  <c r="M371" s="1"/>
  <c r="M373" s="1"/>
  <c r="H33" i="39"/>
  <c r="H35" s="1"/>
  <c r="N289" i="33"/>
  <c r="N293" s="1"/>
  <c r="J23" i="39" l="1"/>
  <c r="J24" s="1"/>
  <c r="O271" i="33"/>
  <c r="O173"/>
  <c r="O176"/>
  <c r="O222" s="1"/>
  <c r="M356"/>
  <c r="M359" s="1"/>
  <c r="H36" i="39"/>
  <c r="H39" s="1"/>
  <c r="N341" i="33"/>
  <c r="I28" i="39"/>
  <c r="H49"/>
  <c r="N294" i="33"/>
  <c r="N297"/>
  <c r="N331" s="1"/>
  <c r="O342" l="1"/>
  <c r="J30" i="39" s="1"/>
  <c r="O277" i="33"/>
  <c r="O272"/>
  <c r="O278"/>
  <c r="O281"/>
  <c r="O282" s="1"/>
  <c r="O177"/>
  <c r="O223" s="1"/>
  <c r="I29" i="39"/>
  <c r="N298" i="33"/>
  <c r="J31" i="39" l="1"/>
  <c r="O279" i="33"/>
  <c r="O273"/>
  <c r="O284" s="1"/>
  <c r="O285" s="1"/>
  <c r="J25" i="39"/>
  <c r="O216" i="33"/>
  <c r="O343" s="1"/>
  <c r="J32" i="39" s="1"/>
  <c r="O314" i="33"/>
  <c r="O221"/>
  <c r="N322"/>
  <c r="N353"/>
  <c r="I38" i="39" s="1"/>
  <c r="N332" i="33"/>
  <c r="N330"/>
  <c r="O220" l="1"/>
  <c r="O195" s="1"/>
  <c r="O309"/>
  <c r="O211"/>
  <c r="J41" i="39"/>
  <c r="O313" i="33"/>
  <c r="O347"/>
  <c r="O232"/>
  <c r="O233" s="1"/>
  <c r="O228"/>
  <c r="N337"/>
  <c r="N329"/>
  <c r="O349" l="1"/>
  <c r="J34" i="39"/>
  <c r="L38" i="35"/>
  <c r="O236" i="33"/>
  <c r="O238" s="1"/>
  <c r="M33" i="35"/>
  <c r="M36" s="1"/>
  <c r="Q168" i="33" s="1"/>
  <c r="O209"/>
  <c r="O225" s="1"/>
  <c r="O239"/>
  <c r="O193"/>
  <c r="L41" i="35"/>
  <c r="L44" s="1"/>
  <c r="P167" i="33" s="1"/>
  <c r="P166" s="1"/>
  <c r="P169" s="1"/>
  <c r="P170" s="1"/>
  <c r="P172" s="1"/>
  <c r="K42" i="35"/>
  <c r="K43" s="1"/>
  <c r="K45" s="1"/>
  <c r="K46" s="1"/>
  <c r="N352" i="33"/>
  <c r="I37" i="39" s="1"/>
  <c r="I42"/>
  <c r="N320" i="33"/>
  <c r="N306"/>
  <c r="L34" i="35" l="1"/>
  <c r="L35"/>
  <c r="O207" i="33"/>
  <c r="O226" s="1"/>
  <c r="O234"/>
  <c r="O235" s="1"/>
  <c r="O241"/>
  <c r="O240"/>
  <c r="K23" i="39"/>
  <c r="K24" s="1"/>
  <c r="P173" i="33"/>
  <c r="P176"/>
  <c r="P222" s="1"/>
  <c r="P271"/>
  <c r="P177"/>
  <c r="P314" s="1"/>
  <c r="N365"/>
  <c r="N367" s="1"/>
  <c r="N370" s="1"/>
  <c r="I47" i="39" s="1"/>
  <c r="L34" i="26"/>
  <c r="L37" s="1"/>
  <c r="P288" i="33" s="1"/>
  <c r="K39" i="26"/>
  <c r="N319" i="33"/>
  <c r="N368"/>
  <c r="N358"/>
  <c r="O357" s="1"/>
  <c r="J43" i="26"/>
  <c r="J44" s="1"/>
  <c r="J46" s="1"/>
  <c r="J47" s="1"/>
  <c r="K42"/>
  <c r="K45" s="1"/>
  <c r="N304" i="33"/>
  <c r="K35" i="26" l="1"/>
  <c r="K36"/>
  <c r="O372" i="33" s="1"/>
  <c r="J48" i="39" s="1"/>
  <c r="I43"/>
  <c r="P221" i="33"/>
  <c r="P223"/>
  <c r="K41" i="39"/>
  <c r="P313" i="33"/>
  <c r="P342"/>
  <c r="K30" i="39" s="1"/>
  <c r="P272" i="33"/>
  <c r="P278"/>
  <c r="P281"/>
  <c r="P282" s="1"/>
  <c r="P277"/>
  <c r="K25" i="39"/>
  <c r="P216" i="33"/>
  <c r="P343" s="1"/>
  <c r="K32" i="39" s="1"/>
  <c r="N334" i="33"/>
  <c r="N351"/>
  <c r="I45" i="39"/>
  <c r="N369" i="33"/>
  <c r="I46" i="39" s="1"/>
  <c r="I40"/>
  <c r="N362" i="33"/>
  <c r="N363" s="1"/>
  <c r="N317"/>
  <c r="N335" s="1"/>
  <c r="O287"/>
  <c r="O286" s="1"/>
  <c r="P228" l="1"/>
  <c r="P220"/>
  <c r="P195" s="1"/>
  <c r="K31" i="39"/>
  <c r="P309" i="33"/>
  <c r="P273"/>
  <c r="P284" s="1"/>
  <c r="P285" s="1"/>
  <c r="P279"/>
  <c r="P232"/>
  <c r="P233" s="1"/>
  <c r="P347"/>
  <c r="N354"/>
  <c r="I36" i="39"/>
  <c r="N364" i="33"/>
  <c r="O289"/>
  <c r="O293" s="1"/>
  <c r="P211" l="1"/>
  <c r="M38" i="35" s="1"/>
  <c r="P349" i="33"/>
  <c r="K34" i="39"/>
  <c r="P193" i="33"/>
  <c r="L42" i="35"/>
  <c r="L43" s="1"/>
  <c r="L45" s="1"/>
  <c r="L46" s="1"/>
  <c r="P239" i="33"/>
  <c r="M41" i="35"/>
  <c r="M44" s="1"/>
  <c r="Q167" i="33" s="1"/>
  <c r="Q166" s="1"/>
  <c r="Q169" s="1"/>
  <c r="O341"/>
  <c r="J28" i="39"/>
  <c r="N344" i="33"/>
  <c r="O294"/>
  <c r="O297"/>
  <c r="O331" s="1"/>
  <c r="P236" l="1"/>
  <c r="P238" s="1"/>
  <c r="P241" s="1"/>
  <c r="P209"/>
  <c r="P225" s="1"/>
  <c r="N33" i="35"/>
  <c r="N36" s="1"/>
  <c r="R168" i="33" s="1"/>
  <c r="M34" i="35"/>
  <c r="M35"/>
  <c r="Q170" i="33"/>
  <c r="Q172" s="1"/>
  <c r="P207"/>
  <c r="N345"/>
  <c r="N356" s="1"/>
  <c r="N359" s="1"/>
  <c r="I33" i="39"/>
  <c r="I35" s="1"/>
  <c r="J29"/>
  <c r="O298" i="33"/>
  <c r="P240" l="1"/>
  <c r="P226"/>
  <c r="P234"/>
  <c r="P235" s="1"/>
  <c r="L23" i="39"/>
  <c r="L24" s="1"/>
  <c r="Q173" i="33"/>
  <c r="Q271"/>
  <c r="Q176"/>
  <c r="Q222" s="1"/>
  <c r="N371"/>
  <c r="N373" s="1"/>
  <c r="I39" i="39"/>
  <c r="I49"/>
  <c r="O330" i="33"/>
  <c r="O353"/>
  <c r="J38" i="39" s="1"/>
  <c r="O332" i="33"/>
  <c r="O322"/>
  <c r="Q342" l="1"/>
  <c r="L30" i="39" s="1"/>
  <c r="Q277" i="33"/>
  <c r="Q278"/>
  <c r="Q272"/>
  <c r="Q281"/>
  <c r="Q282" s="1"/>
  <c r="Q177"/>
  <c r="Q223" s="1"/>
  <c r="O337"/>
  <c r="O329"/>
  <c r="L31" i="39" l="1"/>
  <c r="L25"/>
  <c r="Q216" i="33"/>
  <c r="Q314"/>
  <c r="Q221"/>
  <c r="Q279"/>
  <c r="Q273"/>
  <c r="Q284" s="1"/>
  <c r="Q285" s="1"/>
  <c r="O352"/>
  <c r="J37" i="39" s="1"/>
  <c r="J42"/>
  <c r="O306" i="33"/>
  <c r="O358" s="1"/>
  <c r="P357" s="1"/>
  <c r="O320"/>
  <c r="L41" i="39" l="1"/>
  <c r="Q313" i="33"/>
  <c r="Q343"/>
  <c r="L32" i="39" s="1"/>
  <c r="Q309" i="33"/>
  <c r="Q220"/>
  <c r="Q211" s="1"/>
  <c r="Q232"/>
  <c r="Q233" s="1"/>
  <c r="Q228"/>
  <c r="M34" i="26"/>
  <c r="M37" s="1"/>
  <c r="Q288" i="33" s="1"/>
  <c r="L39" i="26"/>
  <c r="O319" i="33"/>
  <c r="O334" s="1"/>
  <c r="O365"/>
  <c r="O368"/>
  <c r="J40" i="39" s="1"/>
  <c r="O304" i="33"/>
  <c r="K43" i="26"/>
  <c r="K44" s="1"/>
  <c r="K46" s="1"/>
  <c r="K47" s="1"/>
  <c r="L42"/>
  <c r="L36" l="1"/>
  <c r="P372" i="33" s="1"/>
  <c r="K48" i="39" s="1"/>
  <c r="L35" i="26"/>
  <c r="Q195" i="33"/>
  <c r="Q239" s="1"/>
  <c r="N38" i="35"/>
  <c r="Q236" i="33"/>
  <c r="Q238" s="1"/>
  <c r="O33" i="35"/>
  <c r="O36" s="1"/>
  <c r="S168" i="33" s="1"/>
  <c r="Q209"/>
  <c r="Q225" s="1"/>
  <c r="Q347"/>
  <c r="O367"/>
  <c r="O370" s="1"/>
  <c r="J47" i="39" s="1"/>
  <c r="J43"/>
  <c r="O362" i="33"/>
  <c r="L45" i="26"/>
  <c r="O317" i="33"/>
  <c r="O335" s="1"/>
  <c r="M42" i="35" l="1"/>
  <c r="M43" s="1"/>
  <c r="M45" s="1"/>
  <c r="M46" s="1"/>
  <c r="N41"/>
  <c r="N44" s="1"/>
  <c r="R167" i="33" s="1"/>
  <c r="R166" s="1"/>
  <c r="R169" s="1"/>
  <c r="R170" s="1"/>
  <c r="R172" s="1"/>
  <c r="Q193"/>
  <c r="Q207" s="1"/>
  <c r="Q226" s="1"/>
  <c r="N34" i="35"/>
  <c r="N35"/>
  <c r="Q241" i="33"/>
  <c r="Q240"/>
  <c r="L34" i="39"/>
  <c r="Q349" i="33"/>
  <c r="Q234"/>
  <c r="Q235" s="1"/>
  <c r="O369"/>
  <c r="J46" i="39" s="1"/>
  <c r="O351" i="33"/>
  <c r="J45" i="39"/>
  <c r="O363" i="33"/>
  <c r="O364"/>
  <c r="O344" s="1"/>
  <c r="P287"/>
  <c r="P286" s="1"/>
  <c r="M23" i="39" l="1"/>
  <c r="M24" s="1"/>
  <c r="R173" i="33"/>
  <c r="R176"/>
  <c r="R222" s="1"/>
  <c r="R271"/>
  <c r="R177"/>
  <c r="R314" s="1"/>
  <c r="O354"/>
  <c r="J36" i="39"/>
  <c r="O345" i="33"/>
  <c r="O371" s="1"/>
  <c r="O373" s="1"/>
  <c r="J33" i="39"/>
  <c r="J35" s="1"/>
  <c r="P289" i="33"/>
  <c r="P293" s="1"/>
  <c r="R221" l="1"/>
  <c r="R223"/>
  <c r="R342"/>
  <c r="M30" i="39" s="1"/>
  <c r="R277" i="33"/>
  <c r="R272"/>
  <c r="R278"/>
  <c r="R281"/>
  <c r="R282" s="1"/>
  <c r="M41" i="39"/>
  <c r="R313" i="33"/>
  <c r="M25" i="39"/>
  <c r="R216" i="33"/>
  <c r="O356"/>
  <c r="O359" s="1"/>
  <c r="P341"/>
  <c r="K28" i="39"/>
  <c r="J39"/>
  <c r="J49"/>
  <c r="P294" i="33"/>
  <c r="P297"/>
  <c r="P331" s="1"/>
  <c r="R220" l="1"/>
  <c r="R211" s="1"/>
  <c r="M31" i="39"/>
  <c r="R228" i="33"/>
  <c r="R343"/>
  <c r="R309"/>
  <c r="R279"/>
  <c r="R273"/>
  <c r="R284" s="1"/>
  <c r="R285" s="1"/>
  <c r="R232"/>
  <c r="R233" s="1"/>
  <c r="K29" i="39"/>
  <c r="P298" i="33"/>
  <c r="R195" l="1"/>
  <c r="R239" s="1"/>
  <c r="P33" i="35"/>
  <c r="P36" s="1"/>
  <c r="T168" i="33" s="1"/>
  <c r="R236"/>
  <c r="R238" s="1"/>
  <c r="O38" i="35"/>
  <c r="R209" i="33"/>
  <c r="R225" s="1"/>
  <c r="M32" i="39"/>
  <c r="R347" i="33"/>
  <c r="P322"/>
  <c r="P353"/>
  <c r="K38" i="39" s="1"/>
  <c r="P332" i="33"/>
  <c r="P330"/>
  <c r="O41" i="35" l="1"/>
  <c r="O44" s="1"/>
  <c r="S167" i="33" s="1"/>
  <c r="S166" s="1"/>
  <c r="S169" s="1"/>
  <c r="S170" s="1"/>
  <c r="S172" s="1"/>
  <c r="N23" i="39" s="1"/>
  <c r="N24" s="1"/>
  <c r="N42" i="35"/>
  <c r="N43" s="1"/>
  <c r="N45" s="1"/>
  <c r="N46" s="1"/>
  <c r="R193" i="33"/>
  <c r="R207" s="1"/>
  <c r="R226" s="1"/>
  <c r="O34" i="35"/>
  <c r="O35"/>
  <c r="M34" i="39"/>
  <c r="R349" i="33"/>
  <c r="R241"/>
  <c r="R240"/>
  <c r="P337"/>
  <c r="P329"/>
  <c r="S176" l="1"/>
  <c r="S222" s="1"/>
  <c r="S173"/>
  <c r="R234"/>
  <c r="R235" s="1"/>
  <c r="S271"/>
  <c r="S342" s="1"/>
  <c r="N30" i="39" s="1"/>
  <c r="S177" i="33"/>
  <c r="S223" s="1"/>
  <c r="P352"/>
  <c r="K37" i="39" s="1"/>
  <c r="K42"/>
  <c r="P320" i="33"/>
  <c r="P306"/>
  <c r="S281" l="1"/>
  <c r="S282" s="1"/>
  <c r="S272"/>
  <c r="S278"/>
  <c r="S279" s="1"/>
  <c r="S277"/>
  <c r="N31" i="39"/>
  <c r="N25"/>
  <c r="S216" i="33"/>
  <c r="S343" s="1"/>
  <c r="N32" i="39" s="1"/>
  <c r="S221" i="33"/>
  <c r="S314"/>
  <c r="P319"/>
  <c r="P334" s="1"/>
  <c r="N34" i="26"/>
  <c r="N37" s="1"/>
  <c r="R288" i="33" s="1"/>
  <c r="M39" i="26"/>
  <c r="P368" i="33"/>
  <c r="K40" i="39" s="1"/>
  <c r="P358" i="33"/>
  <c r="Q357" s="1"/>
  <c r="P365"/>
  <c r="M42" i="26"/>
  <c r="M45" s="1"/>
  <c r="L43"/>
  <c r="L44" s="1"/>
  <c r="L46" s="1"/>
  <c r="L47" s="1"/>
  <c r="P304" i="33"/>
  <c r="P362" s="1"/>
  <c r="S273" l="1"/>
  <c r="S284" s="1"/>
  <c r="S285" s="1"/>
  <c r="M35" i="26"/>
  <c r="M36"/>
  <c r="Q372" i="33" s="1"/>
  <c r="L48" i="39" s="1"/>
  <c r="N41"/>
  <c r="S313" i="33"/>
  <c r="S347"/>
  <c r="S309"/>
  <c r="S220"/>
  <c r="S195" s="1"/>
  <c r="S232"/>
  <c r="S233" s="1"/>
  <c r="S228"/>
  <c r="P367"/>
  <c r="P369" s="1"/>
  <c r="K46" i="39" s="1"/>
  <c r="K43"/>
  <c r="P317" i="33"/>
  <c r="P335" s="1"/>
  <c r="P363"/>
  <c r="Q287"/>
  <c r="Q286" s="1"/>
  <c r="S211" l="1"/>
  <c r="P38" i="35" s="1"/>
  <c r="S239" i="33"/>
  <c r="O42" i="35"/>
  <c r="O43" s="1"/>
  <c r="O45" s="1"/>
  <c r="O46" s="1"/>
  <c r="S193" i="33"/>
  <c r="P41" i="35"/>
  <c r="P44" s="1"/>
  <c r="T167" i="33" s="1"/>
  <c r="T166" s="1"/>
  <c r="T169" s="1"/>
  <c r="N34" i="39"/>
  <c r="S349" i="33"/>
  <c r="P370"/>
  <c r="K47" i="39" s="1"/>
  <c r="P351" i="33"/>
  <c r="K45" i="39"/>
  <c r="P364" i="33"/>
  <c r="Q289"/>
  <c r="Q293" s="1"/>
  <c r="S209" l="1"/>
  <c r="S225" s="1"/>
  <c r="P34" i="35"/>
  <c r="P35"/>
  <c r="S236" i="33"/>
  <c r="S238" s="1"/>
  <c r="S240" s="1"/>
  <c r="Q33" i="35"/>
  <c r="Q36" s="1"/>
  <c r="U168" i="33" s="1"/>
  <c r="T170"/>
  <c r="T172" s="1"/>
  <c r="S234"/>
  <c r="S235" s="1"/>
  <c r="S207"/>
  <c r="P354"/>
  <c r="K36" i="39"/>
  <c r="Q341" i="33"/>
  <c r="L28" i="39"/>
  <c r="P344" i="33"/>
  <c r="Q294"/>
  <c r="Q297"/>
  <c r="Q331" s="1"/>
  <c r="S241" l="1"/>
  <c r="S226"/>
  <c r="O23" i="39"/>
  <c r="O24" s="1"/>
  <c r="T173" i="33"/>
  <c r="T271"/>
  <c r="T176"/>
  <c r="T222" s="1"/>
  <c r="P345"/>
  <c r="P356" s="1"/>
  <c r="P359" s="1"/>
  <c r="K33" i="39"/>
  <c r="K35" s="1"/>
  <c r="L29"/>
  <c r="Q298" i="33"/>
  <c r="T342" l="1"/>
  <c r="O30" i="39" s="1"/>
  <c r="T277" i="33"/>
  <c r="T278"/>
  <c r="T272"/>
  <c r="T281"/>
  <c r="T282" s="1"/>
  <c r="T177"/>
  <c r="P371"/>
  <c r="P373" s="1"/>
  <c r="K39" i="39"/>
  <c r="K49"/>
  <c r="Q322" i="33"/>
  <c r="Q353"/>
  <c r="L38" i="39" s="1"/>
  <c r="Q332" i="33"/>
  <c r="Q330"/>
  <c r="O31" i="39" l="1"/>
  <c r="O25"/>
  <c r="T216" i="33"/>
  <c r="T314"/>
  <c r="T223"/>
  <c r="T221"/>
  <c r="T273"/>
  <c r="T284" s="1"/>
  <c r="T285" s="1"/>
  <c r="T279"/>
  <c r="Q337"/>
  <c r="Q329"/>
  <c r="T220" l="1"/>
  <c r="T211" s="1"/>
  <c r="O41" i="39"/>
  <c r="T313" i="33"/>
  <c r="T343"/>
  <c r="O32" i="39" s="1"/>
  <c r="T309" i="33"/>
  <c r="T228"/>
  <c r="T232"/>
  <c r="T233" s="1"/>
  <c r="Q352"/>
  <c r="L37" i="39" s="1"/>
  <c r="L42"/>
  <c r="Q306" i="33"/>
  <c r="Q358" s="1"/>
  <c r="R357" s="1"/>
  <c r="Q320"/>
  <c r="T195" l="1"/>
  <c r="T239" s="1"/>
  <c r="Q38" i="35"/>
  <c r="T209" i="33"/>
  <c r="T225" s="1"/>
  <c r="R33" i="35"/>
  <c r="R36" s="1"/>
  <c r="T236" i="33"/>
  <c r="T238" s="1"/>
  <c r="T347"/>
  <c r="Q319"/>
  <c r="Q334" s="1"/>
  <c r="O34" i="26"/>
  <c r="O37" s="1"/>
  <c r="S288" i="33" s="1"/>
  <c r="N39" i="26"/>
  <c r="Q365" i="33"/>
  <c r="N42" i="26"/>
  <c r="Q368" i="33"/>
  <c r="L40" i="39" s="1"/>
  <c r="M43" i="26"/>
  <c r="M44" s="1"/>
  <c r="M46" s="1"/>
  <c r="M47" s="1"/>
  <c r="Q304" i="33"/>
  <c r="N45" i="26"/>
  <c r="Q41" i="35" l="1"/>
  <c r="Q44" s="1"/>
  <c r="U167" i="33" s="1"/>
  <c r="U166" s="1"/>
  <c r="U169" s="1"/>
  <c r="U170" s="1"/>
  <c r="U172" s="1"/>
  <c r="P23" i="39" s="1"/>
  <c r="P24" s="1"/>
  <c r="P42" i="35"/>
  <c r="P43" s="1"/>
  <c r="P45" s="1"/>
  <c r="P46" s="1"/>
  <c r="T193" i="33"/>
  <c r="T234" s="1"/>
  <c r="T235" s="1"/>
  <c r="N36" i="26"/>
  <c r="R372" i="33" s="1"/>
  <c r="M48" i="39" s="1"/>
  <c r="N35" i="26"/>
  <c r="Q34" i="35"/>
  <c r="Q35"/>
  <c r="T241" i="33"/>
  <c r="T240"/>
  <c r="T349"/>
  <c r="O34" i="39"/>
  <c r="Q362" i="33"/>
  <c r="Q364" s="1"/>
  <c r="Q344" s="1"/>
  <c r="Q367"/>
  <c r="Q369" s="1"/>
  <c r="L46" i="39" s="1"/>
  <c r="L43"/>
  <c r="Q317" i="33"/>
  <c r="Q335" s="1"/>
  <c r="R287"/>
  <c r="R286" s="1"/>
  <c r="U176" l="1"/>
  <c r="U222" s="1"/>
  <c r="U173"/>
  <c r="Q363"/>
  <c r="T207"/>
  <c r="T226" s="1"/>
  <c r="U271"/>
  <c r="U342" s="1"/>
  <c r="P30" i="39" s="1"/>
  <c r="U177" i="33"/>
  <c r="U221" s="1"/>
  <c r="Q345"/>
  <c r="Q371" s="1"/>
  <c r="Q373" s="1"/>
  <c r="L33" i="39"/>
  <c r="L35" s="1"/>
  <c r="Q351" i="33"/>
  <c r="L45" i="39"/>
  <c r="Q370" i="33"/>
  <c r="L47" i="39" s="1"/>
  <c r="R289" i="33"/>
  <c r="R293" s="1"/>
  <c r="U277" l="1"/>
  <c r="U281"/>
  <c r="U282" s="1"/>
  <c r="U278"/>
  <c r="U279" s="1"/>
  <c r="U272"/>
  <c r="P31" i="39"/>
  <c r="P25"/>
  <c r="U216" i="33"/>
  <c r="U314"/>
  <c r="U223"/>
  <c r="U228" s="1"/>
  <c r="U273"/>
  <c r="U284" s="1"/>
  <c r="U285" s="1"/>
  <c r="R341"/>
  <c r="M28" i="39"/>
  <c r="Q354" i="33"/>
  <c r="Q356" s="1"/>
  <c r="Q359" s="1"/>
  <c r="L36" i="39"/>
  <c r="L39" s="1"/>
  <c r="L49"/>
  <c r="R294" i="33"/>
  <c r="R297"/>
  <c r="R331" s="1"/>
  <c r="U220" l="1"/>
  <c r="U211" s="1"/>
  <c r="R38" i="35" s="1"/>
  <c r="P41" i="39"/>
  <c r="U313" i="33"/>
  <c r="U343"/>
  <c r="P32" i="39" s="1"/>
  <c r="U309" i="33"/>
  <c r="U232"/>
  <c r="U233" s="1"/>
  <c r="M29" i="39"/>
  <c r="R298" i="33"/>
  <c r="U209" l="1"/>
  <c r="U225" s="1"/>
  <c r="U236"/>
  <c r="U238" s="1"/>
  <c r="U241" s="1"/>
  <c r="U195"/>
  <c r="R41" i="35" s="1"/>
  <c r="S33"/>
  <c r="S34" s="1"/>
  <c r="R34"/>
  <c r="R35"/>
  <c r="U347" i="33"/>
  <c r="R322"/>
  <c r="R353"/>
  <c r="M38" i="39" s="1"/>
  <c r="R332" i="33"/>
  <c r="R330"/>
  <c r="S36" i="35" l="1"/>
  <c r="S35"/>
  <c r="U239" i="33"/>
  <c r="U240" s="1"/>
  <c r="U193"/>
  <c r="U207" s="1"/>
  <c r="U226" s="1"/>
  <c r="Q42" i="35"/>
  <c r="Q43" s="1"/>
  <c r="Q45" s="1"/>
  <c r="Q46" s="1"/>
  <c r="P34" i="39"/>
  <c r="U349" i="33"/>
  <c r="U234"/>
  <c r="U235" s="1"/>
  <c r="R44" i="35"/>
  <c r="R43"/>
  <c r="R337" i="33"/>
  <c r="R329"/>
  <c r="R45" i="35" l="1"/>
  <c r="R46" s="1"/>
  <c r="R352" i="33"/>
  <c r="M37" i="39" s="1"/>
  <c r="M42"/>
  <c r="R320" i="33"/>
  <c r="R306"/>
  <c r="R358" s="1"/>
  <c r="S357" s="1"/>
  <c r="P34" i="26" l="1"/>
  <c r="P37" s="1"/>
  <c r="T288" i="33" s="1"/>
  <c r="O39" i="26"/>
  <c r="N43"/>
  <c r="N44" s="1"/>
  <c r="N46" s="1"/>
  <c r="N47" s="1"/>
  <c r="R368" i="33"/>
  <c r="M40" i="39" s="1"/>
  <c r="R304" i="33"/>
  <c r="O42" i="26"/>
  <c r="R365" i="33"/>
  <c r="R319"/>
  <c r="R334" s="1"/>
  <c r="O35" i="26" l="1"/>
  <c r="O36"/>
  <c r="S372" i="33" s="1"/>
  <c r="N48" i="39" s="1"/>
  <c r="R367" i="33"/>
  <c r="R370" s="1"/>
  <c r="M47" i="39" s="1"/>
  <c r="M43"/>
  <c r="R362" i="33"/>
  <c r="R317"/>
  <c r="R335" s="1"/>
  <c r="O45" i="26"/>
  <c r="R351" i="33" l="1"/>
  <c r="M45" i="39"/>
  <c r="R369" i="33"/>
  <c r="M46" i="39" s="1"/>
  <c r="S287" i="33"/>
  <c r="S286" s="1"/>
  <c r="R363"/>
  <c r="R364"/>
  <c r="R344" s="1"/>
  <c r="R345" l="1"/>
  <c r="R371" s="1"/>
  <c r="R373" s="1"/>
  <c r="M33" i="39"/>
  <c r="M35" s="1"/>
  <c r="R354" i="33"/>
  <c r="M36" i="39"/>
  <c r="S289" i="33"/>
  <c r="S293" s="1"/>
  <c r="R356" l="1"/>
  <c r="R359" s="1"/>
  <c r="S341"/>
  <c r="N28" i="39"/>
  <c r="M39"/>
  <c r="M49"/>
  <c r="S297" i="33"/>
  <c r="S331" s="1"/>
  <c r="S294"/>
  <c r="N29" i="39" l="1"/>
  <c r="S298" i="33"/>
  <c r="S322" l="1"/>
  <c r="S353"/>
  <c r="N38" i="39" s="1"/>
  <c r="S332" i="33"/>
  <c r="S330"/>
  <c r="S337" l="1"/>
  <c r="S329"/>
  <c r="S352" l="1"/>
  <c r="N37" i="39" s="1"/>
  <c r="N42"/>
  <c r="S306" i="33"/>
  <c r="S358" s="1"/>
  <c r="T357" s="1"/>
  <c r="S320"/>
  <c r="S319" l="1"/>
  <c r="S334" s="1"/>
  <c r="Q34" i="26"/>
  <c r="Q37" s="1"/>
  <c r="U288" i="33" s="1"/>
  <c r="P39" i="26"/>
  <c r="P42"/>
  <c r="P45" s="1"/>
  <c r="S304" i="33"/>
  <c r="S362" s="1"/>
  <c r="O43" i="26"/>
  <c r="O44" s="1"/>
  <c r="O46" s="1"/>
  <c r="O47" s="1"/>
  <c r="S368" i="33"/>
  <c r="N40" i="39" s="1"/>
  <c r="S365" i="33"/>
  <c r="P36" i="26" l="1"/>
  <c r="T372" i="33" s="1"/>
  <c r="O48" i="39" s="1"/>
  <c r="P35" i="26"/>
  <c r="S367" i="33"/>
  <c r="S369" s="1"/>
  <c r="N46" i="39" s="1"/>
  <c r="N43"/>
  <c r="S317" i="33"/>
  <c r="S335" s="1"/>
  <c r="S364"/>
  <c r="S344" s="1"/>
  <c r="S363"/>
  <c r="T287"/>
  <c r="T286" s="1"/>
  <c r="S351" l="1"/>
  <c r="N45" i="39"/>
  <c r="S345" i="33"/>
  <c r="S371" s="1"/>
  <c r="S373" s="1"/>
  <c r="N33" i="39"/>
  <c r="N35" s="1"/>
  <c r="S370" i="33"/>
  <c r="N47" i="39" s="1"/>
  <c r="T289" i="33"/>
  <c r="T293" s="1"/>
  <c r="T341" l="1"/>
  <c r="O28" i="39"/>
  <c r="S354" i="33"/>
  <c r="S356" s="1"/>
  <c r="S359" s="1"/>
  <c r="N36" i="39"/>
  <c r="N39" s="1"/>
  <c r="N49"/>
  <c r="T294" i="33"/>
  <c r="T297"/>
  <c r="T331" s="1"/>
  <c r="O29" i="39" l="1"/>
  <c r="T298" i="33"/>
  <c r="T330" l="1"/>
  <c r="T353"/>
  <c r="O38" i="39" s="1"/>
  <c r="T332" i="33"/>
  <c r="T337" s="1"/>
  <c r="T322"/>
  <c r="T329" l="1"/>
  <c r="T352" l="1"/>
  <c r="O37" i="39" s="1"/>
  <c r="O42"/>
  <c r="T320" i="33"/>
  <c r="T306"/>
  <c r="T358" s="1"/>
  <c r="U357" s="1"/>
  <c r="T365" l="1"/>
  <c r="T367" s="1"/>
  <c r="T370" s="1"/>
  <c r="O47" i="39" s="1"/>
  <c r="R34" i="26"/>
  <c r="R37" s="1"/>
  <c r="Q39"/>
  <c r="P43"/>
  <c r="P44" s="1"/>
  <c r="P46" s="1"/>
  <c r="P47" s="1"/>
  <c r="T319" i="33"/>
  <c r="T334" s="1"/>
  <c r="T304"/>
  <c r="T368"/>
  <c r="Q42" i="26"/>
  <c r="Q45" s="1"/>
  <c r="O43" i="39" l="1"/>
  <c r="Q35" i="26"/>
  <c r="Q36"/>
  <c r="U372" i="33" s="1"/>
  <c r="P48" i="39" s="1"/>
  <c r="T351" i="33"/>
  <c r="O45" i="39"/>
  <c r="T369" i="33"/>
  <c r="O46" i="39" s="1"/>
  <c r="O40"/>
  <c r="T362" i="33"/>
  <c r="T364" s="1"/>
  <c r="T344" s="1"/>
  <c r="T317"/>
  <c r="T335" s="1"/>
  <c r="U287"/>
  <c r="U286" s="1"/>
  <c r="T345" l="1"/>
  <c r="T371" s="1"/>
  <c r="T373" s="1"/>
  <c r="O33" i="39"/>
  <c r="O35" s="1"/>
  <c r="T354" i="33"/>
  <c r="T356" s="1"/>
  <c r="T359" s="1"/>
  <c r="O36" i="39"/>
  <c r="T363" i="33"/>
  <c r="U289"/>
  <c r="U293" s="1"/>
  <c r="U341" l="1"/>
  <c r="P28" i="39"/>
  <c r="O39"/>
  <c r="O49"/>
  <c r="U297" i="33"/>
  <c r="U331" s="1"/>
  <c r="U294"/>
  <c r="P29" i="39" l="1"/>
  <c r="U298" i="33"/>
  <c r="U322" l="1"/>
  <c r="U353"/>
  <c r="P38" i="39" s="1"/>
  <c r="U332" i="33"/>
  <c r="U330"/>
  <c r="U337" l="1"/>
  <c r="U329"/>
  <c r="U352" l="1"/>
  <c r="P37" i="39" s="1"/>
  <c r="P42"/>
  <c r="U306" i="33"/>
  <c r="U358" s="1"/>
  <c r="U320"/>
  <c r="S34" i="26" l="1"/>
  <c r="R39"/>
  <c r="Q43"/>
  <c r="Q44" s="1"/>
  <c r="Q46" s="1"/>
  <c r="Q47" s="1"/>
  <c r="R42"/>
  <c r="U368" i="33"/>
  <c r="P40" i="39" s="1"/>
  <c r="U304" i="33"/>
  <c r="U365"/>
  <c r="U319"/>
  <c r="U334" s="1"/>
  <c r="R36" i="26" l="1"/>
  <c r="R35"/>
  <c r="S35"/>
  <c r="S36"/>
  <c r="S37"/>
  <c r="U367" i="33"/>
  <c r="U369" s="1"/>
  <c r="P46" i="39" s="1"/>
  <c r="P43"/>
  <c r="U362" i="33"/>
  <c r="U317"/>
  <c r="U335" s="1"/>
  <c r="R44" i="26"/>
  <c r="R45"/>
  <c r="U370" i="33"/>
  <c r="P47" i="39" s="1"/>
  <c r="U351" i="33" l="1"/>
  <c r="P45" i="39"/>
  <c r="R46" i="26"/>
  <c r="R47" s="1"/>
  <c r="U363" i="33"/>
  <c r="U364"/>
  <c r="U344" s="1"/>
  <c r="U354" l="1"/>
  <c r="P36" i="39"/>
  <c r="U345" i="33"/>
  <c r="U371" s="1"/>
  <c r="U373" s="1"/>
  <c r="P33" i="39"/>
  <c r="P35" s="1"/>
  <c r="K34" i="37"/>
  <c r="U356" i="33" l="1"/>
  <c r="U359" s="1"/>
  <c r="P39" i="39"/>
  <c r="P49"/>
  <c r="K39" i="37"/>
  <c r="K35"/>
  <c r="K113" l="1"/>
  <c r="F60" i="39"/>
  <c r="F61" s="1"/>
  <c r="K43" i="37"/>
  <c r="K44" s="1"/>
  <c r="K40"/>
  <c r="K104" l="1"/>
  <c r="K91"/>
  <c r="K126" s="1"/>
  <c r="F72" i="39" s="1"/>
  <c r="K105" i="37"/>
  <c r="K102" l="1"/>
  <c r="K125" l="1"/>
  <c r="F71" i="39" s="1"/>
  <c r="F76"/>
  <c r="K64" i="37"/>
  <c r="F74" i="39" s="1"/>
  <c r="K86" i="37"/>
  <c r="K61"/>
  <c r="K173" l="1"/>
  <c r="L168"/>
  <c r="L171" s="1"/>
  <c r="L31" s="1"/>
  <c r="L130"/>
  <c r="K131"/>
  <c r="K141"/>
  <c r="K84"/>
  <c r="K107" s="1"/>
  <c r="K138"/>
  <c r="K82"/>
  <c r="F75" i="39" s="1"/>
  <c r="K198" i="37"/>
  <c r="K197" s="1"/>
  <c r="L196"/>
  <c r="K170" l="1"/>
  <c r="K147" s="1"/>
  <c r="K169"/>
  <c r="K140"/>
  <c r="K144" s="1"/>
  <c r="F82" i="39" s="1"/>
  <c r="F77"/>
  <c r="K108" i="37"/>
  <c r="K136"/>
  <c r="K137" s="1"/>
  <c r="K117" s="1"/>
  <c r="K142"/>
  <c r="K143" l="1"/>
  <c r="F81" i="39" s="1"/>
  <c r="F80"/>
  <c r="K124" i="37"/>
  <c r="F79" i="39"/>
  <c r="K118" i="37"/>
  <c r="F66" i="39"/>
  <c r="F69" s="1"/>
  <c r="F90" s="1"/>
  <c r="K146" i="37"/>
  <c r="K148" s="1"/>
  <c r="F84" i="39"/>
  <c r="F91" s="1"/>
  <c r="F92" l="1"/>
  <c r="F70"/>
  <c r="F73" s="1"/>
  <c r="K127" i="37"/>
  <c r="K129" s="1"/>
  <c r="K132" s="1"/>
  <c r="F85" i="39"/>
  <c r="L199" i="37"/>
  <c r="L30" s="1"/>
  <c r="L29" l="1"/>
  <c r="L33" s="1"/>
  <c r="L36" s="1"/>
  <c r="L34" s="1"/>
  <c r="L35" s="1"/>
  <c r="L145"/>
  <c r="G83" i="39" s="1"/>
  <c r="L39" i="37" l="1"/>
  <c r="G60" i="39" s="1"/>
  <c r="G61" s="1"/>
  <c r="L113" i="37" l="1"/>
  <c r="L40"/>
  <c r="L43"/>
  <c r="L44" l="1"/>
  <c r="L104"/>
  <c r="L91" l="1"/>
  <c r="L126" s="1"/>
  <c r="G72" i="39" s="1"/>
  <c r="L105" i="37"/>
  <c r="L102" l="1"/>
  <c r="L125" l="1"/>
  <c r="G71" i="39" s="1"/>
  <c r="G76"/>
  <c r="L86" i="37"/>
  <c r="L64"/>
  <c r="G74" i="39" s="1"/>
  <c r="L173" i="37" l="1"/>
  <c r="M168"/>
  <c r="M171" s="1"/>
  <c r="M31" s="1"/>
  <c r="L131"/>
  <c r="L61"/>
  <c r="L198"/>
  <c r="L197" s="1"/>
  <c r="M130"/>
  <c r="L141"/>
  <c r="M196"/>
  <c r="M199" s="1"/>
  <c r="M30" s="1"/>
  <c r="L138"/>
  <c r="L84"/>
  <c r="L107" s="1"/>
  <c r="L170" l="1"/>
  <c r="L147" s="1"/>
  <c r="L169"/>
  <c r="L140"/>
  <c r="G79" i="39" s="1"/>
  <c r="G77"/>
  <c r="M29" i="37"/>
  <c r="M33" s="1"/>
  <c r="M36" s="1"/>
  <c r="M34" s="1"/>
  <c r="M35" s="1"/>
  <c r="M145"/>
  <c r="H83" i="39" s="1"/>
  <c r="L82" i="37"/>
  <c r="L136"/>
  <c r="L137" s="1"/>
  <c r="L117" s="1"/>
  <c r="L142"/>
  <c r="L144" l="1"/>
  <c r="G82" i="39" s="1"/>
  <c r="L124" i="37"/>
  <c r="G70" i="39" s="1"/>
  <c r="L143" i="37"/>
  <c r="G81" i="39" s="1"/>
  <c r="G80"/>
  <c r="L108" i="37"/>
  <c r="G75" i="39"/>
  <c r="L118" i="37"/>
  <c r="L146" s="1"/>
  <c r="L148" s="1"/>
  <c r="G66" i="39"/>
  <c r="G69" s="1"/>
  <c r="G90" s="1"/>
  <c r="M39" i="37"/>
  <c r="M40" s="1"/>
  <c r="L127"/>
  <c r="G84" i="39" l="1"/>
  <c r="M113" i="37"/>
  <c r="H60" i="39"/>
  <c r="H61" s="1"/>
  <c r="L129" i="37"/>
  <c r="L132" s="1"/>
  <c r="G73" i="39"/>
  <c r="M43" i="37"/>
  <c r="M104" s="1"/>
  <c r="G85" i="39" l="1"/>
  <c r="G91"/>
  <c r="G92" s="1"/>
  <c r="M44" i="37"/>
  <c r="M91" l="1"/>
  <c r="M126" s="1"/>
  <c r="H72" i="39" s="1"/>
  <c r="M105" i="37"/>
  <c r="M102" s="1"/>
  <c r="H76" i="39" s="1"/>
  <c r="M64" i="37" l="1"/>
  <c r="H74" i="39" s="1"/>
  <c r="M125" i="37"/>
  <c r="H71" i="39" s="1"/>
  <c r="M86" i="37"/>
  <c r="N130" l="1"/>
  <c r="M84"/>
  <c r="M107" s="1"/>
  <c r="M173"/>
  <c r="N168"/>
  <c r="N171" s="1"/>
  <c r="N31" s="1"/>
  <c r="M61"/>
  <c r="M82" s="1"/>
  <c r="M141"/>
  <c r="N196"/>
  <c r="N199" s="1"/>
  <c r="N30" s="1"/>
  <c r="M198"/>
  <c r="M197" s="1"/>
  <c r="M131"/>
  <c r="M138"/>
  <c r="M170" l="1"/>
  <c r="M147" s="1"/>
  <c r="M169"/>
  <c r="N29"/>
  <c r="N33" s="1"/>
  <c r="N36" s="1"/>
  <c r="N34" s="1"/>
  <c r="N35" s="1"/>
  <c r="N145"/>
  <c r="I83" i="39" s="1"/>
  <c r="M136" i="37"/>
  <c r="M137" s="1"/>
  <c r="M117" s="1"/>
  <c r="M118" s="1"/>
  <c r="M146" s="1"/>
  <c r="M148" s="1"/>
  <c r="M140"/>
  <c r="H79" i="39" s="1"/>
  <c r="H77"/>
  <c r="M108" i="37"/>
  <c r="H75" i="39"/>
  <c r="M144" i="37"/>
  <c r="H82" i="39" s="1"/>
  <c r="M142" i="37" l="1"/>
  <c r="H80" i="39" s="1"/>
  <c r="N39" i="37"/>
  <c r="N40" s="1"/>
  <c r="M124"/>
  <c r="H70" i="39" s="1"/>
  <c r="H66"/>
  <c r="H69" s="1"/>
  <c r="H90" s="1"/>
  <c r="M143" i="37"/>
  <c r="H81" i="39" s="1"/>
  <c r="H84"/>
  <c r="N113" i="37" l="1"/>
  <c r="I60" i="39"/>
  <c r="I61" s="1"/>
  <c r="N43" i="37"/>
  <c r="N104" s="1"/>
  <c r="M127"/>
  <c r="M129" s="1"/>
  <c r="M132" s="1"/>
  <c r="H73" i="39"/>
  <c r="H85"/>
  <c r="H91"/>
  <c r="H92" s="1"/>
  <c r="N44" i="37" l="1"/>
  <c r="N91" s="1"/>
  <c r="N126" s="1"/>
  <c r="I72" i="39" s="1"/>
  <c r="N105" i="37" l="1"/>
  <c r="N102" s="1"/>
  <c r="I76" i="39" s="1"/>
  <c r="N86" i="37" l="1"/>
  <c r="N138" s="1"/>
  <c r="N140" s="1"/>
  <c r="N125"/>
  <c r="I71" i="39" s="1"/>
  <c r="N64" i="37"/>
  <c r="N131" s="1"/>
  <c r="N173"/>
  <c r="N141" l="1"/>
  <c r="N84"/>
  <c r="N107" s="1"/>
  <c r="O168"/>
  <c r="O171" s="1"/>
  <c r="O31" s="1"/>
  <c r="N198"/>
  <c r="N197" s="1"/>
  <c r="N61"/>
  <c r="N82" s="1"/>
  <c r="I75" i="39" s="1"/>
  <c r="O196" i="37"/>
  <c r="O199" s="1"/>
  <c r="O30" s="1"/>
  <c r="O145" s="1"/>
  <c r="J83" i="39" s="1"/>
  <c r="O130" i="37"/>
  <c r="I74" i="39"/>
  <c r="N170" i="37"/>
  <c r="N147" s="1"/>
  <c r="N169"/>
  <c r="I77" i="39"/>
  <c r="I79"/>
  <c r="N144" i="37"/>
  <c r="I82" i="39" s="1"/>
  <c r="N124" i="37"/>
  <c r="I70" i="39" s="1"/>
  <c r="N142" i="37"/>
  <c r="N143" s="1"/>
  <c r="I81" i="39" s="1"/>
  <c r="O29" i="37"/>
  <c r="O33" s="1"/>
  <c r="O36" s="1"/>
  <c r="O34" s="1"/>
  <c r="O35" s="1"/>
  <c r="N108" l="1"/>
  <c r="N136"/>
  <c r="N137" s="1"/>
  <c r="N117" s="1"/>
  <c r="N118" s="1"/>
  <c r="N127"/>
  <c r="O39"/>
  <c r="J60" i="39" s="1"/>
  <c r="J61" s="1"/>
  <c r="I84"/>
  <c r="I91" s="1"/>
  <c r="I80"/>
  <c r="N129" i="37" l="1"/>
  <c r="N132" s="1"/>
  <c r="O113"/>
  <c r="N146"/>
  <c r="N148" s="1"/>
  <c r="I66" i="39"/>
  <c r="I69" s="1"/>
  <c r="I90" s="1"/>
  <c r="I92" s="1"/>
  <c r="O40" i="37"/>
  <c r="O43"/>
  <c r="O104" s="1"/>
  <c r="I85" i="39" l="1"/>
  <c r="I73"/>
  <c r="O44" i="37"/>
  <c r="O105" l="1"/>
  <c r="O102" s="1"/>
  <c r="J76" i="39" s="1"/>
  <c r="O91" i="37"/>
  <c r="O86" l="1"/>
  <c r="O64"/>
  <c r="O126"/>
  <c r="J74" i="39" l="1"/>
  <c r="O198" i="37"/>
  <c r="O197" s="1"/>
  <c r="P130"/>
  <c r="O131"/>
  <c r="O141"/>
  <c r="O61"/>
  <c r="P196"/>
  <c r="P199" s="1"/>
  <c r="P30" s="1"/>
  <c r="O125"/>
  <c r="J71" i="39" s="1"/>
  <c r="J72"/>
  <c r="O173" i="37"/>
  <c r="O84"/>
  <c r="O107" s="1"/>
  <c r="P168"/>
  <c r="P171" s="1"/>
  <c r="P31" s="1"/>
  <c r="O138"/>
  <c r="P29" l="1"/>
  <c r="P33" s="1"/>
  <c r="P36" s="1"/>
  <c r="P34" s="1"/>
  <c r="P35" s="1"/>
  <c r="P145"/>
  <c r="K83" i="39" s="1"/>
  <c r="O169" i="37"/>
  <c r="O170"/>
  <c r="O147" s="1"/>
  <c r="J84" i="39" s="1"/>
  <c r="J91" s="1"/>
  <c r="O82" i="37"/>
  <c r="O136"/>
  <c r="O137" s="1"/>
  <c r="O117" s="1"/>
  <c r="J77" i="39"/>
  <c r="O140" i="37"/>
  <c r="P39"/>
  <c r="K60" i="39" s="1"/>
  <c r="K61" s="1"/>
  <c r="J79" l="1"/>
  <c r="O144" i="37"/>
  <c r="J82" i="39" s="1"/>
  <c r="O124" i="37"/>
  <c r="O142"/>
  <c r="O118"/>
  <c r="J66" i="39"/>
  <c r="J69" s="1"/>
  <c r="O108" i="37"/>
  <c r="J75" i="39"/>
  <c r="P113" i="37"/>
  <c r="P43"/>
  <c r="P40"/>
  <c r="J90" i="39" l="1"/>
  <c r="J92" s="1"/>
  <c r="J85"/>
  <c r="O143" i="37"/>
  <c r="J81" i="39" s="1"/>
  <c r="J80"/>
  <c r="O146" i="37"/>
  <c r="O148" s="1"/>
  <c r="J70" i="39"/>
  <c r="J73" s="1"/>
  <c r="O127" i="37"/>
  <c r="O129" s="1"/>
  <c r="O132" s="1"/>
  <c r="P44"/>
  <c r="P104"/>
  <c r="P91" l="1"/>
  <c r="P105"/>
  <c r="P102" l="1"/>
  <c r="K76" i="39" s="1"/>
  <c r="P126" i="37"/>
  <c r="K72" i="39" s="1"/>
  <c r="P125" i="37" l="1"/>
  <c r="K71" i="39" s="1"/>
  <c r="P86" i="37"/>
  <c r="P64"/>
  <c r="K74" i="39" s="1"/>
  <c r="P173" i="37" l="1"/>
  <c r="Q168"/>
  <c r="Q171" s="1"/>
  <c r="Q31" s="1"/>
  <c r="P141"/>
  <c r="P131"/>
  <c r="Q196"/>
  <c r="Q199" s="1"/>
  <c r="Q30" s="1"/>
  <c r="Q130"/>
  <c r="P198"/>
  <c r="P197" s="1"/>
  <c r="P61"/>
  <c r="P84"/>
  <c r="P107" s="1"/>
  <c r="P138"/>
  <c r="P170" l="1"/>
  <c r="P147" s="1"/>
  <c r="P169"/>
  <c r="P140"/>
  <c r="K79" i="39" s="1"/>
  <c r="K77"/>
  <c r="Q29" i="37"/>
  <c r="Q33" s="1"/>
  <c r="Q36" s="1"/>
  <c r="Q34" s="1"/>
  <c r="Q35" s="1"/>
  <c r="Q145"/>
  <c r="L83" i="39" s="1"/>
  <c r="P136" i="37"/>
  <c r="P137" s="1"/>
  <c r="P117" s="1"/>
  <c r="P82"/>
  <c r="P144" l="1"/>
  <c r="K82" i="39" s="1"/>
  <c r="P124" i="37"/>
  <c r="K70" i="39" s="1"/>
  <c r="P142" i="37"/>
  <c r="P143" s="1"/>
  <c r="K81" i="39" s="1"/>
  <c r="P108" i="37"/>
  <c r="K75" i="39"/>
  <c r="P118" i="37"/>
  <c r="P146" s="1"/>
  <c r="P148" s="1"/>
  <c r="K66" i="39"/>
  <c r="K69" s="1"/>
  <c r="K90" s="1"/>
  <c r="K84"/>
  <c r="K91" s="1"/>
  <c r="Q39" i="37"/>
  <c r="L60" i="39" s="1"/>
  <c r="L61" s="1"/>
  <c r="P127" i="37" l="1"/>
  <c r="P129" s="1"/>
  <c r="P132" s="1"/>
  <c r="K80" i="39"/>
  <c r="K92"/>
  <c r="K85"/>
  <c r="K73"/>
  <c r="Q40" i="37"/>
  <c r="Q43"/>
  <c r="Q104" s="1"/>
  <c r="Q113"/>
  <c r="Q44" l="1"/>
  <c r="Q105" s="1"/>
  <c r="Q102" s="1"/>
  <c r="L76" i="39" s="1"/>
  <c r="Q91" i="37" l="1"/>
  <c r="Q126" s="1"/>
  <c r="L72" i="39" s="1"/>
  <c r="Q86" i="37" l="1"/>
  <c r="Q173" s="1"/>
  <c r="Q64"/>
  <c r="L74" i="39" s="1"/>
  <c r="Q125" i="37"/>
  <c r="L71" i="39" s="1"/>
  <c r="Q138" i="37" l="1"/>
  <c r="Q131"/>
  <c r="R130"/>
  <c r="Q198"/>
  <c r="Q197" s="1"/>
  <c r="Q84"/>
  <c r="Q107" s="1"/>
  <c r="R168"/>
  <c r="R171" s="1"/>
  <c r="R31" s="1"/>
  <c r="Q141"/>
  <c r="Q61"/>
  <c r="Q82" s="1"/>
  <c r="L75" i="39" s="1"/>
  <c r="R196" i="37"/>
  <c r="R199" s="1"/>
  <c r="R30" s="1"/>
  <c r="Q170"/>
  <c r="Q147" s="1"/>
  <c r="Q169"/>
  <c r="Q140"/>
  <c r="L79" i="39" s="1"/>
  <c r="L77"/>
  <c r="R145" i="37" l="1"/>
  <c r="M83" i="39" s="1"/>
  <c r="R29" i="37"/>
  <c r="R33" s="1"/>
  <c r="R36" s="1"/>
  <c r="R34" s="1"/>
  <c r="R35" s="1"/>
  <c r="Q136"/>
  <c r="Q137" s="1"/>
  <c r="Q117" s="1"/>
  <c r="L66" i="39" s="1"/>
  <c r="L69" s="1"/>
  <c r="L90" s="1"/>
  <c r="Q124" i="37"/>
  <c r="L70" i="39" s="1"/>
  <c r="Q144" i="37"/>
  <c r="L82" i="39" s="1"/>
  <c r="Q142" i="37"/>
  <c r="L80" i="39" s="1"/>
  <c r="Q108" i="37"/>
  <c r="Q143"/>
  <c r="L81" i="39" s="1"/>
  <c r="Q118" i="37"/>
  <c r="Q146" s="1"/>
  <c r="Q148" s="1"/>
  <c r="Q127"/>
  <c r="L84" i="39"/>
  <c r="L91" s="1"/>
  <c r="R39" i="37"/>
  <c r="M60" i="39" s="1"/>
  <c r="M61" s="1"/>
  <c r="L92" l="1"/>
  <c r="Q129" i="37"/>
  <c r="Q132" s="1"/>
  <c r="L85" i="39"/>
  <c r="L73"/>
  <c r="R113" i="37"/>
  <c r="R43"/>
  <c r="R104" s="1"/>
  <c r="R40"/>
  <c r="R44"/>
  <c r="R105" s="1"/>
  <c r="R91" l="1"/>
  <c r="R126" s="1"/>
  <c r="M72" i="39" s="1"/>
  <c r="R102" i="37"/>
  <c r="M76" i="39" s="1"/>
  <c r="R125" i="37" l="1"/>
  <c r="M71" i="39" s="1"/>
  <c r="R86" i="37"/>
  <c r="R64"/>
  <c r="M74" i="39" s="1"/>
  <c r="R173" i="37" l="1"/>
  <c r="S168"/>
  <c r="S171" s="1"/>
  <c r="S31" s="1"/>
  <c r="R61"/>
  <c r="R131"/>
  <c r="R198"/>
  <c r="R197" s="1"/>
  <c r="S196"/>
  <c r="S199" s="1"/>
  <c r="S30" s="1"/>
  <c r="R141"/>
  <c r="S130"/>
  <c r="R84"/>
  <c r="R107" s="1"/>
  <c r="R138"/>
  <c r="R170" l="1"/>
  <c r="R147" s="1"/>
  <c r="R169"/>
  <c r="R140"/>
  <c r="M79" i="39" s="1"/>
  <c r="M77"/>
  <c r="S29" i="37"/>
  <c r="S33" s="1"/>
  <c r="S36" s="1"/>
  <c r="S34" s="1"/>
  <c r="S35" s="1"/>
  <c r="S145"/>
  <c r="N83" i="39" s="1"/>
  <c r="R82" i="37"/>
  <c r="R136"/>
  <c r="R137" s="1"/>
  <c r="R117" s="1"/>
  <c r="R144"/>
  <c r="M82" i="39" s="1"/>
  <c r="R124" i="37" l="1"/>
  <c r="M70" i="39" s="1"/>
  <c r="R142" i="37"/>
  <c r="R143" s="1"/>
  <c r="M81" i="39" s="1"/>
  <c r="R108" i="37"/>
  <c r="M75" i="39"/>
  <c r="R118" i="37"/>
  <c r="R146" s="1"/>
  <c r="R148" s="1"/>
  <c r="M66" i="39"/>
  <c r="M69" s="1"/>
  <c r="M90" s="1"/>
  <c r="S39" i="37"/>
  <c r="M84" i="39"/>
  <c r="M91" s="1"/>
  <c r="R127" i="37" l="1"/>
  <c r="R129" s="1"/>
  <c r="R132" s="1"/>
  <c r="M80" i="39"/>
  <c r="M92"/>
  <c r="S40" i="37"/>
  <c r="N60" i="39"/>
  <c r="N61" s="1"/>
  <c r="M73"/>
  <c r="S113" i="37"/>
  <c r="S43"/>
  <c r="S104" l="1"/>
  <c r="S44"/>
  <c r="S105" l="1"/>
  <c r="S102" s="1"/>
  <c r="N76" i="39" s="1"/>
  <c r="S91" i="37"/>
  <c r="S126" l="1"/>
  <c r="S64"/>
  <c r="N74" i="39" s="1"/>
  <c r="S86" i="37"/>
  <c r="S173" l="1"/>
  <c r="T168"/>
  <c r="T171" s="1"/>
  <c r="T31" s="1"/>
  <c r="S125"/>
  <c r="N71" i="39" s="1"/>
  <c r="N72"/>
  <c r="S138" i="37"/>
  <c r="S84"/>
  <c r="S107" s="1"/>
  <c r="S61"/>
  <c r="T196"/>
  <c r="T199" s="1"/>
  <c r="T30" s="1"/>
  <c r="S141"/>
  <c r="S131"/>
  <c r="T130"/>
  <c r="S198"/>
  <c r="S197" s="1"/>
  <c r="S170" l="1"/>
  <c r="S147" s="1"/>
  <c r="S169"/>
  <c r="S140"/>
  <c r="N79" i="39" s="1"/>
  <c r="N77"/>
  <c r="T29" i="37"/>
  <c r="T33" s="1"/>
  <c r="T36" s="1"/>
  <c r="T34" s="1"/>
  <c r="T35" s="1"/>
  <c r="T145"/>
  <c r="O83" i="39" s="1"/>
  <c r="S136" i="37"/>
  <c r="S137" s="1"/>
  <c r="S117" s="1"/>
  <c r="S82"/>
  <c r="S144"/>
  <c r="N82" i="39" s="1"/>
  <c r="S142" i="37" l="1"/>
  <c r="S143" s="1"/>
  <c r="N81" i="39" s="1"/>
  <c r="S124" i="37"/>
  <c r="N70" i="39" s="1"/>
  <c r="T39" i="37"/>
  <c r="T43" s="1"/>
  <c r="T104" s="1"/>
  <c r="S108"/>
  <c r="N75" i="39"/>
  <c r="S118" i="37"/>
  <c r="N66" i="39"/>
  <c r="N69" s="1"/>
  <c r="N90" s="1"/>
  <c r="S127" i="37"/>
  <c r="N84" i="39"/>
  <c r="N91" s="1"/>
  <c r="N80" l="1"/>
  <c r="T113" i="37"/>
  <c r="O60" i="39"/>
  <c r="O61" s="1"/>
  <c r="N92"/>
  <c r="S146" i="37"/>
  <c r="S148" s="1"/>
  <c r="T40"/>
  <c r="T44"/>
  <c r="T91" s="1"/>
  <c r="T126" s="1"/>
  <c r="O72" i="39" s="1"/>
  <c r="S129" i="37"/>
  <c r="S132" s="1"/>
  <c r="N73" i="39"/>
  <c r="T105" i="37" l="1"/>
  <c r="T102" s="1"/>
  <c r="O76" i="39" s="1"/>
  <c r="T86" i="37" l="1"/>
  <c r="T138" s="1"/>
  <c r="T125"/>
  <c r="O71" i="39" s="1"/>
  <c r="T64" i="37"/>
  <c r="O74" i="39" s="1"/>
  <c r="U196" i="37" l="1"/>
  <c r="U199" s="1"/>
  <c r="U30" s="1"/>
  <c r="T84"/>
  <c r="T107" s="1"/>
  <c r="T173"/>
  <c r="T170" s="1"/>
  <c r="T147" s="1"/>
  <c r="O84" i="39" s="1"/>
  <c r="O91" s="1"/>
  <c r="O77"/>
  <c r="T140" i="37"/>
  <c r="T198"/>
  <c r="T197" s="1"/>
  <c r="U168"/>
  <c r="U171" s="1"/>
  <c r="U31" s="1"/>
  <c r="U29" s="1"/>
  <c r="U33" s="1"/>
  <c r="U36" s="1"/>
  <c r="U34" s="1"/>
  <c r="U35" s="1"/>
  <c r="T131"/>
  <c r="U130"/>
  <c r="T141"/>
  <c r="T61"/>
  <c r="T82" s="1"/>
  <c r="O75" i="39" s="1"/>
  <c r="U145" i="37" l="1"/>
  <c r="P83" i="39" s="1"/>
  <c r="T142" i="37"/>
  <c r="T143" s="1"/>
  <c r="O81" i="39" s="1"/>
  <c r="T169" i="37"/>
  <c r="O80" i="39"/>
  <c r="T108" i="37"/>
  <c r="T136"/>
  <c r="T137" s="1"/>
  <c r="T117" s="1"/>
  <c r="T118" s="1"/>
  <c r="T146" s="1"/>
  <c r="T148" s="1"/>
  <c r="O79" i="39"/>
  <c r="T124" i="37"/>
  <c r="T144"/>
  <c r="O82" i="39" s="1"/>
  <c r="U39" i="37"/>
  <c r="P60" i="39" s="1"/>
  <c r="P61" s="1"/>
  <c r="U43" i="37" l="1"/>
  <c r="U104" s="1"/>
  <c r="O66" i="39"/>
  <c r="O69" s="1"/>
  <c r="O90" s="1"/>
  <c r="O92" s="1"/>
  <c r="O70"/>
  <c r="T127" i="37"/>
  <c r="T129" s="1"/>
  <c r="T132" s="1"/>
  <c r="U40"/>
  <c r="U113"/>
  <c r="U44"/>
  <c r="O73" i="39" l="1"/>
  <c r="U91" i="37"/>
  <c r="U105"/>
  <c r="U102" s="1"/>
  <c r="P76" i="39" s="1"/>
  <c r="U86" i="37" l="1"/>
  <c r="U173" s="1"/>
  <c r="U64"/>
  <c r="P74" i="39" s="1"/>
  <c r="U126" i="37"/>
  <c r="U170" l="1"/>
  <c r="U147" s="1"/>
  <c r="U169"/>
  <c r="U125"/>
  <c r="P71" i="39" s="1"/>
  <c r="P72"/>
  <c r="U131" i="37"/>
  <c r="U141"/>
  <c r="U198"/>
  <c r="U197" s="1"/>
  <c r="U61"/>
  <c r="U138"/>
  <c r="U84"/>
  <c r="U107" s="1"/>
  <c r="U140" l="1"/>
  <c r="P79" i="39" s="1"/>
  <c r="P77"/>
  <c r="U144" i="37"/>
  <c r="P82" i="39" s="1"/>
  <c r="U136" i="37"/>
  <c r="U137" s="1"/>
  <c r="U117" s="1"/>
  <c r="U82"/>
  <c r="U124" l="1"/>
  <c r="P70" i="39" s="1"/>
  <c r="U142" i="37"/>
  <c r="U108"/>
  <c r="P75" i="39"/>
  <c r="U118" i="37"/>
  <c r="U146" s="1"/>
  <c r="U148" s="1"/>
  <c r="P66" i="39"/>
  <c r="P69" s="1"/>
  <c r="P90" s="1"/>
  <c r="P84"/>
  <c r="P91" s="1"/>
  <c r="U127" i="37" l="1"/>
  <c r="P92" i="39"/>
  <c r="U129" i="37"/>
  <c r="U132" s="1"/>
  <c r="U143"/>
  <c r="P81" i="39" s="1"/>
  <c r="P80"/>
  <c r="P73"/>
</calcChain>
</file>

<file path=xl/comments1.xml><?xml version="1.0" encoding="utf-8"?>
<comments xmlns="http://schemas.openxmlformats.org/spreadsheetml/2006/main">
  <authors>
    <author>crnugelj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卟䙄_x0001_＀＀⅘䧲_x0016_剄䝏ⴳ剂卞塐剟䝔䱟⡔⤰_x0014_＀＀_x0018_＀＀_x0004_＀＀_x0001_＀＀_x0008_＀＀乀A⅘䧲_x001E_剄䝏ⴳ剂卞塐佟呕佌䭏䱟⡔ⰰ䘬⥙_x0014_＀＀_x0018_＀＀_x0004_＀＀_x0001_＀＀_x0008_＀＀乀A</t>
        </r>
      </text>
    </comment>
    <comment ref="B1" authorId="0">
      <text>
        <r>
          <rPr>
            <b/>
            <sz val="8"/>
            <color indexed="81"/>
            <rFont val="Tahoma"/>
            <family val="2"/>
          </rPr>
          <t>71</t>
        </r>
      </text>
    </comment>
  </commentList>
</comments>
</file>

<file path=xl/comments2.xml><?xml version="1.0" encoding="utf-8"?>
<comments xmlns="http://schemas.openxmlformats.org/spreadsheetml/2006/main">
  <authors>
    <author>Victor L Schmutzler (T661910)</author>
  </authors>
  <commentList>
    <comment ref="K79" authorId="0">
      <text>
        <r>
          <rPr>
            <b/>
            <sz val="8"/>
            <color indexed="81"/>
            <rFont val="Tahoma"/>
            <family val="2"/>
          </rPr>
          <t>Victor L Schmutzler (T661910):</t>
        </r>
        <r>
          <rPr>
            <sz val="8"/>
            <color indexed="81"/>
            <rFont val="Tahoma"/>
            <family val="2"/>
          </rPr>
          <t xml:space="preserve">
Ajuste para compra Quiport e Aeris (proporcional na Equivalencia Patrimonial</t>
        </r>
      </text>
    </comment>
    <comment ref="K159" authorId="0">
      <text>
        <r>
          <rPr>
            <b/>
            <sz val="8"/>
            <color indexed="81"/>
            <rFont val="Tahoma"/>
            <family val="2"/>
          </rPr>
          <t>Victor L Schmutzler (T661910):</t>
        </r>
        <r>
          <rPr>
            <sz val="8"/>
            <color indexed="81"/>
            <rFont val="Tahoma"/>
            <family val="2"/>
          </rPr>
          <t xml:space="preserve">
Venda de Quiport e Aeris para CCR por USD 180M</t>
        </r>
      </text>
    </comment>
  </commentList>
</comments>
</file>

<file path=xl/comments3.xml><?xml version="1.0" encoding="utf-8"?>
<comments xmlns="http://schemas.openxmlformats.org/spreadsheetml/2006/main">
  <authors>
    <author>Victor L Schmutzler (T661910)</author>
  </authors>
  <commentList>
    <comment ref="J12" authorId="0">
      <text>
        <r>
          <rPr>
            <b/>
            <sz val="8"/>
            <color indexed="81"/>
            <rFont val="Tahoma"/>
            <family val="2"/>
          </rPr>
          <t>Victor L Schmutzler (T661910):</t>
        </r>
        <r>
          <rPr>
            <sz val="8"/>
            <color indexed="81"/>
            <rFont val="Tahoma"/>
            <family val="2"/>
          </rPr>
          <t xml:space="preserve">
Interpolado DU da curva. Fonte: AEBroadcast - CETIP</t>
        </r>
      </text>
    </comment>
    <comment ref="J13" authorId="0">
      <text>
        <r>
          <rPr>
            <b/>
            <sz val="8"/>
            <color indexed="81"/>
            <rFont val="Tahoma"/>
            <family val="2"/>
          </rPr>
          <t>Victor L Schmutzler (T661910):</t>
        </r>
        <r>
          <rPr>
            <sz val="8"/>
            <color indexed="81"/>
            <rFont val="Tahoma"/>
            <family val="2"/>
          </rPr>
          <t xml:space="preserve">
CDI Over</t>
        </r>
      </text>
    </comment>
    <comment ref="J33" authorId="0">
      <text>
        <r>
          <rPr>
            <b/>
            <sz val="8"/>
            <color indexed="81"/>
            <rFont val="Tahoma"/>
            <family val="2"/>
          </rPr>
          <t>Victor L Schmutzler (T661910):</t>
        </r>
        <r>
          <rPr>
            <sz val="8"/>
            <color indexed="81"/>
            <rFont val="Tahoma"/>
            <family val="2"/>
          </rPr>
          <t xml:space="preserve">
Interpolado DU da curva. Fonte: AEBroadcast - CETIP</t>
        </r>
      </text>
    </comment>
    <comment ref="J34" authorId="0">
      <text>
        <r>
          <rPr>
            <b/>
            <sz val="8"/>
            <color indexed="81"/>
            <rFont val="Tahoma"/>
            <family val="2"/>
          </rPr>
          <t>Victor L Schmutzler (T661910):</t>
        </r>
        <r>
          <rPr>
            <sz val="8"/>
            <color indexed="81"/>
            <rFont val="Tahoma"/>
            <family val="2"/>
          </rPr>
          <t xml:space="preserve">
CDI Over</t>
        </r>
      </text>
    </comment>
    <comment ref="I57" authorId="0">
      <text>
        <r>
          <rPr>
            <sz val="8"/>
            <color indexed="81"/>
            <rFont val="Tahoma"/>
            <family val="2"/>
          </rPr>
          <t>Projeção Departamento Macroeconomico Santander (data base: 11-nov-2011)</t>
        </r>
      </text>
    </comment>
    <comment ref="J58" authorId="0">
      <text>
        <r>
          <rPr>
            <b/>
            <sz val="8"/>
            <color indexed="81"/>
            <rFont val="Tahoma"/>
            <family val="2"/>
          </rPr>
          <t>Inflação média ponderada estimada com base nas projeçoes de IPCA do Departamento de Pesquisa Macroeconomica do Santander. Para re-cálculo informar a taxa a ser considerada na célula "B7".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<sst xmlns="http://schemas.openxmlformats.org/spreadsheetml/2006/main" count="3463" uniqueCount="767">
  <si>
    <t>AEDU11.SA,mscalc:sedolCodeCalc</t>
  </si>
  <si>
    <t>AEDU11.SA,mscalc:targetPrice,,,,USD</t>
  </si>
  <si>
    <t>AEDU11.SA,mscalc:closePriceCurrencyCalc</t>
  </si>
  <si>
    <t>AEDU11.SA,mscalc:targetPrice,,,,BRL</t>
  </si>
  <si>
    <t>Drogasil</t>
  </si>
  <si>
    <t>DROG3.SA,mscalc:sedolCodeCalc</t>
  </si>
  <si>
    <t>DROG3.SA,mscalc:targetPrice,,,,USD</t>
  </si>
  <si>
    <t>DROG3.SA,mscalc:closePriceCurrencyCalc</t>
  </si>
  <si>
    <t>DROG3.SA,mscalc:targetPrice,,,,BRL</t>
  </si>
  <si>
    <t>11.8000001907349</t>
  </si>
  <si>
    <t>DROG3.SA,mscalc:firstEstimatedYearCalc</t>
  </si>
  <si>
    <t>DROG3.SA,mscalc:displayCurrencyCalc</t>
  </si>
  <si>
    <t>DROG3.SA,mscalc:companyName</t>
  </si>
  <si>
    <t>DROG3.SA,mscalc:factsetIdCalc</t>
  </si>
  <si>
    <t>DROG3.SA,mscalc:stockRating</t>
  </si>
  <si>
    <t>2009</t>
  </si>
  <si>
    <t>DROG3-BR</t>
  </si>
  <si>
    <t>Equal-Weight</t>
  </si>
  <si>
    <t>,mscalc:firstEstimatedYearCalc</t>
  </si>
  <si>
    <t>DROG3.SA,mstag:environmentalProvisionRecurringCashFlowStatement,2010FY,,FYR</t>
  </si>
  <si>
    <t>DROG3.SA,mstag:netIncreaseInOtherPayablesAndAccruedExpenses,2011FY,,FYR</t>
  </si>
  <si>
    <t>DROG3.SA,mstag:netIncreaseInOtherPayablesAndAccruedExpenses,2010FY,,FYR</t>
  </si>
  <si>
    <t>DROG3.SA,mstag:amortizationOfIntangiblesAssumedToHaveIndefiniteLife,2010FY,,FYR</t>
  </si>
  <si>
    <t>DROG3.SA,mstag:netDecreaseInOtherReceivables,2009FY,,FYR</t>
  </si>
  <si>
    <t>DROG3.SA,mstag:assetImpairmentNonGoodwillOneTime,2011FY,,FYR</t>
  </si>
  <si>
    <t>DROG3.SA,mstag:indefiniteLifeIntangibleImpairmentCashFlowStatement,2009FY,,FYR</t>
  </si>
  <si>
    <t>DROG3.SA,mstag:indefiniteLifeIntangibleImpairmentCashFlowStatement,2011FY,,FYR</t>
  </si>
  <si>
    <t>DROG3.SA,mstag:amortizationOfIntangiblesAssumedToHaveIndefiniteLife,2009FY,,FYR</t>
  </si>
  <si>
    <t>DROG3.SA,mstag:assetImpairmentNonGoodwillOneTime,2009FY,,FYR</t>
  </si>
  <si>
    <t>DROG3.SA,mstag:acquiredInProcessRAndD,2011FY,,FYR</t>
  </si>
  <si>
    <t>INCC</t>
  </si>
  <si>
    <t>DROG3.SA,mstag:gainsLossesFromSaleOfOperatingAssetsRecurring,2009FY,,FYR</t>
  </si>
  <si>
    <t>DROG3.SA,mstag:gainsLossesFromDivestituresOfEquityMethodInvestmentsOperatingOneTimeCashFlow,2010FY,,FYR</t>
  </si>
  <si>
    <t>DROG3.SA,mstag:depletion,2011FY,,FYR</t>
  </si>
  <si>
    <t>DROG3.SA,mstag:depreciation,2011FY,,FYR</t>
  </si>
  <si>
    <t>DROG3.SA,mstag:depreciationRelatedToLessorFinancing,2010FY,,FYR</t>
  </si>
  <si>
    <t>DROG3.SA,mstag:environmentalProvisionRecurringCashFlowStatement,2011FY,,FYR</t>
  </si>
  <si>
    <t>DROG3.SA,mstag:depreciationRelatedToLessorFinancing,2011FY,,FYR</t>
  </si>
  <si>
    <t>DROG3.SA,mstag:restructuringCostsRecurringCashFlowStatement,2009FY,,FYR</t>
  </si>
  <si>
    <t>DROG3.SA,mstag:explorationWriteOffCashFlowStatement,2010FY,,FYR</t>
  </si>
  <si>
    <t>DROG3.SA,mstag:explorationWriteOffCashFlowStatement,2011FY,,FYR</t>
  </si>
  <si>
    <t>DROG3.SA,mstag:goodwillImpairmentCashFlowStatement,2009FY,,FYR</t>
  </si>
  <si>
    <t>DROG3.SA,mstag:incomeLossFromEquityinvestmentsNetOfDividendsReceivedOperating,2010FY,,FYR</t>
  </si>
  <si>
    <t>DROG3.SA,mstag:acquiredInProcessRAndD,2010FY,,FYR</t>
  </si>
  <si>
    <t>DROG3.SA,mstag:indefiniteLifeIntangibleImpairmentCashFlowStatement,2010FY,,FYR</t>
  </si>
  <si>
    <t>DROG3.SA,mstag:explorationWriteOffCashFlowStatement,2009FY,,FYR</t>
  </si>
  <si>
    <t>DROG3.SA,mstag:netIncreaseInDeferredRevenue,2010FY,,FYR</t>
  </si>
  <si>
    <t>DROG3.SA,mstag:legalProvisionOneTimeCashFlowStatement,2011FY,,FYR</t>
  </si>
  <si>
    <t>DROG3.SA,mstag:legalProvisionOneTimeCashFlowStatement,2009FY,,FYR</t>
  </si>
  <si>
    <t>DROG3.SA,mstag:revaluationSurplusCashFlowStatement,2009FY,,FYR</t>
  </si>
  <si>
    <t>DROG3.SA,mstag:depletion,2010FY,,FYR</t>
  </si>
  <si>
    <t>DROG3.SA,mstag:incomeLossFromEquityinvestmentsNetOfDividendsReceivedOperating,2009FY,,FYR</t>
  </si>
  <si>
    <t>DROG3.SA,mstag:netIncreaseInTradeAndOtherPayables,2011FY,,FYR</t>
  </si>
  <si>
    <t>DROG3.SA,mstag:netIncreaseInTradeAndOtherPayables,2010FY,,FYR</t>
  </si>
  <si>
    <t>DROG3.SA,mstag:environmentalProvisionOneTimeCashFlowStatement,2011FY,,FYR</t>
  </si>
  <si>
    <t>DROG3.SA,mstag:netIncreaseInBillingsInExcessOfCost,2009FY,,FYR</t>
  </si>
  <si>
    <t>DROG3.SA,mstag:amortizationOfOtherIntangibles,2009FY,,FYR</t>
  </si>
  <si>
    <t>DROG3.SA,mstag:revaluationSurplusCashFlowStatement,2010FY,,FYR</t>
  </si>
  <si>
    <t>DROG3.SA,mstag:netIncreaseInOtherPayablesAndAccruedExpenses,2009FY,,FYR</t>
  </si>
  <si>
    <t>DROG3.SA,mstag:depletion,2009FY,,FYR</t>
  </si>
  <si>
    <t>DROG3.SA,mstag:depreciation,2009FY,,FYR</t>
  </si>
  <si>
    <t>DROG3.SA,mstag:revaluationSurplusOneTimeCashFlowStatement,2009FY,,FYR</t>
  </si>
  <si>
    <t>DROG3.SA,mstag:restructuringCostsOneTimeCashFlowStatement,2009FY,,FYR</t>
  </si>
  <si>
    <t>DROG3.SA,mstag:netIncreaseInAccruedExpenses,2009FY,,FYR</t>
  </si>
  <si>
    <t>DROG3.SA,mstag:goodwillImpairmentCashFlowStatement,2010FY,,FYR</t>
  </si>
  <si>
    <t>DROG3.SA,mstag:goodwillImpairmentCashFlowStatement,2011FY,,FYR</t>
  </si>
  <si>
    <t>DROG3.SA,mstag:netIncreaseInDeferredRevenue,2009FY,,FYR</t>
  </si>
  <si>
    <t>DROG3.SA,mstag:amortizationOfOtherIntangibles,2010FY,,FYR</t>
  </si>
  <si>
    <t>DROG3.SA,mstag:provisionForDoubtfulAccountsOneTimeCashFlowStatement,2010FY,,FYR</t>
  </si>
  <si>
    <t>DROG3.SA,mstag:legalProvisionRecurringCashFlowStatement,2010FY,,FYR</t>
  </si>
  <si>
    <t>DROG3.SA,mstag:environmentalProvisionOneTimeCashFlowStatement,2009FY,,FYR</t>
  </si>
  <si>
    <t>DROG3.SA,mstag:gainsLossesFromSaleOfOperatingAssetsOneTime,2009FY,,FYR</t>
  </si>
  <si>
    <t>DROG3.SA,mstag:gainsLossesFromDivestituresOfEquityMethodInvestmentsOperatingOneTimeCashFlow,2009FY,,FYR</t>
  </si>
  <si>
    <t>DROG3.SA,mstag:netIncreaseInDeferredRevenue,2011FY,,FYR</t>
  </si>
  <si>
    <t>DROG3.SA,mstag:netIncreaseInCustomerAdvancesAndDeposits,2009FY,,FYR</t>
  </si>
  <si>
    <t>DROG3.SA,mstag:gainsLossesFromDivestituresOfEquityMethodInvestmentsOperatingOneTimeCashFlow,2011FY,,FYR</t>
  </si>
  <si>
    <t>DROG3.SA,mstag:revaluationSurplusOneTimeCashFlowStatement,2010FY,,FYR</t>
  </si>
  <si>
    <t>DROG3.SA,mstag:restructuringCostsRecurringCashFlowStatement,2010FY,,FYR</t>
  </si>
  <si>
    <t>DROG3.SA,mstag:depreciation,2010FY,,FYR</t>
  </si>
  <si>
    <t>DROG3.SA,mstag:restructuringCostsRecurringCashFlowStatement,2011FY,,FYR</t>
  </si>
  <si>
    <t>DROG3.SA,mstag:otherProvisionsOneTimeCashFlowStatement,2010FY,,FYR</t>
  </si>
  <si>
    <t>DROG3.SA,mstag:netDecreaseInOtherReceivables,2010FY,,FYR</t>
  </si>
  <si>
    <t>DROG3.SA,mstag:legalProvisionRecurringCashFlowStatement,2009FY,,FYR</t>
  </si>
  <si>
    <t>DROG3.SA,mstag:provisionForDoubtfulAccountsOneTimeCashFlowStatement,2009FY,,FYR</t>
  </si>
  <si>
    <t>DROG3.SA,mstag:cashDividendsPaid,2010FY,,FYR</t>
  </si>
  <si>
    <t>DROG3.SA,mstag:netIncreaseInCustomerAdvancesAndDeposits,2010FY,,FYR</t>
  </si>
  <si>
    <t>DROG3.SA,mstag:provisionForDoubtfulAccountsOneTimeCashFlowStatement,2011FY,,FYR</t>
  </si>
  <si>
    <t>DROG3.SA,mstag:netIncreaseInCustomerAdvancesAndDeposits,2011FY,,FYR</t>
  </si>
  <si>
    <t>DROG3.SA,mstag:gainsLossesFromSaleOfOperatingAssetsRecurring,2011FY,,FYR</t>
  </si>
  <si>
    <t>DROG3.SA,mstag:provisionForDoubtfulAccountsRecurringCashFlowStatement,2010FY,,FYR</t>
  </si>
  <si>
    <t>DROG3.SA,mstag:amortizationOfPurchasedProgrammingRights,2010FY,,FYR</t>
  </si>
  <si>
    <t>DROG3.SA,mstag:environmentalProvisionRecurringCashFlowStatement,2009FY,,FYR</t>
  </si>
  <si>
    <t>DROG3.SA,mstag:gainsLossesFromSaleOfOperatingAssetsOneTime,2011FY,,FYR</t>
  </si>
  <si>
    <t>DROG3.SA,mstag:amortizationOfPurchasedProgrammingRights,2009FY,,FYR</t>
  </si>
  <si>
    <t>DROG3.SA,mstag:netDecreaseInTradeReceivables,2011FY,,FYR</t>
  </si>
  <si>
    <t>DROG3.SA,mstag:revaluationSurplusCashFlowStatement,2011FY,,FYR</t>
  </si>
  <si>
    <t>DROG3.SA,mstag:amortizationOfPurchasedProgrammingRights,2011FY,,FYR</t>
  </si>
  <si>
    <t>,mstag:depreciation,,,FYR</t>
  </si>
  <si>
    <t>DROG3.SA,mstag:netIncreaseInBillingsInExcessOfCost,2010FY,,FYR</t>
  </si>
  <si>
    <t>DROG3.SA,mstag:restructuringCostsOneTimeCashFlowStatement,2010FY,,FYR</t>
  </si>
  <si>
    <t>DROG3.SA,mstag:netIncreaseInAccruedExpenses,2010FY,,FYR</t>
  </si>
  <si>
    <t>DROG3.SA,mstag:amortizationOfOtherIntangibles,2011FY,,FYR</t>
  </si>
  <si>
    <t>DROG3.SA,mstag:incomeLossFromEquityinvestmentsNetOfDividendsReceivedOperating,2011FY,,FYR</t>
  </si>
  <si>
    <t>DROG3.SA,mstag:netDecreaseInUnbilledReceivables,2010FY,,FYR</t>
  </si>
  <si>
    <t>DROG3.SA,mstag:legalProvisionRecurringCashFlowStatement,2011FY,,FYR</t>
  </si>
  <si>
    <t>DROG3.SA,mstag:gainsLossesFromSaleOfOperatingAssetsRecurring,2010FY,,FYR</t>
  </si>
  <si>
    <t>DROG3.SA,mstag:otherProvisionsRecurringCashFlowStatement,2010FY,,FYR</t>
  </si>
  <si>
    <t>DROG3.SA,mstag:netDecreaseInTradeReceivables,2010FY,,FYR</t>
  </si>
  <si>
    <t>DROG3.SA,mstag:acquiredInProcessRAndD,2009FY,,FYR</t>
  </si>
  <si>
    <t>DROG3.SA,mstag:legalProvisionOneTimeCashFlowStatement,2010FY,,FYR</t>
  </si>
  <si>
    <t>DROG3.SA,mstag:netDecreaseInPrepaidExpenses,2011FY,,FYR</t>
  </si>
  <si>
    <t>DROG3.SA,mstag:netDecreaseInUnbilledReceivables,2009FY,,FYR</t>
  </si>
  <si>
    <t>DROG3.SA,mstag:netIncreaseInTradeAndOtherPayables,2009FY,,FYR</t>
  </si>
  <si>
    <t>DROG3.SA,mstag:revaluationSurplusOneTimeCashFlowStatement,2011FY,,FYR</t>
  </si>
  <si>
    <t>DROG3.SA,mstag:netDecreaseInTradeReceivables,2009FY,,FYR</t>
  </si>
  <si>
    <t>DROG3.SA,mstag:otherProvisionsOneTimeCashFlowStatement,2009FY,,FYR</t>
  </si>
  <si>
    <t>DROG3.SA,mstag:provisionForDoubtfulAccountsRecurringCashFlowStatement,2011FY,,FYR</t>
  </si>
  <si>
    <t>DROG3.SA,mstag:netIncreaseInAccruedExpenses,2011FY,,FYR</t>
  </si>
  <si>
    <t>DROG3.SA,mstag:netIncreaseInBillingsInExcessOfCost,2011FY,,FYR</t>
  </si>
  <si>
    <t>DROG3.SA,mstag:netDecreaseInUnbilledReceivables,2011FY,,FYR</t>
  </si>
  <si>
    <t>DROG3.SA,mstag:gainsLossesFromSaleOfOperatingAssetsOneTime,2010FY,,FYR</t>
  </si>
  <si>
    <t>DROG3.SA,mstag:amortizationOfIntangiblesAssumedToHaveIndefiniteLife,2011FY,,FYR</t>
  </si>
  <si>
    <t>DROG3.SA,mstag:netDecreaseInOtherReceivables,2011FY,,FYR</t>
  </si>
  <si>
    <t>DROG3.SA,mstag:otherProvisionsOneTimeCashFlowStatement,2011FY,,FYR</t>
  </si>
  <si>
    <t>DROG3.SA,mstag:netDecreaseInPrepaidExpenses,2009FY,,FYR</t>
  </si>
  <si>
    <t>DROG3.SA,mstag:netDecreaseInPrepaidExpenses,2010FY,,FYR</t>
  </si>
  <si>
    <t>DROG3.SA,mstag:otherProvisionsRecurringCashFlowStatement,2009FY,,FYR</t>
  </si>
  <si>
    <t>DROG3.SA,mstag:assetImpairmentNonGoodwillOneTime,2010FY,,FYR</t>
  </si>
  <si>
    <t>DROG3.SA,mstag:environmentalProvisionOneTimeCashFlowStatement,2010FY,,FYR</t>
  </si>
  <si>
    <t>DROG3.SA,mstag:cashDividendsPaid,2011FY,,FYR</t>
  </si>
  <si>
    <t>DROG3.SA,mstag:depreciationRelatedToLessorFinancing,2009FY,,FYR</t>
  </si>
  <si>
    <t>DROG3.SA,mstag:depreciation,,,FYR</t>
  </si>
  <si>
    <t>DROG3.SA,mstag:cashDividendsPaid,2009FY,,FYR</t>
  </si>
  <si>
    <t>DROG3.SA,mstag:provisionForDoubtfulAccountsRecurringCashFlowStatement,2009FY,,FYR</t>
  </si>
  <si>
    <t>DROG3.SA,mstag:otherProvisionsRecurringCashFlowStatement,2011FY,,FYR</t>
  </si>
  <si>
    <t>DROG3.SA,mstag:restructuringCostsOneTimeCashFlowStatement,2011FY,,FYR</t>
  </si>
  <si>
    <t>29.5627853274384</t>
  </si>
  <si>
    <t>22.0204913047175</t>
  </si>
  <si>
    <t>0</t>
  </si>
  <si>
    <t>24.8903931697475</t>
  </si>
  <si>
    <t>12.1657143187462</t>
  </si>
  <si>
    <t>15.9041454404709</t>
  </si>
  <si>
    <t>24.5680311961029</t>
  </si>
  <si>
    <t>DROG3.SA,mstag:bonusToDirectorsAndSupervisorsTaiwanCashFlow,2011FY,,FYR</t>
  </si>
  <si>
    <t>DROG3.SA,mstag:netIncreaseInIncomeTaxPayableReceivable,2009FY,,FYR</t>
  </si>
  <si>
    <t>DROG3.SA,mstag:preferredDividendsPaid,2011FY,,FYR</t>
  </si>
  <si>
    <t>DROG3.SA,mstag:employeeCashBonusTaiwanCashFlow,2011FY,,FYR</t>
  </si>
  <si>
    <t>DROG3.SA,mstag:netDecreaseInInventories,2009FY,,FYR</t>
  </si>
  <si>
    <t>DROG3.SA,mstag:preferredDividendsPaid,2010FY,,FYR</t>
  </si>
  <si>
    <t>DROG3.SA,mstag:netIncreaseInAirTrafficLiability,2011FY,,FYR</t>
  </si>
  <si>
    <t>DROG3.SA,mstag:amortizationOfDiscountPremiumOnDebtCashFlowStatement,2010FY,,FYR</t>
  </si>
  <si>
    <t>DROG3.SA,mstag:investmentInIntangibleAssets,2010FY,,FYR</t>
  </si>
  <si>
    <t>DROG3.SA,mstag:netDecreaseInInventories,2010FY,,FYR</t>
  </si>
  <si>
    <t>DROG3.SA,mstag:deferredTax,2009FY,,FYR</t>
  </si>
  <si>
    <t>DROG3.SA,mstag:amortizationOfDiscountPremiumOnDebtCashFlowStatement,2011FY,,FYR</t>
  </si>
  <si>
    <t>DROG3.SA,mstag:otherInterestIncomeExpense,2010FY,,FYR</t>
  </si>
  <si>
    <t>DROG3.SA,mstag:investmentInIntangibleAssets,2011FY,,FYR</t>
  </si>
  <si>
    <t>DROG3.SA,mstag:interestExpense,2011FY,,FYR</t>
  </si>
  <si>
    <t>DROG3.SA,mstag:netDecreaseInInvestmentsOperating,2011FY,,FYR</t>
  </si>
  <si>
    <t>DROG3.SA,mstag:interestExpense,2010FY,,FYR</t>
  </si>
  <si>
    <t>DROG3.SA,mstag:netIncreaseInAirTrafficLiability,2010FY,,FYR</t>
  </si>
  <si>
    <t>DROG3.SA,mstag:netDecreaseInOtherAssets,2009FY,,FYR</t>
  </si>
  <si>
    <t>DROG3.SA,mstag:netIncreaseInDeferredCompensation,2011FY,,FYR</t>
  </si>
  <si>
    <t>DROG3.SA,mstag:netIncreaseInDividendsPayable,2009FY,,FYR</t>
  </si>
  <si>
    <t>DROG3.SA,mstag:otherInterestIncomeExpense,2011FY,,FYR</t>
  </si>
  <si>
    <t>DROG3.SA,mstag:netDecreaseInInvestmentsOperating,2009FY,,FYR</t>
  </si>
  <si>
    <t>DROG3.SA,mstag:employeeCashBonusTaiwanCashFlow,2010FY,,FYR</t>
  </si>
  <si>
    <t>DROG3.SA,mstag:interestExpense,2009FY,,FYR</t>
  </si>
  <si>
    <t>DROG3.SA,mstag:capitalExpenditures,2010FY,,FYR</t>
  </si>
  <si>
    <t>DROG3.SA,mstag:interestAndDividendIncome,2009FY,,FYR</t>
  </si>
  <si>
    <t>DROG3.SA,mstag:bonusToDirectorsAndSupervisorsTaiwanCashFlow,2009FY,,FYR</t>
  </si>
  <si>
    <t>DROG3.SA,mstag:netIncreaseInDividendsPayable,2011FY,,FYR</t>
  </si>
  <si>
    <t>DROG3.SA,mstag:netDecreaseInInvestmentsOperating,2010FY,,FYR</t>
  </si>
  <si>
    <t>DROG3.SA,mstag:preferredDividendsPaid,2009FY,,FYR</t>
  </si>
  <si>
    <t>DROG3.SA,mstag:netIncreaseInDividendsPayable,2010FY,,FYR</t>
  </si>
  <si>
    <t>DROG3.SA,mstag:stockBasedCompensationChargePreTax,2009FY,,FYR</t>
  </si>
  <si>
    <t>DROG3.SA,mstag:netIncreaseInDeferredCompensation,2010FY,,FYR</t>
  </si>
  <si>
    <t>DROG3.SA,mstag:stockBasedCompensationChargePreTax,2010FY,,FYR</t>
  </si>
  <si>
    <t>DROG3.SA,mstag:stockBasedCompensationChargePreTax,2011FY,,FYR</t>
  </si>
  <si>
    <t>DROG3.SA,mstag:investmentInIntangibleAssets,2009FY,,FYR</t>
  </si>
  <si>
    <t>DROG3.SA,mstag:netPensionAndOpebExpenseCashFlowStatement,2011FY,,FYR</t>
  </si>
  <si>
    <t>DROG3.SA,mstag:otherInterestIncomeExpense,2009FY,,FYR</t>
  </si>
  <si>
    <t>DROG3.SA,mstag:netIncreaseInIncomeTaxPayableReceivable,2010FY,,FYR</t>
  </si>
  <si>
    <t>DROG3.SA,mstag:netPensionAndOpebExpenseCashFlowStatement,2010FY,,FYR</t>
  </si>
  <si>
    <t>DROG3.SA,mstag:interestAndDividendIncome,2010FY,,FYR</t>
  </si>
  <si>
    <t>DROG3.SA,mstag:netDecreaseInOtherAssets,2011FY,,FYR</t>
  </si>
  <si>
    <t>DROG3.SA,mstag:amortizationOfDiscountPremiumOnDebtCashFlowStatement,2009FY,,FYR</t>
  </si>
  <si>
    <t>DROG3.SA,mstag:netIncreaseInOtherLiabilitiesOperating,2009FY,,FYR</t>
  </si>
  <si>
    <t>DROG3.SA,mstag:netDecreaseInOtherAssets,2010FY,,FYR</t>
  </si>
  <si>
    <t>DROG3.SA,mstag:netIncreaseInOtherLiabilitiesOperating,2010FY,,FYR</t>
  </si>
  <si>
    <t>DROG3.SA,mstag:deferredTax,2011FY,,FYR</t>
  </si>
  <si>
    <t>DROG3.SA,mstag:deferredTax,2010FY,,FYR</t>
  </si>
  <si>
    <t>DROG3.SA,mstag:employeeCashBonusTaiwanCashFlow,2009FY,,FYR</t>
  </si>
  <si>
    <t>DROG3.SA,mstag:netIncreaseInDeferredCompensation,2009FY,,FYR</t>
  </si>
  <si>
    <t>DROG3.SA,mstag:netIncreaseInOtherLiabilitiesOperating,2011FY,,FYR</t>
  </si>
  <si>
    <t>DROG3.SA,mstag:capitalExpenditures,2009FY,,FYR</t>
  </si>
  <si>
    <t>DROG3.SA,mstag:interestAndDividendIncome,2011FY,,FYR</t>
  </si>
  <si>
    <t>DROG3.SA,mstag:netIncreaseInAirTrafficLiability,2009FY,,FYR</t>
  </si>
  <si>
    <t>DROG3.SA,mstag:bonusToDirectorsAndSupervisorsTaiwanCashFlow,2010FY,,FYR</t>
  </si>
  <si>
    <t>DROG3.SA,mstag:netPensionAndOpebExpenseCashFlowStatement,2009FY,,FYR</t>
  </si>
  <si>
    <t>DROG3.SA,mstag:capitalExpenditures,2011FY,,FYR</t>
  </si>
  <si>
    <t>DROG3.SA,mstag:netIncreaseInIncomeTaxPayableReceivable,2011FY,,FYR</t>
  </si>
  <si>
    <t>DROG3.SA,mstag:netDecreaseInInventories,2011FY,,FYR</t>
  </si>
  <si>
    <t>(18.5669858940845)</t>
  </si>
  <si>
    <t>(18.2517389391286)</t>
  </si>
  <si>
    <t>(14.1856062095047)</t>
  </si>
  <si>
    <t>45.8558076863604</t>
  </si>
  <si>
    <t>24.5438055654875</t>
  </si>
  <si>
    <t>43.8109373019578</t>
  </si>
  <si>
    <t>DROG3.SA,mstag:contributionToPensionAndOtherPostRetirementPlanAssets,2010FY,,FYR</t>
  </si>
  <si>
    <t>DROG3.SA,mstag:contributionToPensionAndOtherPostRetirementPlanAssets,2011FY,,FYR</t>
  </si>
  <si>
    <t>DROG3.SA,mstag:proceedsFromIssuanceFundsUsedToRepurchaseCommonStock,2010FY,,FYR</t>
  </si>
  <si>
    <t>DROG3.SA,mstag:cashDividendsPaidcommon,2009FY,,FYR</t>
  </si>
  <si>
    <t>DROG3.SA,mstag:proceedsFromIssuanceFundsUsedToRepurchaseCommonStock,2011FY,,FYR</t>
  </si>
  <si>
    <t>DROG3.SA,mstag:proceedsFromIssuanceFundsUsedToRepurchaseCommonStock,2009FY,,FYR</t>
  </si>
  <si>
    <t>DROG3.SA,mstag:cashDividendsPaidcommon,2010FY,,FYR</t>
  </si>
  <si>
    <t>DROG3.SA,mstag:contributionToPensionAndOtherPostRetirementPlanAssets,2009FY,,FYR</t>
  </si>
  <si>
    <t>DROG3.SA,mstag:cashDividendsPaidcommon,2011FY,,FYR</t>
  </si>
  <si>
    <t>DROG3.SA,mscalc:dividendsPerShareCalc,2010FY,,FYR</t>
  </si>
  <si>
    <t>DROG3.SA,mstag:periodEndBasicSharesOutstanding,2006FY,,FYR</t>
  </si>
  <si>
    <t>DROG3.SA,mstag:cashAndCashEquivalents,2009FY,,FYR</t>
  </si>
  <si>
    <t>DROG3.SA,mstag:cashAndCashEquivalents,2010FY,,FYR</t>
  </si>
  <si>
    <t>DROG3.SA,mscalc:operatingAssets,2006FY,,FYR</t>
  </si>
  <si>
    <t>DROG3.SA,mstag:amortizationOfDiscountPremiumOnDebtCashFlowStatement,2008FY,,FYR</t>
  </si>
  <si>
    <t>DROG3.SA,mscalc:dividendsPerShareCalc,2007FY,,FYR</t>
  </si>
  <si>
    <t>DROG3.SA,mstag:periodEndBasicSharesOutstanding,2009FY,,FYR</t>
  </si>
  <si>
    <t>DROG3.SA,mscalc:marketCapitalization,2011FY,,FYR</t>
  </si>
  <si>
    <t>DROG3.SA,mscalc:operatingAssets,2008FY,,FYR</t>
  </si>
  <si>
    <t>DROG3.SA,mstag:interestExpense,2006FY,,FYR</t>
  </si>
  <si>
    <t>DROG3.SA,mscalc:marketCapitalization,2010FY,,FYR</t>
  </si>
  <si>
    <t>DROG3.SA,mscalc:ebitda,2008FY,,FYR</t>
  </si>
  <si>
    <t>DROG3.SA,mscalc:operatingAssets,2007FY,,FYR</t>
  </si>
  <si>
    <t>DROG3.SA,mscalc:operatingProfitMargin,2008FY,,FYR</t>
  </si>
  <si>
    <t>DROG3.SA,mscalc:DebtNet,2006FY,,FYR</t>
  </si>
  <si>
    <t>DROG3.SA,mscalc:dividendsPerShareCalc,2008FY,,FYR</t>
  </si>
  <si>
    <t>DROG3.SA,mstag:revenueNet,2007FY,,FYR</t>
  </si>
  <si>
    <t>DROG3.SA,mscalc:DebtNet,2010FY,,FYR</t>
  </si>
  <si>
    <t>DROG3.SA,mstag:interestExpense,2007FY,,FYR</t>
  </si>
  <si>
    <t>DROG3.SA,mscalc:DebtNet,2008FY,,FYR</t>
  </si>
  <si>
    <t>DROG3.SA,mscalc:DebtNet,2009FY,,FYR</t>
  </si>
  <si>
    <t>DROG3.SA,mstag:revenueNet,2010FY,,FYR</t>
  </si>
  <si>
    <t>DROG3.SA,mstag:amortizationOfDiscountPremiumOnDebtCashFlowStatement,2007FY,,FYR</t>
  </si>
  <si>
    <t>DROG3.SA,mscalc:ebitda,2007FY,,FYR</t>
  </si>
  <si>
    <t>DROG3.SA,mscalc:DebtNet,2007FY,,FYR</t>
  </si>
  <si>
    <t>DROG3.SA,mstag:interestExpense,2008FY,,FYR</t>
  </si>
  <si>
    <t>DROG3.SA,mscalc:marketCapitalization,2006FY,,FYR</t>
  </si>
  <si>
    <t>DROG3.SA,mscalc:marketCapitalization,2007FY,,FYR</t>
  </si>
  <si>
    <t>DROG3.SA,mstag:periodEndBasicSharesOutstanding,2011FY,,FYR</t>
  </si>
  <si>
    <t>DROG3.SA,mscalc:shortAndLongtermDebt,2010FY,,FYR</t>
  </si>
  <si>
    <t>DROG3.SA,mstag:revenueNet,2011FY,,FYR</t>
  </si>
  <si>
    <t>DROG3.SA,mscalc:dividendsPerShareCalc,2009FY,,FYR</t>
  </si>
  <si>
    <t>DROG3.SA,mscalc:ebitda,2006FY,,FYR</t>
  </si>
  <si>
    <t>DROG3.SA,mscalc:shortAndLongtermDebt,2006FY,,FYR</t>
  </si>
  <si>
    <t>DROG3.SA,mstag:cashAndCashEquivalents,2008FY,,FYR</t>
  </si>
  <si>
    <t>DROG3.SA,mscalc:shortAndLongtermDebt,2011FY,,FYR</t>
  </si>
  <si>
    <t>DROG3.SA,mstag:amortizationOfDiscountPremiumOnDebtCashFlowStatement,2006FY,,FYR</t>
  </si>
  <si>
    <t>DROG3.SA,mstag:revenueNet,2009FY,,FYR</t>
  </si>
  <si>
    <t>DROG3.SA,mscalc:shortAndLongtermDebt,2007FY,,FYR</t>
  </si>
  <si>
    <t>DROG3.SA,mstag:periodEndBasicSharesOutstanding,2010FY,,FYR</t>
  </si>
  <si>
    <t>DROG3.SA,mscalc:marketCapitalization,2008FY,,FYR</t>
  </si>
  <si>
    <t>DROG3.SA,mscalc:operatingProfitMargin,2006FY,,FYR</t>
  </si>
  <si>
    <t>DROG3.SA,mscalc:operatingProfitMargin,2007FY,,FYR</t>
  </si>
  <si>
    <t>DROG3.SA,mscalc:marketCapitalization,2009FY,,FYR</t>
  </si>
  <si>
    <t>DROG3.SA,mscalc:shortAndLongtermDebt,2008FY,,FYR</t>
  </si>
  <si>
    <t>DROG3.SA,mscalc:DebtNet,2011FY,,FYR</t>
  </si>
  <si>
    <t>DROG3.SA,mstag:revenueNet,2008FY,,FYR</t>
  </si>
  <si>
    <t>DROG3.SA,mscalc:shortAndLongtermDebt,2009FY,,FYR</t>
  </si>
  <si>
    <t>DROG3.SA,mstag:cashAndCashEquivalents,2006FY,,FYR</t>
  </si>
  <si>
    <t>DROG3.SA,mstag:cashAndCashEquivalents,2007FY,,FYR</t>
  </si>
  <si>
    <t>DROG3.SA,mstag:periodEndBasicSharesOutstanding,2007FY,,FYR</t>
  </si>
  <si>
    <t>DROG3.SA,mstag:cashAndCashEquivalents,2011FY,,FYR</t>
  </si>
  <si>
    <t>DROG3.SA,mscalc:dividendsPerShareCalc,2006FY,,FYR</t>
  </si>
  <si>
    <t>DROG3.SA,mscalc:dividendsPerShareCalc,2011FY,,FYR</t>
  </si>
  <si>
    <t>DROG3.SA,mstag:revenueNet,2006FY,,FYR</t>
  </si>
  <si>
    <t>DROG3.SA,mstag:periodEndBasicSharesOutstanding,2008FY,,FYR</t>
  </si>
  <si>
    <t>$IV$4</t>
  </si>
  <si>
    <t>0.212120847376853</t>
  </si>
  <si>
    <t>125.200552461665</t>
  </si>
  <si>
    <t>140.754518930768</t>
  </si>
  <si>
    <t>0.275801797387235</t>
  </si>
  <si>
    <t>62.77334</t>
  </si>
  <si>
    <t>452.547</t>
  </si>
  <si>
    <t>47.275</t>
  </si>
  <si>
    <t>277.645</t>
  </si>
  <si>
    <t>0.0227074627429262</t>
  </si>
  <si>
    <t>1.56317952812452</t>
  </si>
  <si>
    <t>833.069</t>
  </si>
  <si>
    <t>(140.754518930768)</t>
  </si>
  <si>
    <t>(7.82)</t>
  </si>
  <si>
    <t>(84.73)</t>
  </si>
  <si>
    <t>(125.200552461665)</t>
  </si>
  <si>
    <t>1,686.40413427503</t>
  </si>
  <si>
    <t>42.297</t>
  </si>
  <si>
    <t>(227.037)</t>
  </si>
  <si>
    <t>(23.532)</t>
  </si>
  <si>
    <t>784.633602920322</t>
  </si>
  <si>
    <t>2,009.91198260308</t>
  </si>
  <si>
    <t>0.156194277892665</t>
  </si>
  <si>
    <t>125.204</t>
  </si>
  <si>
    <t>1,451.10293332516</t>
  </si>
  <si>
    <t>57.951</t>
  </si>
  <si>
    <t>623.212970634054</t>
  </si>
  <si>
    <t>0.0373054332834375</t>
  </si>
  <si>
    <t>40.474</t>
  </si>
  <si>
    <t>(159.993756756751)</t>
  </si>
  <si>
    <t>1,271.168</t>
  </si>
  <si>
    <t>47.051</t>
  </si>
  <si>
    <t>284.988</t>
  </si>
  <si>
    <t>159.993756756751</t>
  </si>
  <si>
    <t>0.2657276740158</t>
  </si>
  <si>
    <t>This sheet contains Factset binary data for use with this workbook's =FDS codes.  Modifying the worksheet's contents may damage the workbook's =FDS functionality.</t>
  </si>
  <si>
    <t>EBITDA</t>
  </si>
  <si>
    <t>Variation</t>
  </si>
  <si>
    <t>IGP-M</t>
  </si>
  <si>
    <t>TJLP</t>
  </si>
  <si>
    <t>746.3750126</t>
  </si>
  <si>
    <t>BRL</t>
  </si>
  <si>
    <t>Nominal (CDI)</t>
  </si>
  <si>
    <t>,mscalc:sharePriceCurrent</t>
  </si>
  <si>
    <t>#Refresh#</t>
  </si>
  <si>
    <t>$A$45,mscalc:sharePriceCurrent</t>
  </si>
  <si>
    <t>NA</t>
  </si>
  <si>
    <t>Inflação</t>
  </si>
  <si>
    <t>Receita Financeira</t>
  </si>
  <si>
    <t>TOTAL DO ATIVO</t>
  </si>
  <si>
    <t>Passivo Circulante</t>
  </si>
  <si>
    <t>Dívida Total</t>
  </si>
  <si>
    <t>Dívida Líquida</t>
  </si>
  <si>
    <t>Margem EBITDA</t>
  </si>
  <si>
    <t>LIBOR</t>
  </si>
  <si>
    <t>IPCA</t>
  </si>
  <si>
    <t>População (milhares</t>
  </si>
  <si>
    <t>variação real</t>
  </si>
  <si>
    <t>Taxa de Juros (CDI %)</t>
  </si>
  <si>
    <t>Real (IGP-M)</t>
  </si>
  <si>
    <t>FX (R$/US$)</t>
  </si>
  <si>
    <t>final de periodo</t>
  </si>
  <si>
    <t>médio</t>
  </si>
  <si>
    <t>Lucro Líquido</t>
  </si>
  <si>
    <t>TR</t>
  </si>
  <si>
    <t>Receita Operacional Líquida</t>
  </si>
  <si>
    <t>SELIC</t>
  </si>
  <si>
    <t>Indice IGPM Médio</t>
  </si>
  <si>
    <t>Índice IPCA Final do Ano</t>
  </si>
  <si>
    <t>Índice IPCA Médio</t>
  </si>
  <si>
    <t>URTJLP - médio</t>
  </si>
  <si>
    <t>Desvalorização do Câmbio</t>
  </si>
  <si>
    <t>Taxa de Câmbio - Média</t>
  </si>
  <si>
    <t>Libor</t>
  </si>
  <si>
    <t>URTJLP (&gt;6%)</t>
  </si>
  <si>
    <t>Fornecedores</t>
  </si>
  <si>
    <t>1. PREMISSAS MACROECONOMICAS</t>
  </si>
  <si>
    <t>2. ÍNDICES TRIMESTRAIS PARA CORREÇÃO</t>
  </si>
  <si>
    <t>3. ÍNDICES MENSAIS PARA CORREÇÃO</t>
  </si>
  <si>
    <t>Taxa de Câmbio - EoP</t>
  </si>
  <si>
    <t>Índice IGPM EoP</t>
  </si>
  <si>
    <t>Índice IPCA EoP</t>
  </si>
  <si>
    <t>=&gt;</t>
  </si>
  <si>
    <t>CDI
(Nominal)</t>
  </si>
  <si>
    <t>Indice CDI
(Nominal)</t>
  </si>
  <si>
    <t>Caixa Inicial</t>
  </si>
  <si>
    <t>Caixa Final</t>
  </si>
  <si>
    <t>Ano</t>
  </si>
  <si>
    <t>Mg EBITDA</t>
  </si>
  <si>
    <t>Debentures</t>
  </si>
  <si>
    <t>Investimentos</t>
  </si>
  <si>
    <t>PIB real</t>
  </si>
  <si>
    <t>CDI real (IGP-M)</t>
  </si>
  <si>
    <t>CDI tx efetiva (nominal)</t>
  </si>
  <si>
    <t>SELIC (efetiva)</t>
  </si>
  <si>
    <t>R$/US$ EoP</t>
  </si>
  <si>
    <t>R$/US$ médio</t>
  </si>
  <si>
    <t>IGPM =&gt;</t>
  </si>
  <si>
    <t>IPCA =&gt;</t>
  </si>
  <si>
    <t>Saldo</t>
  </si>
  <si>
    <t>Juros</t>
  </si>
  <si>
    <t>Total</t>
  </si>
  <si>
    <t>Taxa</t>
  </si>
  <si>
    <t>anos</t>
  </si>
  <si>
    <t>PIB</t>
  </si>
  <si>
    <t>Crescimento real (%)</t>
  </si>
  <si>
    <t>PIB Agropecuária (% a.a.)</t>
  </si>
  <si>
    <t>PIB Industrial (% a.a.)</t>
  </si>
  <si>
    <t>PIB Serviços (% a.a.)</t>
  </si>
  <si>
    <t>PIB Consumo das famílias (% a.a.)</t>
  </si>
  <si>
    <t>PIB Index (1998 = 100)</t>
  </si>
  <si>
    <t>CDI nominal</t>
  </si>
  <si>
    <t>Variação Cambial EoP</t>
  </si>
  <si>
    <t>Saldo inicial</t>
  </si>
  <si>
    <t>Novo funding (Caixa)</t>
  </si>
  <si>
    <t>Juros apropriados (DRE)</t>
  </si>
  <si>
    <t>Juros pagos (Caixa)</t>
  </si>
  <si>
    <t>Amortização principal (Caixa)</t>
  </si>
  <si>
    <t>Saldo final (Balanço)</t>
  </si>
  <si>
    <t>Intangível</t>
  </si>
  <si>
    <t>Correção Monetária IPCA</t>
  </si>
  <si>
    <t>Juros acumulados</t>
  </si>
  <si>
    <t>Serviço da divida</t>
  </si>
  <si>
    <t>Prazo Total</t>
  </si>
  <si>
    <t>Início Amortização principal</t>
  </si>
  <si>
    <t>Prazo Amortização (anos)</t>
  </si>
  <si>
    <t>Debêntures</t>
  </si>
  <si>
    <t>Final Carência</t>
  </si>
  <si>
    <t>Spread a.a. over Indexador</t>
  </si>
  <si>
    <t>Juros Pagos</t>
  </si>
  <si>
    <t>Prestações pagas</t>
  </si>
  <si>
    <t>Prestações remanescentes</t>
  </si>
  <si>
    <t>Saldo Curto Prazo (Balanço)</t>
  </si>
  <si>
    <t>Saldo Longo Prazo (Balanço)</t>
  </si>
  <si>
    <t>Paga juros na carencia? (0=N;1=S)</t>
  </si>
  <si>
    <t>Dt desembolso</t>
  </si>
  <si>
    <t xml:space="preserve">Novo funding </t>
  </si>
  <si>
    <t>Capitaliza juros no inicio da amort? (0=N;1=S)</t>
  </si>
  <si>
    <t>Amortização principal (3=trim, 6=sem, 12 =anual)</t>
  </si>
  <si>
    <t>Saldo Devedor Base (capitalização de juros)</t>
  </si>
  <si>
    <t>Correção Monetária Acumulada Juros a Capitalizar</t>
  </si>
  <si>
    <t>Correção Monetária Acumulada</t>
  </si>
  <si>
    <t>Correção Monetária no período</t>
  </si>
  <si>
    <t>Saldo inicial (Balanço)</t>
  </si>
  <si>
    <t>Empréstimos e financiamentos</t>
  </si>
  <si>
    <t>1. RESUMO FINANCIAMENTOS</t>
  </si>
  <si>
    <t>MODELO DE DÍVIDA</t>
  </si>
  <si>
    <t>Outros</t>
  </si>
  <si>
    <t>Imobilizado</t>
  </si>
  <si>
    <t>PU:</t>
  </si>
  <si>
    <t>Duration:</t>
  </si>
  <si>
    <t>Spread:</t>
  </si>
  <si>
    <t>Prazo Médio (WAL):</t>
  </si>
  <si>
    <t>Data</t>
  </si>
  <si>
    <t>Data efetiva</t>
  </si>
  <si>
    <t>DU</t>
  </si>
  <si>
    <t>DIF DU</t>
  </si>
  <si>
    <t>% Amort</t>
  </si>
  <si>
    <t>Amortização</t>
  </si>
  <si>
    <t>CDI +</t>
  </si>
  <si>
    <t>DI Fut</t>
  </si>
  <si>
    <t>CDI (forward)</t>
  </si>
  <si>
    <t>Taxa a.d.</t>
  </si>
  <si>
    <t>VP</t>
  </si>
  <si>
    <t>Duration</t>
  </si>
  <si>
    <t>WAL (prz medio)</t>
  </si>
  <si>
    <t>Dia da Semana</t>
  </si>
  <si>
    <t>Feriado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</si>
  <si>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</si>
  <si>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</si>
  <si>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</si>
  <si>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</si>
  <si>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</si>
  <si>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</si>
  <si>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</si>
  <si>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</si>
  <si>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</si>
  <si>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</si>
  <si>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</si>
  <si>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</si>
  <si>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r>
      <t>Nossa Sr.</t>
    </r>
    <r>
      <rPr>
        <vertAlign val="superscript"/>
        <sz val="9"/>
        <color indexed="8"/>
        <rFont val="Arial"/>
        <family val="2"/>
      </rPr>
      <t>a</t>
    </r>
    <r>
      <rPr>
        <sz val="9"/>
        <color indexed="8"/>
        <rFont val="Arial"/>
        <family val="2"/>
      </rPr>
      <t xml:space="preserve"> Aparecida - Padroeira do Brasil</t>
    </r>
  </si>
  <si>
    <t>Finados</t>
  </si>
  <si>
    <t>Proclamação da República</t>
  </si>
  <si>
    <t>Natal</t>
  </si>
  <si>
    <t>domingo</t>
  </si>
  <si>
    <t>quarta-feira</t>
  </si>
  <si>
    <t>Fonte: ANDIMA</t>
  </si>
  <si>
    <t>Data Curva:</t>
  </si>
  <si>
    <t>CÁLCULO DURATION E PRAZO MÉDIO DA EMISSÃO</t>
  </si>
  <si>
    <t>Tx efetiva (DI Over):</t>
  </si>
  <si>
    <t>CDI+</t>
  </si>
  <si>
    <t>% CDI</t>
  </si>
  <si>
    <t>Indexador</t>
  </si>
  <si>
    <t>Amort =&gt;</t>
  </si>
  <si>
    <t>Custos das Transações</t>
  </si>
  <si>
    <t>Saldo Inicial</t>
  </si>
  <si>
    <t>Divida de Balanceamento (LP) tri anterior</t>
  </si>
  <si>
    <t>Delta</t>
  </si>
  <si>
    <t>Custo</t>
  </si>
  <si>
    <t xml:space="preserve">Divida de Balanceamento </t>
  </si>
  <si>
    <t>Custo ( Taxa CDI+)</t>
  </si>
  <si>
    <t>Despesa Financeira</t>
  </si>
  <si>
    <t>5. NOVOS FINANCIAMENTOS</t>
  </si>
  <si>
    <t>IPCA Index</t>
  </si>
  <si>
    <t>2º Emissão de Debêntures Simples</t>
  </si>
  <si>
    <t>1º Série (CDI+)</t>
  </si>
  <si>
    <t>2º Série (CDI+)</t>
  </si>
  <si>
    <t>IPCA médio:</t>
  </si>
  <si>
    <t>Spread (IPCA+)</t>
  </si>
  <si>
    <t>Amort.</t>
  </si>
  <si>
    <t>Indice IPCA</t>
  </si>
  <si>
    <t>WAL 
(prz medio)</t>
  </si>
  <si>
    <t>3º Série (IPCA+)</t>
  </si>
  <si>
    <t>Tx efetiva (IPCA 1 ano):</t>
  </si>
  <si>
    <t>Inflação Projetada</t>
  </si>
  <si>
    <t>Aplicações Financeiras</t>
  </si>
  <si>
    <t>Passivo Não Circulante</t>
  </si>
  <si>
    <t>PL</t>
  </si>
  <si>
    <t>Caixa</t>
  </si>
  <si>
    <t>CCR</t>
  </si>
  <si>
    <t>CEMIG</t>
  </si>
  <si>
    <t>SANEPAR</t>
  </si>
  <si>
    <t>% Margem EBITDA</t>
  </si>
  <si>
    <t>Var. % YoY</t>
  </si>
  <si>
    <t>Elasticidade-PIBx</t>
  </si>
  <si>
    <t>Lucro Líquido Ajustado</t>
  </si>
  <si>
    <t>Mg Líquida</t>
  </si>
  <si>
    <t>Dividendos Distribuidos</t>
  </si>
  <si>
    <t>Payout % (jun/dez ano seguinte)</t>
  </si>
  <si>
    <t>Patrimônio Líquido</t>
  </si>
  <si>
    <t>Payout % (dez e abr/mai ano seguinte)</t>
  </si>
  <si>
    <t>WATERPORT</t>
  </si>
  <si>
    <t>Payout % (dez)</t>
  </si>
  <si>
    <t>Participação AGPar na AG Concessões =&gt;</t>
  </si>
  <si>
    <t>DRE</t>
  </si>
  <si>
    <t> Receita de Venda de Bens e/ou Serviços </t>
  </si>
  <si>
    <t>(-) Custo dos Bens e/ou Serviços Vendidos </t>
  </si>
  <si>
    <t>(=) Resultado Bruto </t>
  </si>
  <si>
    <t>(+/-) Resultado de Equivalência Patrimonial </t>
  </si>
  <si>
    <t>(-) Despesas/Receitas Operacionais </t>
  </si>
  <si>
    <t>Despesas com Vendas </t>
  </si>
  <si>
    <t>Despesas Gerais e Administrativas </t>
  </si>
  <si>
    <t>% REP</t>
  </si>
  <si>
    <t> (+) Outras Receitas Operacionais </t>
  </si>
  <si>
    <t> (-) Outras Despesas Operacionais </t>
  </si>
  <si>
    <t>(=) EBITDA / EBIT</t>
  </si>
  <si>
    <t>(+/-) Resultado Financeiro </t>
  </si>
  <si>
    <t>Receitas Financeiras </t>
  </si>
  <si>
    <t>Despesas Financeiras </t>
  </si>
  <si>
    <t>(=) EBT</t>
  </si>
  <si>
    <t>(-) Imposto de Renda e Contribuição Social sobre o Lucro </t>
  </si>
  <si>
    <t> Corrente </t>
  </si>
  <si>
    <t> Diferido </t>
  </si>
  <si>
    <t>(=) Lucro/Prejuízo do Período </t>
  </si>
  <si>
    <t>Balanço Patrimonial</t>
  </si>
  <si>
    <t> Ativo Circulante </t>
  </si>
  <si>
    <t> Caixa e Equivalentes de Caixa </t>
  </si>
  <si>
    <t> Aplicações Financeiras </t>
  </si>
  <si>
    <t> Dividendos e juros sobre capital próprio a receber </t>
  </si>
  <si>
    <t> Ativo Não Circulante </t>
  </si>
  <si>
    <t>Outros Ativos não circulantes</t>
  </si>
  <si>
    <t> Créditos com Partes Relacionadas </t>
  </si>
  <si>
    <t>Ativo Fixo</t>
  </si>
  <si>
    <t> Passivo Circulante </t>
  </si>
  <si>
    <t> Empréstimos e Financiamentos </t>
  </si>
  <si>
    <t> Debêntures </t>
  </si>
  <si>
    <t> Dividendos e JCP a Pagar </t>
  </si>
  <si>
    <t> Passivos com Partes Relacionadas </t>
  </si>
  <si>
    <t> Passivo Não Circulante </t>
  </si>
  <si>
    <t> Patrimônio Líquido </t>
  </si>
  <si>
    <t> Ativo Total </t>
  </si>
  <si>
    <t> Outras Obrigações </t>
  </si>
  <si>
    <t> Outros </t>
  </si>
  <si>
    <t> Capital Social Realizado </t>
  </si>
  <si>
    <t> Reservas de Capital </t>
  </si>
  <si>
    <t> Reservas de Lucros </t>
  </si>
  <si>
    <t> Ajustes de Avaliação Patrimonial </t>
  </si>
  <si>
    <t> Passivo Total </t>
  </si>
  <si>
    <t>Fluxo de Caixa</t>
  </si>
  <si>
    <t>(+/-)  Variação Contas de Ativo e Passivo</t>
  </si>
  <si>
    <t>(=) Fluxo de Caixa da Atividade Operacional</t>
  </si>
  <si>
    <t>(+) Dividendos e JSCP recebidos de controladas</t>
  </si>
  <si>
    <t>(=) Fluxo de Caixa da Atividade de Investimento</t>
  </si>
  <si>
    <t>(+/-) Captação / (Amortização) de dívida</t>
  </si>
  <si>
    <t>(+/-) Variação no Capital Social Líquida</t>
  </si>
  <si>
    <t>(=) Fluxo de Caixa da Atividade de Financiamento</t>
  </si>
  <si>
    <t>(=) Fluxo de Caixa Livre</t>
  </si>
  <si>
    <t>Indicadores diversos</t>
  </si>
  <si>
    <t>NCG</t>
  </si>
  <si>
    <t>Dias de REP</t>
  </si>
  <si>
    <t>Variação na NCG</t>
  </si>
  <si>
    <t>Divida CP</t>
  </si>
  <si>
    <t>Divida LP</t>
  </si>
  <si>
    <t>Dívida Total / PL</t>
  </si>
  <si>
    <t>1º Emissão - Série Única</t>
  </si>
  <si>
    <t>1º Emissão Privada - SUDAM</t>
  </si>
  <si>
    <t>2º Emissão - 1º Série</t>
  </si>
  <si>
    <t>2º Emissão - 2º Série</t>
  </si>
  <si>
    <t>2º Emissão - 3º Série</t>
  </si>
  <si>
    <t>IPCA apropriado</t>
  </si>
  <si>
    <t>CONSOLIDADO ANUAL</t>
  </si>
  <si>
    <t>Caixa e equivalentes de caixa</t>
  </si>
  <si>
    <t>Partes relacionadas</t>
  </si>
  <si>
    <t>Impostos a recuperar</t>
  </si>
  <si>
    <t>Dividendos e juros sobre capital próprio a receber</t>
  </si>
  <si>
    <t>Despesas antecipadas</t>
  </si>
  <si>
    <t>Impostos diferidos</t>
  </si>
  <si>
    <t>Salários e obrigações sociais</t>
  </si>
  <si>
    <t>Impostos e contribuições a recolher</t>
  </si>
  <si>
    <t>Dividendos a pagar e juros sobre o capital próprio</t>
  </si>
  <si>
    <t>Capital social</t>
  </si>
  <si>
    <t>TOTAL DO PASSIVO E DO PATRIMÔNIO LÍQUIDO</t>
  </si>
  <si>
    <t> Investimentos AGC</t>
  </si>
  <si>
    <t> Investimentos MESA</t>
  </si>
  <si>
    <t>Ativo Circulante </t>
  </si>
  <si>
    <t>Ativo Não Circulante </t>
  </si>
  <si>
    <t>2. DEBENTURES</t>
  </si>
  <si>
    <t>4. AUXILIAR PARA PROJEÇÕES</t>
  </si>
  <si>
    <t> (+/-) Outros Resultados Operacionais </t>
  </si>
  <si>
    <t>% Payout</t>
  </si>
  <si>
    <t>(+) Depreciação e Amortização</t>
  </si>
  <si>
    <t>(-) Resultado de Equivalencia Patrimonial</t>
  </si>
  <si>
    <t>(=) EBITDA</t>
  </si>
  <si>
    <t>(-) Depreciação e Amortização</t>
  </si>
  <si>
    <t>% Receita Liquida+REP</t>
  </si>
  <si>
    <t>(=) EBIT</t>
  </si>
  <si>
    <t>% EBT (aliquota efetiva)</t>
  </si>
  <si>
    <t>(-) Dividendos a pagar</t>
  </si>
  <si>
    <t> Receita Líquida de Venda de Bens e/ou Serviços </t>
  </si>
  <si>
    <t>Creditos com partes relacionadas</t>
  </si>
  <si>
    <t>Reserva de Lucros - Reserva Legal</t>
  </si>
  <si>
    <t>Reserva de Lucros - Retenção de Lucros</t>
  </si>
  <si>
    <t>Ajustes de Avaliação Patrimonial e Conversão</t>
  </si>
  <si>
    <t>(-) Reserva Legal</t>
  </si>
  <si>
    <t>Mutações PL</t>
  </si>
  <si>
    <t>PP&amp;E</t>
  </si>
  <si>
    <t>(-) Depreciação período</t>
  </si>
  <si>
    <t>CAPEX</t>
  </si>
  <si>
    <t>(=) Saldo Final</t>
  </si>
  <si>
    <t>% Taxa Depreciação</t>
  </si>
  <si>
    <t>% Receita Líquida</t>
  </si>
  <si>
    <t>Receita Líquida Consolidada das Controladas</t>
  </si>
  <si>
    <t>% Receita Líquida das Controladas</t>
  </si>
  <si>
    <t>2. EMPRESTIMOS E FINANCIAMENTOS</t>
  </si>
  <si>
    <t>Banco do Brasil - Res. 2.770</t>
  </si>
  <si>
    <t>CDI%</t>
  </si>
  <si>
    <t>Banco do Brasil - NCC</t>
  </si>
  <si>
    <t>Caixa Economica Federal</t>
  </si>
  <si>
    <t>Saldo Médio</t>
  </si>
  <si>
    <t>Receita Financeiras   (% CDI)</t>
  </si>
  <si>
    <t>% Saldo Médio</t>
  </si>
  <si>
    <t>Caixa+AFI+Mútuos Inicial</t>
  </si>
  <si>
    <t>Caixa+AFI+Mútuos Final</t>
  </si>
  <si>
    <t>Dívida de Balanceamento</t>
  </si>
  <si>
    <t>Lucro Líquido Consolidado das Controladas</t>
  </si>
  <si>
    <t>Dividendos a receber AG Concessões (proporcional)</t>
  </si>
  <si>
    <t>Participação de AGC (Dividendos recebidos caixa)</t>
  </si>
  <si>
    <t>Variação PL (Resultado Equivalencia Patrimonial AGC)</t>
  </si>
  <si>
    <t>Dividendos Propostos de AGC</t>
  </si>
  <si>
    <t>OUTROS INVESTIMENTOS (Light até fev/2010)</t>
  </si>
  <si>
    <t>Dividendos Recebidos AG Concessões (Caixa)</t>
  </si>
  <si>
    <t>% do payout no período (ano 0)</t>
  </si>
  <si>
    <t>Outros Creditos</t>
  </si>
  <si>
    <t>AG Concessões</t>
  </si>
  <si>
    <t>AG Participações</t>
  </si>
  <si>
    <t>Participação AGPar na MESA =&gt;</t>
  </si>
  <si>
    <t>Lucro (Prejuízo) do Exercício</t>
  </si>
  <si>
    <t>Capital Social</t>
  </si>
  <si>
    <t>Ajustes patrimoniais reflexos</t>
  </si>
  <si>
    <t>Reserva de Lucros</t>
  </si>
  <si>
    <t>Aporte Necessário =&gt;</t>
  </si>
  <si>
    <t>Proporcional AGPar =&gt;</t>
  </si>
  <si>
    <t>Equivalencia Patrimonial (proporcional AGPar</t>
  </si>
  <si>
    <t>ICSD</t>
  </si>
  <si>
    <t>Caixa livre da atividade operacional</t>
  </si>
  <si>
    <t>Serviço da Dívida</t>
  </si>
  <si>
    <t>Ágio aumento participação AGC</t>
  </si>
  <si>
    <t>Patrimônio Líquido Proporcional</t>
  </si>
  <si>
    <t> Receita Líquida de Vendas e Serviços </t>
  </si>
  <si>
    <t>% Margem EBIT</t>
  </si>
  <si>
    <t>Variação Cambial, líquida</t>
  </si>
  <si>
    <t>Contas a Receber</t>
  </si>
  <si>
    <t>Estoques</t>
  </si>
  <si>
    <t>Fornecedores e subempreiteiros</t>
  </si>
  <si>
    <t>Dividendos e JCP a Pagar </t>
  </si>
  <si>
    <t>Passivos com Partes Relacionadas </t>
  </si>
  <si>
    <t>Outras Obrigações</t>
  </si>
  <si>
    <t>Adiantamento de clientes</t>
  </si>
  <si>
    <t>Emprestimos e Financiamentos</t>
  </si>
  <si>
    <t>Outros passivos não circulantes</t>
  </si>
  <si>
    <t>(+) Depreciação</t>
  </si>
  <si>
    <t>(-)  Equivalencia Patrimonial</t>
  </si>
  <si>
    <t>(+/-)  Variação Capital de Giro</t>
  </si>
  <si>
    <t>(+/-) Investimentos permanentes</t>
  </si>
  <si>
    <t>(+/-) Ativos fixos</t>
  </si>
  <si>
    <t>Equivalencia Patrimonial Bruta</t>
  </si>
  <si>
    <t>(+/-) Investimentos MESA</t>
  </si>
  <si>
    <t>(+/-) Investimentos AGC</t>
  </si>
  <si>
    <t>(-) Dividendos e juros sobre Capital Próprio pagos</t>
  </si>
  <si>
    <t>% Balanceamento Capital Social x Reserva de Lucros (Lei das S.A.) =&gt;</t>
  </si>
  <si>
    <t>Reservas de Lucros / Capital Social =&gt;</t>
  </si>
  <si>
    <t>(R$ milhões)</t>
  </si>
  <si>
    <t>(+/-) Ativos Fixos</t>
  </si>
  <si>
    <t>PL Holding AGC Energia S.A. =&gt;</t>
  </si>
  <si>
    <t>Ratio ajuste para Equivalencia AGC Energia S.A. =&gt;</t>
  </si>
  <si>
    <t>Dividendos Recebidos Investidas/Controladas</t>
  </si>
  <si>
    <t>Dividendos Pagos</t>
  </si>
  <si>
    <t>% Repasse de Dividendos (Investidas =&gt; AG Par)</t>
  </si>
  <si>
    <t>(Antes da Venda de Quiport e Aeris)</t>
  </si>
  <si>
    <t>Elasticidade-PIB</t>
  </si>
  <si>
    <t>Dívida em Moeda Nacional</t>
  </si>
  <si>
    <t>Adição</t>
  </si>
  <si>
    <t>Juros no Período</t>
  </si>
  <si>
    <t>Saldo Final</t>
  </si>
  <si>
    <t>Custo médio da Dívida</t>
  </si>
  <si>
    <t>Capital de Giro</t>
  </si>
  <si>
    <t>Financiamento de Ativo Fixo</t>
  </si>
  <si>
    <t>Taxa média</t>
  </si>
  <si>
    <t>TJLP (6%)+3,9%</t>
  </si>
  <si>
    <t>CDC+10,44%</t>
  </si>
  <si>
    <t>TJLP (6%)+2,22%</t>
  </si>
  <si>
    <t>Custo 2011</t>
  </si>
  <si>
    <t>~84% CDI</t>
  </si>
  <si>
    <t>Dívida em Moeda Estrangeira</t>
  </si>
  <si>
    <t>IENE+1,78%</t>
  </si>
  <si>
    <t>US$+2,84%</t>
  </si>
  <si>
    <t>US$+LIBOR+3,75%</t>
  </si>
  <si>
    <t>UMBNDES+2,42%</t>
  </si>
  <si>
    <t>MODELAGEM AG Concessões e AG Par (Controladoras)</t>
  </si>
  <si>
    <t>1. ESTRUTURA ACIONÁRIA AG CONCESSÕES (Controladora)</t>
  </si>
  <si>
    <t>3. PROJEÇÕES AG PARTICIPAÇÕES (Controladora)</t>
  </si>
  <si>
    <t>2. PROJEÇÕES AG CONCESSÕES (Controladora)</t>
  </si>
  <si>
    <t>US$+LIBOR+1,6%</t>
  </si>
  <si>
    <t>JPY/USD</t>
  </si>
  <si>
    <t>JPY/R$</t>
  </si>
  <si>
    <t>LIBOR (US$)</t>
  </si>
  <si>
    <t>Taxa ponderada 2011</t>
  </si>
  <si>
    <t>Variação Cambial</t>
  </si>
  <si>
    <t>Variação Cambial média</t>
  </si>
  <si>
    <t>Fator sobre VC US$/R$</t>
  </si>
  <si>
    <t>% VC média</t>
  </si>
  <si>
    <t>Valor R$ 2011</t>
  </si>
  <si>
    <t>Saldo Inicial Caixa e Aplicações Financeiras</t>
  </si>
  <si>
    <t>Receita financeira no período</t>
  </si>
  <si>
    <t>Saldo Bruto</t>
  </si>
  <si>
    <t>Depreciação acumulada</t>
  </si>
  <si>
    <t>Dias de Receita Liquida</t>
  </si>
  <si>
    <t>Dias de CSV</t>
  </si>
  <si>
    <t>% EBT</t>
  </si>
  <si>
    <t>(-) (Despesas)/Receitas Operacionais (ex equiv. Patr)</t>
  </si>
  <si>
    <t>(+/-) Resultado de Equivalência Patrimonial</t>
  </si>
  <si>
    <t>Caixa e Aplicações Financeiras</t>
  </si>
  <si>
    <t>(-) Dividendos e JCP pagos</t>
  </si>
  <si>
    <t>MODELAGEM ConAG (Consolidado)</t>
  </si>
  <si>
    <t>Dívida Líquida / EBITDA</t>
  </si>
  <si>
    <t>EBITDA / Despesas Financeiras Líquidas</t>
  </si>
  <si>
    <t>CEMIG (via AGC Energias)</t>
  </si>
  <si>
    <t>Resultado Líquido AGC</t>
  </si>
  <si>
    <t>Var. YoY%</t>
  </si>
  <si>
    <t>(-) Resultado de Equivalência Patrimonial na AGPar</t>
  </si>
  <si>
    <t>(=) Resultado Líquido AGPar</t>
  </si>
  <si>
    <t>% Payout (Lucro Líq. Ajustado)</t>
  </si>
  <si>
    <t>(=) FCF operacional após Atividades de Investimento</t>
  </si>
  <si>
    <t>Dividendos Pagos pela AGC</t>
  </si>
  <si>
    <t>Caixa + Aplicações Financeiras</t>
  </si>
  <si>
    <t>Investimentos Permanentes</t>
  </si>
  <si>
    <t>CENÁRIO BASE</t>
  </si>
  <si>
    <t>Total Dividendos Recebidos pela AGC (Caixa)</t>
  </si>
  <si>
    <t>Resultado de Equivalência Patrimonial na AGC</t>
  </si>
  <si>
    <t>Dividendos Recebidos pela AGC (proporcionais a participação)</t>
  </si>
  <si>
    <t>Serviço da Dívida (Juros + Amort. principal)</t>
  </si>
  <si>
    <t>ICSD (FCF Ops. após Ativ. Invest./Serviço da Dívida)</t>
  </si>
  <si>
    <t>Construtora AG</t>
  </si>
  <si>
    <t>Receita Líquida de Vendas e Serviços </t>
  </si>
  <si>
    <t>(=) Resultado Líquido</t>
  </si>
  <si>
    <t>Ativos Totais</t>
  </si>
  <si>
    <t>Dívida Balanceamento</t>
  </si>
  <si>
    <t>COMBINADO AGPar + ConsAG</t>
  </si>
  <si>
    <t>Índice de Cobertura do Serviço da Dívida (ICSD)</t>
  </si>
  <si>
    <t>(A) FCFO após Ativ. Invest. + Caixa Inicial</t>
  </si>
  <si>
    <t>(B) Serviço da Dívida (Juros + Amort. principal)</t>
  </si>
  <si>
    <t>ICSD (A/B)</t>
  </si>
  <si>
    <t>Fonte: Departamento de Pesquisa Macroeconômica do Santander (Brasil) S.A.</t>
  </si>
  <si>
    <t>Atualização:</t>
  </si>
  <si>
    <t>LEGENDA:</t>
  </si>
  <si>
    <t>Dados Realizados Inputados</t>
  </si>
  <si>
    <t>VICTOR LOPES SCHMUTZLER</t>
  </si>
  <si>
    <t>Dados Realizados Calculados</t>
  </si>
  <si>
    <t>+55 (11) 3553-2529</t>
  </si>
  <si>
    <t>Dados Projetados Inputados</t>
  </si>
  <si>
    <t>Dados Projetados Calculados</t>
  </si>
  <si>
    <t>RESUMO RESULTADOS DA MODELAGEM</t>
  </si>
</sst>
</file>

<file path=xl/styles.xml><?xml version="1.0" encoding="utf-8"?>
<styleSheet xmlns="http://schemas.openxmlformats.org/spreadsheetml/2006/main">
  <numFmts count="132">
    <numFmt numFmtId="41" formatCode="_(* #,##0_);_(* \(#,##0\);_(* &quot;-&quot;_);_(@_)"/>
    <numFmt numFmtId="43" formatCode="_(* #,##0.00_);_(* \(#,##0.00\);_(* &quot;-&quot;??_);_(@_)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&quot;$&quot;* #,##0.00_);_(&quot;$&quot;* \(#,##0.00\);_(&quot;$&quot;* &quot;-&quot;??_);_(@_)"/>
    <numFmt numFmtId="170" formatCode="_(* #,##0_);_(* \(#,##0\);_(* &quot;-&quot;??_);_(@_)"/>
    <numFmt numFmtId="171" formatCode="0.0%"/>
    <numFmt numFmtId="172" formatCode="_(* #,##0.0_);_(* \(#,##0.0\);_(* &quot;-&quot;??_);_(@_)"/>
    <numFmt numFmtId="173" formatCode="#,##0.0_);\(#,##0.0\)"/>
    <numFmt numFmtId="174" formatCode="_(* #,##0.000_);_(* \(#,##0.000\);_(* &quot;-&quot;??_);_(@_)"/>
    <numFmt numFmtId="175" formatCode="0.0"/>
    <numFmt numFmtId="176" formatCode="#,##0.000_);\(#,##0.000\)"/>
    <numFmt numFmtId="177" formatCode="0.00_)"/>
    <numFmt numFmtId="178" formatCode="0_)"/>
    <numFmt numFmtId="179" formatCode="_(* #,##0.0_);_(* \(#,##0.0\);_(* &quot;-&quot;?_);_(@_)"/>
    <numFmt numFmtId="180" formatCode="_(* #,##0.0000_);_(* \(#,##0.0000\);_(* &quot;-&quot;??_);_(@_)"/>
    <numFmt numFmtId="181" formatCode="0.000%"/>
    <numFmt numFmtId="182" formatCode="&quot;$&quot;#,##0"/>
    <numFmt numFmtId="183" formatCode="0.000_)"/>
    <numFmt numFmtId="184" formatCode="_ * #,##0.00_ ;_ * \-#,##0.00_ ;_ * &quot;-&quot;??_ ;_ @_ "/>
    <numFmt numFmtId="185" formatCode="_-* #,##0.00_-;\-* #,##0.00_-;_-* &quot;-&quot;??_-;_-@_-"/>
    <numFmt numFmtId="186" formatCode="[$-416]mmm\-yy;@"/>
    <numFmt numFmtId="187" formatCode="0.0\x"/>
    <numFmt numFmtId="188" formatCode="#,##0.0"/>
    <numFmt numFmtId="189" formatCode="&quot;$&quot;#,##0.000_);[Red]\(&quot;$&quot;#,##0.000\)"/>
    <numFmt numFmtId="190" formatCode="#,##0.000000_);\(#,##0.000000\)"/>
    <numFmt numFmtId="191" formatCode="General_)"/>
    <numFmt numFmtId="192" formatCode="&quot;$&quot;#,##0.0_);[Red]\(&quot;$&quot;#,##0.0\)"/>
    <numFmt numFmtId="193" formatCode="0.000000"/>
    <numFmt numFmtId="194" formatCode="#,##0.0_);[Red]\(#,##0.0\)"/>
    <numFmt numFmtId="195" formatCode="_-&quot;£&quot;* #,##0_-;\-&quot;£&quot;* #,##0_-;_-&quot;£&quot;* &quot;-&quot;_-;_-@_-"/>
    <numFmt numFmtId="196" formatCode="0.0\ &quot;x&quot;"/>
    <numFmt numFmtId="197" formatCode="&quot;$&quot;#,##0.0_);\(&quot;$&quot;#,##0.0\)"/>
    <numFmt numFmtId="198" formatCode="0.0_ &quot;  &quot;"/>
    <numFmt numFmtId="199" formatCode="#,##0.000_);[Red]\(#,##0.000\)"/>
    <numFmt numFmtId="200" formatCode="&quot;$&quot;#,##0.000_);\(&quot;$&quot;#,##0.000\)"/>
    <numFmt numFmtId="201" formatCode="0.0%;\(0.0%\)"/>
    <numFmt numFmtId="202" formatCode="&quot;$&quot;General"/>
    <numFmt numFmtId="203" formatCode="0.0%_%;\(0.0%\)_%"/>
    <numFmt numFmtId="204" formatCode="#,##0.0\%_);\(#,##0.0\%\);#,##0.0\%_);@_)"/>
    <numFmt numFmtId="205" formatCode="\£#,##0_);\(\£#,##0\)"/>
    <numFmt numFmtId="206" formatCode="\¥#,##0_);\(\¥#,##0\)"/>
    <numFmt numFmtId="207" formatCode="\£#,##0.00_);[Red]\(\£#,##0.00\)"/>
    <numFmt numFmtId="208" formatCode="&quot;$&quot;#,##0.000"/>
    <numFmt numFmtId="209" formatCode="m\-d\-yy"/>
    <numFmt numFmtId="210" formatCode="00"/>
    <numFmt numFmtId="211" formatCode="#,##0.000%;\-#,##0.000%;\-\%"/>
    <numFmt numFmtId="212" formatCode="#,##0.000;\-#,##0.000;\-\ "/>
    <numFmt numFmtId="213" formatCode="_ &quot;S/&quot;* #,##0_ ;_ &quot;S/&quot;* \-#,##0_ ;_ &quot;S/&quot;* &quot;-&quot;_ ;_ @_ "/>
    <numFmt numFmtId="214" formatCode="_ * #,##0_ ;_ * \-#,##0_ ;_ * &quot;-&quot;_ ;_ @_ "/>
    <numFmt numFmtId="215" formatCode="_ &quot;S/&quot;* #,##0.00_ ;_ &quot;S/&quot;* \-#,##0.00_ ;_ &quot;S/&quot;* &quot;-&quot;??_ ;_ @_ "/>
    <numFmt numFmtId="216" formatCode="mmm\-yyyy"/>
    <numFmt numFmtId="217" formatCode="&quot;$&quot;#,##0.0;\(&quot;$&quot;#,##0.0\)"/>
    <numFmt numFmtId="218" formatCode="&quot;$&quot;#,##0.0\ \ ;&quot;$&quot;\(#,##0.0\)\ ;&quot;$&quot;&quot; - &quot;\ \ \ \ ;@_)"/>
    <numFmt numFmtId="219" formatCode="#,##0.0000_);[Red]\(#,##0.0000\)"/>
    <numFmt numFmtId="220" formatCode="\£\ #,##0_);[Red]\(\£\ #,##0\)"/>
    <numFmt numFmtId="221" formatCode="\¥\ #,##0_);[Red]\(\¥\ #,##0\)"/>
    <numFmt numFmtId="222" formatCode="_(* #,##0.0_);_(* \(#,##0.0\);_(* &quot;--- &quot;_)"/>
    <numFmt numFmtId="223" formatCode="#,##0_);[Red]\(#,##0\);&quot;-  &quot;"/>
    <numFmt numFmtId="224" formatCode="&quot;$&quot;\ #,##0.000\ \ \ \ ;&quot;$&quot;\ \(#,##0.000\)\ \ \ ;&quot;$&quot;\ &quot;-&quot;\ \ \ \ ;@_)"/>
    <numFmt numFmtId="225" formatCode="#,##0\ \b\p;\(#,##0\)\b\p;0\ \ \ "/>
    <numFmt numFmtId="226" formatCode="\•\ \ @"/>
    <numFmt numFmtId="227" formatCode="#,##0.00000;[Red]\(#,##0.00000\)"/>
    <numFmt numFmtId="228" formatCode="\ \ _•\–\ \ \ \ @"/>
    <numFmt numFmtId="229" formatCode="#,##0.0;\(###0.0\)"/>
    <numFmt numFmtId="230" formatCode="#,##0.0\ \ \ ;\(#,##0.0\)\ \ \ ;&quot;-     &quot;_)"/>
    <numFmt numFmtId="231" formatCode="#,##0.0\ \ ;\(#,##0.0\)\ ;&quot;-  &quot;"/>
    <numFmt numFmtId="232" formatCode="#,##0.0\ \ \ \ ;\(#,##0.0\)\ \ \ ;&quot;-    &quot;"/>
    <numFmt numFmtId="233" formatCode="&quot;$&quot;#,##0.00\ \ \ ;\(&quot;$&quot;#,##0.00\)\ \ ;&quot;$&quot;0.00\ \ \ "/>
    <numFmt numFmtId="234" formatCode="&quot;$&quot;#,##0.000000_);\(&quot;$&quot;#,##0.000000\)"/>
    <numFmt numFmtId="235" formatCode="&quot;$&quot;#,##0.00000_);[Red]\(&quot;$&quot;#,##0.00000\)"/>
    <numFmt numFmtId="236" formatCode="&quot;\&quot;#,##0;[Red]&quot;\&quot;\-#,##0"/>
    <numFmt numFmtId="237" formatCode="#,##0.00_)"/>
    <numFmt numFmtId="238" formatCode="&quot;$&quot;\ #,##0.0000"/>
    <numFmt numFmtId="239" formatCode="#,##0.0\ \ \ ;\(#,##0.0\)\ \ ;0\ \ \ "/>
    <numFmt numFmtId="240" formatCode="_ #,###_-;\(#,##0\);_-* &quot;–&quot;?;_-@_-"/>
    <numFmt numFmtId="241" formatCode="_ #,###_-;\-\(#,##0\)\-;_-* &quot;0,000&quot;?;_-@_-"/>
    <numFmt numFmtId="242" formatCode="_ #,###.0_-;\(#,###.0\);_-* &quot;–&quot;?;_-@_-"/>
    <numFmt numFmtId="243" formatCode="0.0\ %;\ \(0.0\)%;\ 0\ %"/>
    <numFmt numFmtId="244" formatCode="0.0\ %"/>
    <numFmt numFmtId="245" formatCode="0\ \ \ %;\(0\)\ \ \ %;0\ \ \ %"/>
    <numFmt numFmtId="246" formatCode="0.0\p\p;\(0.0\)\p\p;0.0\p\p"/>
    <numFmt numFmtId="247" formatCode="0.00000000000000000%"/>
    <numFmt numFmtId="248" formatCode="###0.0;[Red]\-###0.0"/>
    <numFmt numFmtId="249" formatCode="#,##0.00_)\ \x;\(#,##0.00\)\ \x"/>
    <numFmt numFmtId="250" formatCode="#,##0.0;\(#,##0.0\)"/>
    <numFmt numFmtId="251" formatCode="0\ \ \ "/>
    <numFmt numFmtId="252" formatCode="0.00\ "/>
    <numFmt numFmtId="253" formatCode="_(&quot;$&quot;* #,##0_);_(&quot;$&quot;* \(#,##0\);_(&quot;$&quot;* &quot;-&quot;??_);_(@_)"/>
    <numFmt numFmtId="254" formatCode="_(&quot;$&quot;* #,##0.000_);_(&quot;$&quot;* \(#,##0.000\);_(&quot;$&quot;* &quot;-&quot;??_);_(@_)"/>
    <numFmt numFmtId="255" formatCode="#,##0.0%;[Red]\(#,##0.0%\)"/>
    <numFmt numFmtId="256" formatCode="0.00%_);[Red]\(0.00%\)"/>
    <numFmt numFmtId="257" formatCode="0.00%;[Red]\(0.00%\)"/>
    <numFmt numFmtId="258" formatCode="&quot;$&quot;#,##0.00;\(&quot;$&quot;#,##0.00\)"/>
    <numFmt numFmtId="259" formatCode="yyyy"/>
    <numFmt numFmtId="260" formatCode="0%;[Red]\(0%\)"/>
    <numFmt numFmtId="261" formatCode="0.0%_);[Red]\(0.0%\)"/>
    <numFmt numFmtId="262" formatCode="_(&quot;R$&quot;* #,##0_);_(&quot;R$&quot;* \(#,##0\);_(&quot;R$&quot;* &quot;-&quot;_);_(@_)"/>
    <numFmt numFmtId="263" formatCode="_(&quot;R$&quot;* #,##0.00_);_(&quot;R$&quot;* \(#,##0.00\);_(&quot;R$&quot;* &quot;-&quot;??_);_(@_)"/>
    <numFmt numFmtId="264" formatCode="_([$€-2]* #,##0.00_);_([$€-2]* \(#,##0.00\);_([$€-2]* &quot;-&quot;??_)"/>
    <numFmt numFmtId="265" formatCode="#,##0.0000"/>
    <numFmt numFmtId="266" formatCode="0.0000"/>
    <numFmt numFmtId="267" formatCode="0.00\x"/>
    <numFmt numFmtId="268" formatCode="0.00000"/>
    <numFmt numFmtId="269" formatCode="0.0000%"/>
    <numFmt numFmtId="270" formatCode="_(* #,##0_);_(* \(#,##0\);_(* 0_);_(@_)"/>
    <numFmt numFmtId="271" formatCode="0.0_)\%;\(0.0\)\%;0.0_)\%;@_)_%"/>
    <numFmt numFmtId="272" formatCode="#,##0.0_)_%;\(#,##0.0\)_%;0.0_)_%;@_)_%"/>
    <numFmt numFmtId="273" formatCode="#,##0.0_);\(#,##0.0\);#,##0.0_);@_)"/>
    <numFmt numFmtId="274" formatCode="#,##0.000"/>
    <numFmt numFmtId="275" formatCode="&quot;£&quot;_(#,##0.00_);&quot;£&quot;\(#,##0.00\);&quot;£&quot;_(0.00_);@_)"/>
    <numFmt numFmtId="276" formatCode="&quot;$&quot;_(#,##0.00_);&quot;$&quot;\(#,##0.00\);&quot;$&quot;_(0.00_);@_)"/>
    <numFmt numFmtId="277" formatCode="\€_(#,##0.00_);\€\(#,##0.00\);\€_(0.00_);@_)"/>
    <numFmt numFmtId="278" formatCode="_(* #,##0.000000000_);_(* \(#,##0.000000000\);_(* &quot;-&quot;??_);_(@_)"/>
    <numFmt numFmtId="279" formatCode="#,##0.0_)\x;\(#,##0.0\)\x;0.0_)\x;@_)_x"/>
    <numFmt numFmtId="280" formatCode="#,##0_)_x;\(#,##0\)_x;0_)_x;@_)_x"/>
    <numFmt numFmtId="281" formatCode="#,##0.0_)_x;\(#,##0.0\)_x;0.0_)_x;@_)_x"/>
    <numFmt numFmtId="282" formatCode="#,##0_);\(#,##0\);\-_)"/>
    <numFmt numFmtId="283" formatCode="_([$€]* #,##0.00_);_([$€]* \(#,##0.00\);_([$€]* &quot;-&quot;??_);_(@_)"/>
    <numFmt numFmtId="284" formatCode="_(#,##0_);\(#,##0\)"/>
    <numFmt numFmtId="285" formatCode="#,##0;[Red]#,##0"/>
    <numFmt numFmtId="286" formatCode="#,##0;\(0,000\)"/>
    <numFmt numFmtId="287" formatCode="_(#,##0_);_(\(#,##0\)"/>
    <numFmt numFmtId="288" formatCode="_(* #,##0.000000_);_(* \(#,##0.000000\);_(* &quot;-&quot;?_);_(@_)"/>
    <numFmt numFmtId="289" formatCode="[$-416]dd\-mmm\-yy;@"/>
    <numFmt numFmtId="290" formatCode="_(* #,##0.000000_);_(* \(#,##0.000000\);_(* &quot;-&quot;??_);_(@_)"/>
    <numFmt numFmtId="291" formatCode="0.000"/>
    <numFmt numFmtId="292" formatCode="#,##0.0000_);\(#,##0.0000\)"/>
    <numFmt numFmtId="293" formatCode="0&quot;(E)&quot;"/>
  </numFmts>
  <fonts count="28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Helv"/>
      <family val="2"/>
    </font>
    <font>
      <sz val="10"/>
      <name val="MS Sans Serif"/>
      <family val="2"/>
    </font>
    <font>
      <b/>
      <sz val="10"/>
      <name val="Arial"/>
      <family val="2"/>
    </font>
    <font>
      <sz val="10"/>
      <name val="Courier"/>
      <family val="3"/>
    </font>
    <font>
      <sz val="10"/>
      <color indexed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 val="singleAccounting"/>
      <sz val="10"/>
      <name val="Arial"/>
      <family val="2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12"/>
      <name val="Arial"/>
      <family val="2"/>
    </font>
    <font>
      <sz val="9"/>
      <name val="Times New Roman"/>
      <family val="1"/>
    </font>
    <font>
      <i/>
      <sz val="10"/>
      <name val="Arial"/>
      <family val="2"/>
    </font>
    <font>
      <sz val="10"/>
      <color indexed="8"/>
      <name val="Times New Roman"/>
      <family val="1"/>
    </font>
    <font>
      <b/>
      <sz val="11"/>
      <name val="Arial"/>
      <family val="2"/>
    </font>
    <font>
      <sz val="8"/>
      <name val="Frutiger 55"/>
      <family val="2"/>
    </font>
    <font>
      <b/>
      <sz val="10"/>
      <color indexed="9"/>
      <name val="Arial"/>
      <family val="2"/>
    </font>
    <font>
      <sz val="10"/>
      <color indexed="10"/>
      <name val="Wingdings"/>
      <charset val="2"/>
    </font>
    <font>
      <sz val="10"/>
      <name val="Optane"/>
    </font>
    <font>
      <sz val="10"/>
      <color indexed="62"/>
      <name val="Optane"/>
    </font>
    <font>
      <i/>
      <sz val="8"/>
      <name val="Times New Roman"/>
      <family val="1"/>
    </font>
    <font>
      <sz val="10"/>
      <name val="Geneva"/>
    </font>
    <font>
      <sz val="10"/>
      <name val="Arial Greek"/>
      <charset val="161"/>
    </font>
    <font>
      <sz val="8"/>
      <color indexed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color indexed="12"/>
      <name val="Arial"/>
      <family val="2"/>
    </font>
    <font>
      <b/>
      <sz val="12"/>
      <name val="Arial"/>
      <family val="2"/>
    </font>
    <font>
      <sz val="8"/>
      <name val="Tms Rmn"/>
    </font>
    <font>
      <sz val="8"/>
      <name val="GS TheSans"/>
      <family val="2"/>
    </font>
    <font>
      <b/>
      <sz val="8"/>
      <name val="GS TheSans"/>
      <family val="2"/>
    </font>
    <font>
      <sz val="14"/>
      <name val="Terminal"/>
      <family val="3"/>
      <charset val="255"/>
    </font>
    <font>
      <sz val="11"/>
      <name val="??"/>
      <family val="1"/>
    </font>
    <font>
      <u/>
      <sz val="8.4"/>
      <color indexed="12"/>
      <name val="Arial"/>
      <family val="2"/>
    </font>
    <font>
      <sz val="10"/>
      <name val="Helv"/>
    </font>
    <font>
      <sz val="10"/>
      <name val="Helv"/>
      <charset val="204"/>
    </font>
    <font>
      <sz val="10"/>
      <name val="Courier"/>
      <family val="3"/>
    </font>
    <font>
      <sz val="12"/>
      <name val="Times New Roman"/>
      <family val="1"/>
    </font>
    <font>
      <sz val="10"/>
      <name val="Times New Roman"/>
      <family val="1"/>
    </font>
    <font>
      <sz val="11"/>
      <name val="‚l‚r ƒSƒVƒbƒN"/>
      <charset val="128"/>
    </font>
    <font>
      <sz val="10"/>
      <name val="MS Sans Serif"/>
      <family val="2"/>
    </font>
    <font>
      <sz val="11"/>
      <color indexed="8"/>
      <name val="Calibri"/>
      <family val="2"/>
    </font>
    <font>
      <sz val="7"/>
      <name val="Helvetica"/>
    </font>
    <font>
      <sz val="11"/>
      <color indexed="9"/>
      <name val="Calibri"/>
      <family val="2"/>
    </font>
    <font>
      <sz val="12"/>
      <name val="Arial MT"/>
    </font>
    <font>
      <sz val="9"/>
      <color indexed="12"/>
      <name val="Times New Roman"/>
      <family val="1"/>
    </font>
    <font>
      <sz val="8"/>
      <name val="Arial MT"/>
    </font>
    <font>
      <sz val="11"/>
      <name val="Times New Roman"/>
      <family val="1"/>
    </font>
    <font>
      <sz val="11"/>
      <color indexed="29"/>
      <name val="Calibri"/>
      <family val="2"/>
    </font>
    <font>
      <sz val="8"/>
      <color indexed="13"/>
      <name val="Arial"/>
      <family val="2"/>
    </font>
    <font>
      <sz val="8"/>
      <name val="Tms Rmn"/>
      <family val="1"/>
    </font>
    <font>
      <sz val="10"/>
      <name val="Times"/>
    </font>
    <font>
      <strike/>
      <sz val="8"/>
      <name val="Arial"/>
      <family val="2"/>
    </font>
    <font>
      <sz val="8"/>
      <color indexed="8"/>
      <name val="Arial"/>
      <family val="2"/>
    </font>
    <font>
      <sz val="8"/>
      <color indexed="12"/>
      <name val="Helvetica"/>
    </font>
    <font>
      <sz val="12"/>
      <name val="Tms Rmn"/>
      <family val="1"/>
    </font>
    <font>
      <b/>
      <sz val="12"/>
      <name val="Times New Roman"/>
      <family val="1"/>
    </font>
    <font>
      <b/>
      <sz val="8"/>
      <color indexed="8"/>
      <name val="Arial"/>
      <family val="2"/>
    </font>
    <font>
      <sz val="11"/>
      <color indexed="17"/>
      <name val="Calibri"/>
      <family val="2"/>
    </font>
    <font>
      <sz val="8"/>
      <name val="Times New Roman"/>
      <family val="1"/>
    </font>
    <font>
      <b/>
      <i/>
      <sz val="12"/>
      <name val="Times New Roman"/>
      <family val="1"/>
    </font>
    <font>
      <i/>
      <sz val="10"/>
      <name val="Tms Rmn"/>
      <family val="1"/>
    </font>
    <font>
      <b/>
      <sz val="10"/>
      <color indexed="8"/>
      <name val="Times New Roman"/>
      <family val="1"/>
    </font>
    <font>
      <sz val="11"/>
      <name val="明朝"/>
      <family val="1"/>
      <charset val="128"/>
    </font>
    <font>
      <b/>
      <sz val="11"/>
      <color indexed="25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18"/>
      <name val="Times New Roman"/>
      <family val="1"/>
    </font>
    <font>
      <b/>
      <sz val="7"/>
      <name val="TarzanaNarrow"/>
    </font>
    <font>
      <sz val="7"/>
      <name val="TarzanaNarrow"/>
    </font>
    <font>
      <b/>
      <sz val="8"/>
      <name val="GillSans"/>
    </font>
    <font>
      <b/>
      <u/>
      <sz val="8"/>
      <name val="Arial"/>
      <family val="2"/>
    </font>
    <font>
      <sz val="10"/>
      <color indexed="24"/>
      <name val="Arial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Helvetica"/>
    </font>
    <font>
      <sz val="10"/>
      <name val="BERNHARD"/>
    </font>
    <font>
      <i/>
      <sz val="9"/>
      <name val="MS Sans Serif"/>
      <family val="2"/>
    </font>
    <font>
      <b/>
      <sz val="11"/>
      <name val="Times New Roman"/>
      <family val="1"/>
    </font>
    <font>
      <b/>
      <sz val="9"/>
      <name val="CG Times"/>
      <family val="1"/>
    </font>
    <font>
      <sz val="10"/>
      <name val="MS Serif"/>
      <family val="1"/>
    </font>
    <font>
      <sz val="8"/>
      <name val="Helv"/>
    </font>
    <font>
      <sz val="9"/>
      <name val="Helv"/>
    </font>
    <font>
      <sz val="8"/>
      <color indexed="18"/>
      <name val="Times New Roman"/>
      <family val="1"/>
    </font>
    <font>
      <b/>
      <sz val="8"/>
      <name val="Arial"/>
      <family val="2"/>
    </font>
    <font>
      <sz val="10"/>
      <name val="TarzanaNarrow"/>
    </font>
    <font>
      <u val="doubleAccounting"/>
      <sz val="10"/>
      <name val="Arial"/>
      <family val="2"/>
    </font>
    <font>
      <sz val="10"/>
      <color indexed="16"/>
      <name val="MS Serif"/>
      <family val="1"/>
    </font>
    <font>
      <b/>
      <sz val="10"/>
      <color indexed="10"/>
      <name val="Times New Roman"/>
      <family val="1"/>
    </font>
    <font>
      <i/>
      <sz val="11"/>
      <color indexed="23"/>
      <name val="Calibri"/>
      <family val="2"/>
    </font>
    <font>
      <sz val="12"/>
      <name val="Times New Roman"/>
      <family val="1"/>
    </font>
    <font>
      <sz val="10"/>
      <color indexed="2"/>
      <name val="Tahoma"/>
      <family val="2"/>
    </font>
    <font>
      <sz val="14"/>
      <color indexed="32"/>
      <name val="Times New Roman"/>
      <family val="1"/>
    </font>
    <font>
      <b/>
      <sz val="10"/>
      <color indexed="0"/>
      <name val="Tahoma"/>
      <family val="2"/>
    </font>
    <font>
      <sz val="9"/>
      <name val="GillSans Light"/>
    </font>
    <font>
      <b/>
      <sz val="8"/>
      <name val="MS Sans Serif"/>
      <family val="2"/>
    </font>
    <font>
      <b/>
      <sz val="10"/>
      <color indexed="17"/>
      <name val="Helvetica"/>
    </font>
    <font>
      <sz val="11"/>
      <name val="Arial"/>
      <family val="2"/>
    </font>
    <font>
      <sz val="9"/>
      <name val="Futura UBS Bk"/>
      <family val="2"/>
    </font>
    <font>
      <b/>
      <sz val="10"/>
      <color indexed="12"/>
      <name val="Arial"/>
      <family val="2"/>
    </font>
    <font>
      <sz val="10.5"/>
      <name val="Times New Roman"/>
      <family val="1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0"/>
      <name val="Tahoma"/>
      <family val="2"/>
    </font>
    <font>
      <u/>
      <sz val="7.5"/>
      <color indexed="12"/>
      <name val="Arial"/>
      <family val="2"/>
    </font>
    <font>
      <sz val="11"/>
      <color indexed="20"/>
      <name val="Calibri"/>
      <family val="2"/>
    </font>
    <font>
      <sz val="10"/>
      <color indexed="12"/>
      <name val="Arial"/>
      <family val="2"/>
    </font>
    <font>
      <sz val="6"/>
      <color indexed="12"/>
      <name val="Tms Rmn"/>
      <family val="1"/>
    </font>
    <font>
      <sz val="10"/>
      <color indexed="12"/>
      <name val="Times New Roman"/>
      <family val="1"/>
    </font>
    <font>
      <b/>
      <sz val="12"/>
      <color indexed="16"/>
      <name val="Arial MT"/>
    </font>
    <font>
      <b/>
      <sz val="10"/>
      <color indexed="16"/>
      <name val="Arial MT"/>
    </font>
    <font>
      <sz val="10"/>
      <name val="GillSans Light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sz val="11"/>
      <color indexed="25"/>
      <name val="Calibri"/>
      <family val="2"/>
    </font>
    <font>
      <b/>
      <sz val="12"/>
      <color indexed="17"/>
      <name val="Wingdings"/>
      <charset val="2"/>
    </font>
    <font>
      <b/>
      <i/>
      <sz val="10"/>
      <color indexed="4"/>
      <name val="Tahoma"/>
      <family val="2"/>
    </font>
    <font>
      <sz val="10"/>
      <color indexed="4"/>
      <name val="Tahoma"/>
      <family val="2"/>
    </font>
    <font>
      <b/>
      <sz val="12"/>
      <name val="Tms Rmn"/>
      <family val="1"/>
    </font>
    <font>
      <sz val="8"/>
      <name val="MS Sans Serif"/>
      <family val="2"/>
    </font>
    <font>
      <sz val="9"/>
      <name val="Arial"/>
      <family val="2"/>
    </font>
    <font>
      <sz val="10"/>
      <name val="LucidaSans"/>
      <family val="2"/>
    </font>
    <font>
      <sz val="8"/>
      <color indexed="23"/>
      <name val="Arial Narrow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0"/>
      <name val="Tms Rmn"/>
    </font>
    <font>
      <b/>
      <sz val="12"/>
      <name val="Tms Rmn"/>
    </font>
    <font>
      <sz val="8"/>
      <name val="Helv"/>
      <family val="2"/>
    </font>
    <font>
      <sz val="8"/>
      <name val="Helvetica"/>
      <family val="2"/>
    </font>
    <font>
      <b/>
      <sz val="9"/>
      <name val="TarzanaNarrow"/>
    </font>
    <font>
      <b/>
      <sz val="10"/>
      <name val="TarzanaNarrow"/>
    </font>
    <font>
      <sz val="9"/>
      <name val="Geneva"/>
    </font>
    <font>
      <sz val="8"/>
      <color indexed="72"/>
      <name val="Arial"/>
      <family val="2"/>
    </font>
    <font>
      <sz val="10"/>
      <name val="CG Times"/>
      <family val="1"/>
    </font>
    <font>
      <b/>
      <sz val="13.5"/>
      <name val="MS Sans Serif"/>
      <family val="2"/>
    </font>
    <font>
      <b/>
      <sz val="11"/>
      <color indexed="63"/>
      <name val="Calibri"/>
      <family val="2"/>
    </font>
    <font>
      <b/>
      <sz val="14.5"/>
      <name val="TarzanaNarrow"/>
    </font>
    <font>
      <b/>
      <sz val="26"/>
      <name val="Times New Roman"/>
      <family val="1"/>
    </font>
    <font>
      <b/>
      <sz val="18"/>
      <name val="Times New Roman"/>
      <family val="1"/>
    </font>
    <font>
      <i/>
      <sz val="8"/>
      <name val="Times New Roman"/>
      <family val="1"/>
    </font>
    <font>
      <b/>
      <sz val="9"/>
      <name val="Arial"/>
      <family val="2"/>
    </font>
    <font>
      <sz val="8"/>
      <color indexed="32"/>
      <name val="Arial"/>
      <family val="2"/>
    </font>
    <font>
      <sz val="7"/>
      <color indexed="12"/>
      <name val="Arial"/>
      <family val="2"/>
    </font>
    <font>
      <sz val="8"/>
      <name val="MS Sans Serif"/>
      <family val="2"/>
    </font>
    <font>
      <sz val="8"/>
      <color indexed="14"/>
      <name val="Helvetica"/>
    </font>
    <font>
      <sz val="10"/>
      <color indexed="8"/>
      <name val="Times New Roman"/>
      <family val="1"/>
    </font>
    <font>
      <b/>
      <sz val="12"/>
      <color indexed="56"/>
      <name val="Arial"/>
      <family val="2"/>
    </font>
    <font>
      <sz val="10"/>
      <color indexed="8"/>
      <name val="Arial"/>
      <family val="2"/>
    </font>
    <font>
      <b/>
      <sz val="8"/>
      <color indexed="8"/>
      <name val="Helv"/>
      <family val="2"/>
    </font>
    <font>
      <sz val="7"/>
      <name val="Times New Roman"/>
      <family val="1"/>
    </font>
    <font>
      <b/>
      <sz val="10"/>
      <name val="‚l‚r –¾’©"/>
      <family val="1"/>
      <charset val="128"/>
    </font>
    <font>
      <sz val="11"/>
      <color indexed="10"/>
      <name val="Calibri"/>
      <family val="2"/>
    </font>
    <font>
      <sz val="9.5"/>
      <name val="TarzanaNarrow"/>
    </font>
    <font>
      <sz val="8"/>
      <color indexed="8"/>
      <name val="Arial"/>
      <family val="2"/>
    </font>
    <font>
      <b/>
      <sz val="16"/>
      <name val="Times New Roman"/>
      <family val="1"/>
    </font>
    <font>
      <b/>
      <sz val="11"/>
      <color indexed="9"/>
      <name val="GillSans"/>
    </font>
    <font>
      <b/>
      <sz val="11"/>
      <name val="GillSans"/>
    </font>
    <font>
      <b/>
      <i/>
      <u/>
      <sz val="12"/>
      <color indexed="8"/>
      <name val="Arial MT"/>
    </font>
    <font>
      <b/>
      <sz val="18"/>
      <color indexed="62"/>
      <name val="Cambria"/>
      <family val="2"/>
    </font>
    <font>
      <sz val="9"/>
      <name val="CG Times"/>
      <family val="1"/>
    </font>
    <font>
      <b/>
      <sz val="14"/>
      <name val="Tms Rmn"/>
      <family val="1"/>
    </font>
    <font>
      <i/>
      <sz val="10"/>
      <name val="Times New Roman"/>
      <family val="1"/>
    </font>
    <font>
      <b/>
      <sz val="9"/>
      <name val="Times New Roman"/>
      <family val="1"/>
    </font>
    <font>
      <b/>
      <sz val="7"/>
      <color indexed="12"/>
      <name val="Arial"/>
      <family val="2"/>
    </font>
    <font>
      <u/>
      <sz val="8"/>
      <name val="Tms Rmn"/>
    </font>
    <font>
      <i/>
      <sz val="12"/>
      <color indexed="8"/>
      <name val="Arial MT"/>
    </font>
    <font>
      <sz val="7"/>
      <color indexed="12"/>
      <name val="Tms Rmn"/>
      <family val="1"/>
    </font>
    <font>
      <sz val="10"/>
      <name val="Tms Rmn"/>
    </font>
    <font>
      <sz val="9"/>
      <color indexed="9"/>
      <name val="Arial Narrow"/>
      <family val="2"/>
    </font>
    <font>
      <sz val="6"/>
      <name val="Tms Rmn"/>
      <family val="1"/>
    </font>
    <font>
      <sz val="10"/>
      <name val="Arial"/>
      <family val="2"/>
    </font>
    <font>
      <sz val="8"/>
      <color indexed="17"/>
      <name val="Times New Roman"/>
      <family val="1"/>
    </font>
    <font>
      <sz val="12"/>
      <name val="???"/>
      <family val="1"/>
      <charset val="129"/>
    </font>
    <font>
      <sz val="9"/>
      <name val="‚l‚r –¾’©"/>
      <family val="1"/>
      <charset val="128"/>
    </font>
    <font>
      <sz val="8"/>
      <color indexed="8"/>
      <name val="Times New Roman"/>
      <family val="1"/>
    </font>
    <font>
      <u/>
      <sz val="8"/>
      <name val="Times New Roman"/>
      <family val="1"/>
    </font>
    <font>
      <b/>
      <sz val="14"/>
      <name val="Tms Rmn"/>
    </font>
    <font>
      <b/>
      <sz val="10"/>
      <color indexed="8"/>
      <name val="Arial"/>
      <family val="2"/>
    </font>
    <font>
      <sz val="7"/>
      <name val="Times New Roman"/>
      <family val="1"/>
    </font>
    <font>
      <sz val="7"/>
      <color indexed="17"/>
      <name val="Times New Roman"/>
      <family val="1"/>
    </font>
    <font>
      <b/>
      <sz val="10"/>
      <name val="GillSans"/>
    </font>
    <font>
      <u/>
      <sz val="8"/>
      <name val="Times New Roman"/>
      <family val="1"/>
    </font>
    <font>
      <b/>
      <sz val="8"/>
      <color indexed="18"/>
      <name val="Times New Roman"/>
      <family val="1"/>
    </font>
    <font>
      <sz val="12"/>
      <name val="바탕체"/>
      <family val="1"/>
      <charset val="129"/>
    </font>
    <font>
      <sz val="14"/>
      <name val="ＭＳ 明朝"/>
      <family val="1"/>
      <charset val="128"/>
    </font>
    <font>
      <sz val="10"/>
      <color indexed="2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2"/>
      <name val="Helv"/>
    </font>
    <font>
      <b/>
      <sz val="10"/>
      <color indexed="18"/>
      <name val="Arial"/>
      <family val="2"/>
    </font>
    <font>
      <sz val="8"/>
      <color indexed="48"/>
      <name val="Arial"/>
      <family val="2"/>
    </font>
    <font>
      <sz val="8"/>
      <name val="Meta-CapsMedium"/>
      <family val="5"/>
    </font>
    <font>
      <u/>
      <sz val="10"/>
      <color indexed="12"/>
      <name val="Arial"/>
      <family val="2"/>
    </font>
    <font>
      <u/>
      <sz val="10"/>
      <color indexed="54"/>
      <name val="Arial"/>
      <family val="2"/>
    </font>
    <font>
      <sz val="8"/>
      <color indexed="12"/>
      <name val="Meta-CapsMedium"/>
      <family val="5"/>
    </font>
    <font>
      <b/>
      <i/>
      <sz val="16"/>
      <name val="Helv"/>
    </font>
    <font>
      <sz val="9"/>
      <name val="Meta-CapsMedium"/>
    </font>
    <font>
      <b/>
      <sz val="9"/>
      <name val="Meta-CapsMedium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u val="singleAccounting"/>
      <sz val="10"/>
      <color indexed="18"/>
      <name val="Arial"/>
      <family val="2"/>
    </font>
    <font>
      <sz val="12"/>
      <color indexed="24"/>
      <name val="Arial"/>
      <family val="2"/>
    </font>
    <font>
      <sz val="14"/>
      <color indexed="24"/>
      <name val="Arial"/>
      <family val="2"/>
    </font>
    <font>
      <b/>
      <sz val="8"/>
      <color indexed="10"/>
      <name val="Arial"/>
      <family val="2"/>
    </font>
    <font>
      <b/>
      <sz val="10"/>
      <name val="MS Sans Serif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2"/>
      <color indexed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62"/>
      <name val="Optane"/>
    </font>
    <font>
      <sz val="10"/>
      <color indexed="62"/>
      <name val="Arial"/>
      <family val="2"/>
    </font>
    <font>
      <sz val="10"/>
      <color indexed="12"/>
      <name val="Arial"/>
      <family val="2"/>
    </font>
    <font>
      <b/>
      <sz val="10"/>
      <color indexed="10"/>
      <name val="Arial"/>
      <family val="2"/>
    </font>
    <font>
      <sz val="10"/>
      <color indexed="22"/>
      <name val="Arial"/>
      <family val="2"/>
    </font>
    <font>
      <sz val="10"/>
      <color indexed="47"/>
      <name val="Arial"/>
      <family val="2"/>
    </font>
    <font>
      <b/>
      <sz val="10"/>
      <color indexed="9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62"/>
      <name val="Calibri"/>
      <family val="2"/>
      <scheme val="minor"/>
    </font>
    <font>
      <b/>
      <sz val="13"/>
      <color indexed="62"/>
      <name val="Calibri"/>
      <family val="2"/>
      <scheme val="minor"/>
    </font>
    <font>
      <b/>
      <sz val="11"/>
      <color indexed="62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indexed="62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 tint="0.499984740745262"/>
      <name val="Arial"/>
      <family val="2"/>
    </font>
    <font>
      <sz val="10"/>
      <color theme="0" tint="-0.499984740745262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0"/>
      <color theme="0"/>
      <name val="Arial"/>
      <family val="2"/>
    </font>
    <font>
      <b/>
      <sz val="9"/>
      <color indexed="8"/>
      <name val="Arial"/>
      <family val="2"/>
    </font>
    <font>
      <vertAlign val="superscript"/>
      <sz val="9"/>
      <color indexed="8"/>
      <name val="Arial"/>
      <family val="2"/>
    </font>
    <font>
      <b/>
      <sz val="11"/>
      <color theme="1"/>
      <name val="Arial"/>
      <family val="2"/>
    </font>
    <font>
      <b/>
      <sz val="12"/>
      <color theme="1" tint="0.499984740745262"/>
      <name val="Arial"/>
      <family val="2"/>
    </font>
    <font>
      <b/>
      <sz val="11"/>
      <color theme="1" tint="0.49998474074526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 tint="-0.499984740745262"/>
      <name val="Arial"/>
      <family val="2"/>
    </font>
    <font>
      <b/>
      <sz val="18"/>
      <color theme="1" tint="0.34998626667073579"/>
      <name val="Arial"/>
      <family val="2"/>
    </font>
    <font>
      <sz val="10"/>
      <color theme="0" tint="-0.34998626667073579"/>
      <name val="Arial"/>
      <family val="2"/>
    </font>
  </fonts>
  <fills count="84">
    <fill>
      <patternFill patternType="none"/>
    </fill>
    <fill>
      <patternFill patternType="gray125"/>
    </fill>
    <fill>
      <patternFill patternType="solid">
        <fgColor indexed="25"/>
        <bgColor indexed="64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34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38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33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5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43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32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8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  <fill>
      <patternFill patternType="gray0625">
        <fgColor indexed="9"/>
        <bgColor indexed="9"/>
      </patternFill>
    </fill>
    <fill>
      <patternFill patternType="gray0625">
        <fgColor indexed="9"/>
        <bgColor indexed="22"/>
      </patternFill>
    </fill>
    <fill>
      <patternFill patternType="mediumGray">
        <fgColor indexed="9"/>
        <bgColor indexed="31"/>
      </patternFill>
    </fill>
    <fill>
      <patternFill patternType="solid">
        <fgColor indexed="41"/>
      </patternFill>
    </fill>
    <fill>
      <patternFill patternType="gray125">
        <fgColor indexed="8"/>
      </patternFill>
    </fill>
    <fill>
      <patternFill patternType="solid">
        <fgColor indexed="46"/>
        <bgColor indexed="45"/>
      </patternFill>
    </fill>
    <fill>
      <patternFill patternType="solid">
        <fgColor indexed="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38"/>
        <bgColor indexed="64"/>
      </patternFill>
    </fill>
    <fill>
      <patternFill patternType="mediumGray"/>
    </fill>
    <fill>
      <patternFill patternType="solid">
        <fgColor indexed="46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7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3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8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2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55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/>
      <bottom style="medium">
        <color indexed="23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/>
      <right style="medium">
        <color indexed="55"/>
      </right>
      <top/>
      <bottom style="medium">
        <color indexed="2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7144">
    <xf numFmtId="0" fontId="0" fillId="0" borderId="0"/>
    <xf numFmtId="0" fontId="12" fillId="0" borderId="0"/>
    <xf numFmtId="9" fontId="44" fillId="0" borderId="0">
      <alignment horizontal="right"/>
    </xf>
    <xf numFmtId="164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2" fillId="0" borderId="0" applyFont="0" applyFill="0" applyBorder="0" applyAlignment="0" applyProtection="0"/>
    <xf numFmtId="217" fontId="46" fillId="0" borderId="0">
      <alignment horizontal="right"/>
    </xf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47" fillId="0" borderId="1">
      <alignment vertical="top"/>
    </xf>
    <xf numFmtId="218" fontId="48" fillId="2" borderId="1">
      <alignment vertical="top"/>
    </xf>
    <xf numFmtId="0" fontId="12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256" fontId="192" fillId="0" borderId="0"/>
    <xf numFmtId="257" fontId="102" fillId="0" borderId="0"/>
    <xf numFmtId="10" fontId="14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12" fillId="0" borderId="0"/>
    <xf numFmtId="9" fontId="1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2" fillId="0" borderId="0" applyFont="0" applyFill="0" applyBorder="0" applyAlignment="0" applyProtection="0"/>
    <xf numFmtId="168" fontId="14" fillId="0" borderId="0" applyFont="0" applyFill="0" applyBorder="0" applyAlignment="0" applyProtection="0"/>
    <xf numFmtId="219" fontId="49" fillId="0" borderId="0" applyFont="0" applyFill="0" applyBorder="0" applyAlignment="0" applyProtection="0"/>
    <xf numFmtId="0" fontId="193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40" fontId="50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14" fillId="0" borderId="0" applyFont="0" applyFill="0" applyBorder="0" applyAlignment="0" applyProtection="0"/>
    <xf numFmtId="0" fontId="193" fillId="0" borderId="0"/>
    <xf numFmtId="0" fontId="12" fillId="0" borderId="0"/>
    <xf numFmtId="271" fontId="12" fillId="0" borderId="0" applyFont="0" applyFill="0" applyBorder="0" applyAlignment="0" applyProtection="0"/>
    <xf numFmtId="272" fontId="12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273" fontId="12" fillId="0" borderId="0" applyFont="0" applyFill="0" applyBorder="0" applyAlignment="0" applyProtection="0"/>
    <xf numFmtId="0" fontId="12" fillId="0" borderId="0"/>
    <xf numFmtId="274" fontId="12" fillId="0" borderId="0" applyFont="0" applyFill="0" applyBorder="0" applyAlignment="0" applyProtection="0"/>
    <xf numFmtId="275" fontId="12" fillId="0" borderId="0" applyFont="0" applyFill="0" applyBorder="0" applyAlignment="0" applyProtection="0"/>
    <xf numFmtId="276" fontId="13" fillId="0" borderId="0" applyFont="0" applyFill="0" applyBorder="0" applyAlignment="0" applyProtection="0"/>
    <xf numFmtId="276" fontId="13" fillId="0" borderId="0" applyFont="0" applyFill="0" applyBorder="0" applyAlignment="0" applyProtection="0"/>
    <xf numFmtId="276" fontId="13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0" fontId="12" fillId="0" borderId="0">
      <alignment vertical="top"/>
    </xf>
    <xf numFmtId="0" fontId="17" fillId="0" borderId="0"/>
    <xf numFmtId="0" fontId="12" fillId="0" borderId="0">
      <alignment vertical="top"/>
    </xf>
    <xf numFmtId="0" fontId="14" fillId="0" borderId="0" applyFill="0" applyAlignment="0">
      <protection locked="0"/>
    </xf>
    <xf numFmtId="0" fontId="12" fillId="0" borderId="0" applyFill="0" applyAlignment="0">
      <protection locked="0"/>
    </xf>
    <xf numFmtId="0" fontId="14" fillId="0" borderId="0" applyFill="0" applyAlignment="0">
      <protection locked="0"/>
    </xf>
    <xf numFmtId="0" fontId="12" fillId="0" borderId="0" applyFill="0" applyAlignment="0">
      <protection locked="0"/>
    </xf>
    <xf numFmtId="277" fontId="12" fillId="0" borderId="0" applyFont="0" applyFill="0" applyBorder="0" applyAlignment="0" applyProtection="0"/>
    <xf numFmtId="0" fontId="20" fillId="0" borderId="0">
      <alignment vertical="center"/>
    </xf>
    <xf numFmtId="0" fontId="14" fillId="0" borderId="0"/>
    <xf numFmtId="0" fontId="12" fillId="0" borderId="0"/>
    <xf numFmtId="0" fontId="221" fillId="0" borderId="0" applyNumberFormat="0" applyFill="0" applyBorder="0" applyAlignment="0" applyProtection="0"/>
    <xf numFmtId="0" fontId="12" fillId="3" borderId="0" applyNumberFormat="0" applyFont="0" applyAlignment="0" applyProtection="0"/>
    <xf numFmtId="0" fontId="14" fillId="0" borderId="0" applyFill="0" applyAlignment="0">
      <protection locked="0"/>
    </xf>
    <xf numFmtId="0" fontId="12" fillId="0" borderId="0" applyFill="0" applyAlignment="0">
      <protection locked="0"/>
    </xf>
    <xf numFmtId="3" fontId="43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0" applyFill="0" applyAlignment="0">
      <protection locked="0"/>
    </xf>
    <xf numFmtId="0" fontId="12" fillId="0" borderId="0" applyFill="0" applyAlignment="0">
      <protection locked="0"/>
    </xf>
    <xf numFmtId="0" fontId="14" fillId="0" borderId="0" applyFill="0" applyAlignment="0">
      <protection locked="0"/>
    </xf>
    <xf numFmtId="0" fontId="12" fillId="0" borderId="0" applyFill="0" applyAlignment="0">
      <protection locked="0"/>
    </xf>
    <xf numFmtId="0" fontId="14" fillId="0" borderId="0" applyFill="0" applyAlignment="0">
      <protection locked="0"/>
    </xf>
    <xf numFmtId="0" fontId="12" fillId="0" borderId="0" applyFill="0" applyAlignment="0">
      <protection locked="0"/>
    </xf>
    <xf numFmtId="0" fontId="14" fillId="0" borderId="0" applyFill="0" applyAlignment="0">
      <protection locked="0"/>
    </xf>
    <xf numFmtId="0" fontId="12" fillId="0" borderId="0" applyFill="0" applyAlignment="0">
      <protection locked="0"/>
    </xf>
    <xf numFmtId="0" fontId="14" fillId="0" borderId="0" applyFill="0" applyAlignment="0">
      <protection locked="0"/>
    </xf>
    <xf numFmtId="0" fontId="12" fillId="0" borderId="0" applyFill="0" applyAlignment="0">
      <protection locked="0"/>
    </xf>
    <xf numFmtId="0" fontId="14" fillId="0" borderId="0" applyFill="0" applyAlignment="0">
      <protection locked="0"/>
    </xf>
    <xf numFmtId="0" fontId="12" fillId="0" borderId="0" applyFill="0" applyAlignment="0">
      <protection locked="0"/>
    </xf>
    <xf numFmtId="0" fontId="14" fillId="0" borderId="0" applyFill="0" applyAlignment="0">
      <protection locked="0"/>
    </xf>
    <xf numFmtId="0" fontId="12" fillId="0" borderId="0" applyFill="0" applyAlignment="0">
      <protection locked="0"/>
    </xf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278" fontId="12" fillId="0" borderId="0" applyFont="0" applyFill="0" applyBorder="0" applyAlignment="0" applyProtection="0"/>
    <xf numFmtId="279" fontId="12" fillId="0" borderId="0" applyFont="0" applyFill="0" applyBorder="0" applyAlignment="0" applyProtection="0"/>
    <xf numFmtId="280" fontId="12" fillId="0" borderId="0" applyFont="0" applyFill="0" applyBorder="0" applyProtection="0">
      <alignment horizontal="right"/>
    </xf>
    <xf numFmtId="281" fontId="12" fillId="0" borderId="0" applyFont="0" applyFill="0" applyBorder="0" applyProtection="0">
      <alignment horizontal="right"/>
    </xf>
    <xf numFmtId="0" fontId="52" fillId="0" borderId="0"/>
    <xf numFmtId="0" fontId="14" fillId="0" borderId="0" applyFill="0" applyAlignment="0">
      <protection locked="0"/>
    </xf>
    <xf numFmtId="0" fontId="12" fillId="0" borderId="0" applyFill="0" applyAlignment="0">
      <protection locked="0"/>
    </xf>
    <xf numFmtId="0" fontId="53" fillId="0" borderId="0"/>
    <xf numFmtId="0" fontId="14" fillId="0" borderId="0" applyFill="0" applyAlignment="0">
      <protection locked="0"/>
    </xf>
    <xf numFmtId="0" fontId="12" fillId="0" borderId="0" applyFill="0" applyAlignment="0">
      <protection locked="0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4" fillId="0" borderId="0" applyFill="0" applyAlignment="0">
      <protection locked="0"/>
    </xf>
    <xf numFmtId="0" fontId="12" fillId="0" borderId="0" applyFill="0" applyAlignment="0">
      <protection locked="0"/>
    </xf>
    <xf numFmtId="0" fontId="20" fillId="0" borderId="0">
      <alignment vertical="center"/>
    </xf>
    <xf numFmtId="0" fontId="14" fillId="0" borderId="0" applyFill="0" applyAlignment="0">
      <protection locked="0"/>
    </xf>
    <xf numFmtId="0" fontId="12" fillId="0" borderId="0" applyFill="0" applyAlignment="0">
      <protection locked="0"/>
    </xf>
    <xf numFmtId="0" fontId="14" fillId="0" borderId="0" applyFill="0" applyAlignment="0">
      <protection locked="0"/>
    </xf>
    <xf numFmtId="0" fontId="12" fillId="0" borderId="0" applyFill="0" applyAlignment="0">
      <protection locked="0"/>
    </xf>
    <xf numFmtId="0" fontId="14" fillId="0" borderId="0" applyFill="0" applyAlignment="0">
      <protection locked="0"/>
    </xf>
    <xf numFmtId="0" fontId="12" fillId="0" borderId="0" applyFill="0" applyAlignment="0">
      <protection locked="0"/>
    </xf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222" fillId="0" borderId="0" applyNumberFormat="0" applyFill="0" applyBorder="0" applyProtection="0">
      <alignment vertical="top"/>
    </xf>
    <xf numFmtId="0" fontId="20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23" fillId="0" borderId="2" applyNumberFormat="0" applyFill="0" applyAlignment="0" applyProtection="0"/>
    <xf numFmtId="282" fontId="168" fillId="0" borderId="2" applyNumberFormat="0" applyFill="0" applyAlignment="0" applyProtection="0"/>
    <xf numFmtId="0" fontId="223" fillId="0" borderId="2" applyNumberFormat="0" applyFill="0" applyAlignment="0" applyProtection="0"/>
    <xf numFmtId="0" fontId="212" fillId="0" borderId="3" applyNumberFormat="0" applyFill="0" applyProtection="0">
      <alignment horizontal="center"/>
    </xf>
    <xf numFmtId="0" fontId="212" fillId="0" borderId="3" applyNumberFormat="0" applyFill="0" applyProtection="0">
      <alignment horizontal="center"/>
    </xf>
    <xf numFmtId="0" fontId="212" fillId="0" borderId="3" applyNumberFormat="0" applyFill="0" applyProtection="0">
      <alignment horizontal="center"/>
    </xf>
    <xf numFmtId="0" fontId="212" fillId="0" borderId="3" applyNumberFormat="0" applyFill="0" applyProtection="0">
      <alignment horizontal="center"/>
    </xf>
    <xf numFmtId="282" fontId="212" fillId="0" borderId="3" applyNumberFormat="0" applyFill="0" applyProtection="0">
      <alignment horizontal="center"/>
    </xf>
    <xf numFmtId="0" fontId="212" fillId="0" borderId="3" applyNumberFormat="0" applyFill="0" applyProtection="0">
      <alignment horizontal="center"/>
    </xf>
    <xf numFmtId="0" fontId="212" fillId="0" borderId="3" applyNumberFormat="0" applyFill="0" applyProtection="0">
      <alignment horizontal="center"/>
    </xf>
    <xf numFmtId="0" fontId="212" fillId="0" borderId="3" applyNumberFormat="0" applyFill="0" applyProtection="0">
      <alignment horizontal="center"/>
    </xf>
    <xf numFmtId="0" fontId="212" fillId="0" borderId="3" applyNumberFormat="0" applyFill="0" applyProtection="0">
      <alignment horizontal="center"/>
    </xf>
    <xf numFmtId="0" fontId="212" fillId="0" borderId="3" applyNumberFormat="0" applyFill="0" applyProtection="0">
      <alignment horizontal="center"/>
    </xf>
    <xf numFmtId="0" fontId="212" fillId="0" borderId="3" applyNumberFormat="0" applyFill="0" applyProtection="0">
      <alignment horizontal="center"/>
    </xf>
    <xf numFmtId="0" fontId="212" fillId="0" borderId="0" applyNumberFormat="0" applyFill="0" applyBorder="0" applyProtection="0">
      <alignment horizontal="left"/>
    </xf>
    <xf numFmtId="0" fontId="212" fillId="0" borderId="0" applyNumberFormat="0" applyFill="0" applyBorder="0" applyProtection="0">
      <alignment horizontal="left"/>
    </xf>
    <xf numFmtId="0" fontId="224" fillId="0" borderId="0" applyNumberFormat="0" applyFill="0" applyBorder="0" applyProtection="0">
      <alignment horizontal="centerContinuous"/>
    </xf>
    <xf numFmtId="0" fontId="224" fillId="0" borderId="0" applyNumberFormat="0" applyFill="0" applyBorder="0" applyProtection="0">
      <alignment horizontal="centerContinuous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94" fillId="0" borderId="4" applyBorder="0"/>
    <xf numFmtId="0" fontId="12" fillId="0" borderId="0"/>
    <xf numFmtId="220" fontId="55" fillId="0" borderId="0" applyFont="0" applyFill="0" applyBorder="0" applyAlignment="0" applyProtection="0"/>
    <xf numFmtId="221" fontId="55" fillId="0" borderId="0" applyFont="0" applyFill="0" applyBorder="0" applyAlignment="0" applyProtection="0"/>
    <xf numFmtId="0" fontId="14" fillId="0" borderId="0"/>
    <xf numFmtId="0" fontId="57" fillId="0" borderId="0"/>
    <xf numFmtId="178" fontId="18" fillId="0" borderId="0"/>
    <xf numFmtId="9" fontId="12" fillId="0" borderId="0"/>
    <xf numFmtId="175" fontId="18" fillId="0" borderId="0"/>
    <xf numFmtId="171" fontId="18" fillId="0" borderId="0"/>
    <xf numFmtId="0" fontId="58" fillId="0" borderId="0"/>
    <xf numFmtId="2" fontId="18" fillId="0" borderId="0"/>
    <xf numFmtId="10" fontId="18" fillId="0" borderId="0"/>
    <xf numFmtId="2" fontId="58" fillId="0" borderId="0"/>
    <xf numFmtId="0" fontId="58" fillId="0" borderId="0"/>
    <xf numFmtId="0" fontId="18" fillId="0" borderId="0"/>
    <xf numFmtId="0" fontId="58" fillId="0" borderId="0"/>
    <xf numFmtId="0" fontId="18" fillId="0" borderId="0"/>
    <xf numFmtId="0" fontId="18" fillId="0" borderId="0"/>
    <xf numFmtId="0" fontId="18" fillId="0" borderId="0"/>
    <xf numFmtId="0" fontId="58" fillId="0" borderId="0"/>
    <xf numFmtId="0" fontId="18" fillId="0" borderId="0"/>
    <xf numFmtId="0" fontId="5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8" fillId="0" borderId="0"/>
    <xf numFmtId="0" fontId="18" fillId="0" borderId="0"/>
    <xf numFmtId="0" fontId="18" fillId="0" borderId="0"/>
    <xf numFmtId="178" fontId="18" fillId="0" borderId="0"/>
    <xf numFmtId="0" fontId="5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8" fillId="0" borderId="0"/>
    <xf numFmtId="0" fontId="18" fillId="0" borderId="0"/>
    <xf numFmtId="0" fontId="18" fillId="0" borderId="0"/>
    <xf numFmtId="0" fontId="58" fillId="0" borderId="0"/>
    <xf numFmtId="0" fontId="18" fillId="0" borderId="0"/>
    <xf numFmtId="0" fontId="18" fillId="0" borderId="0"/>
    <xf numFmtId="0" fontId="58" fillId="0" borderId="0"/>
    <xf numFmtId="0" fontId="18" fillId="0" borderId="0"/>
    <xf numFmtId="0" fontId="5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8" fillId="0" borderId="0"/>
    <xf numFmtId="0" fontId="18" fillId="0" borderId="0"/>
    <xf numFmtId="0" fontId="18" fillId="0" borderId="0"/>
    <xf numFmtId="178" fontId="18" fillId="0" borderId="0"/>
    <xf numFmtId="178" fontId="18" fillId="0" borderId="0"/>
    <xf numFmtId="178" fontId="58" fillId="0" borderId="0"/>
    <xf numFmtId="178" fontId="18" fillId="0" borderId="0"/>
    <xf numFmtId="178" fontId="18" fillId="0" borderId="0"/>
    <xf numFmtId="0" fontId="58" fillId="0" borderId="0"/>
    <xf numFmtId="0" fontId="18" fillId="0" borderId="0"/>
    <xf numFmtId="0" fontId="18" fillId="0" borderId="0"/>
    <xf numFmtId="178" fontId="18" fillId="0" borderId="0"/>
    <xf numFmtId="178" fontId="18" fillId="0" borderId="0"/>
    <xf numFmtId="178" fontId="58" fillId="0" borderId="0"/>
    <xf numFmtId="178" fontId="18" fillId="0" borderId="0"/>
    <xf numFmtId="178" fontId="18" fillId="0" borderId="0"/>
    <xf numFmtId="0" fontId="58" fillId="0" borderId="0"/>
    <xf numFmtId="0" fontId="18" fillId="0" borderId="0"/>
    <xf numFmtId="0" fontId="18" fillId="0" borderId="0"/>
    <xf numFmtId="0" fontId="58" fillId="0" borderId="0"/>
    <xf numFmtId="0" fontId="18" fillId="0" borderId="0"/>
    <xf numFmtId="0" fontId="18" fillId="0" borderId="0"/>
    <xf numFmtId="178" fontId="58" fillId="0" borderId="0"/>
    <xf numFmtId="178" fontId="18" fillId="0" borderId="0"/>
    <xf numFmtId="178" fontId="18" fillId="0" borderId="0"/>
    <xf numFmtId="0" fontId="18" fillId="0" borderId="0"/>
    <xf numFmtId="0" fontId="18" fillId="0" borderId="0"/>
    <xf numFmtId="0" fontId="5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8" fillId="0" borderId="0"/>
    <xf numFmtId="0" fontId="18" fillId="0" borderId="0"/>
    <xf numFmtId="0" fontId="18" fillId="0" borderId="0"/>
    <xf numFmtId="0" fontId="18" fillId="0" borderId="0"/>
    <xf numFmtId="0" fontId="58" fillId="0" borderId="0"/>
    <xf numFmtId="0" fontId="18" fillId="0" borderId="0"/>
    <xf numFmtId="0" fontId="18" fillId="0" borderId="0"/>
    <xf numFmtId="0" fontId="12" fillId="0" borderId="0"/>
    <xf numFmtId="173" fontId="13" fillId="0" borderId="0"/>
    <xf numFmtId="0" fontId="59" fillId="4" borderId="0" applyNumberFormat="0" applyBorder="0" applyAlignment="0" applyProtection="0"/>
    <xf numFmtId="0" fontId="250" fillId="5" borderId="0" applyNumberFormat="0" applyBorder="0" applyAlignment="0" applyProtection="0"/>
    <xf numFmtId="0" fontId="250" fillId="5" borderId="0" applyNumberFormat="0" applyBorder="0" applyAlignment="0" applyProtection="0"/>
    <xf numFmtId="0" fontId="250" fillId="5" borderId="0" applyNumberFormat="0" applyBorder="0" applyAlignment="0" applyProtection="0"/>
    <xf numFmtId="0" fontId="250" fillId="5" borderId="0" applyNumberFormat="0" applyBorder="0" applyAlignment="0" applyProtection="0"/>
    <xf numFmtId="0" fontId="59" fillId="6" borderId="0" applyNumberFormat="0" applyBorder="0" applyAlignment="0" applyProtection="0"/>
    <xf numFmtId="0" fontId="11" fillId="6" borderId="0" applyNumberFormat="0" applyBorder="0" applyAlignment="0" applyProtection="0"/>
    <xf numFmtId="0" fontId="59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9" fillId="5" borderId="0" applyNumberFormat="0" applyBorder="0" applyAlignment="0" applyProtection="0"/>
    <xf numFmtId="0" fontId="250" fillId="7" borderId="0" applyNumberFormat="0" applyBorder="0" applyAlignment="0" applyProtection="0"/>
    <xf numFmtId="0" fontId="250" fillId="7" borderId="0" applyNumberFormat="0" applyBorder="0" applyAlignment="0" applyProtection="0"/>
    <xf numFmtId="0" fontId="250" fillId="7" borderId="0" applyNumberFormat="0" applyBorder="0" applyAlignment="0" applyProtection="0"/>
    <xf numFmtId="0" fontId="250" fillId="7" borderId="0" applyNumberFormat="0" applyBorder="0" applyAlignment="0" applyProtection="0"/>
    <xf numFmtId="0" fontId="59" fillId="8" borderId="0" applyNumberFormat="0" applyBorder="0" applyAlignment="0" applyProtection="0"/>
    <xf numFmtId="0" fontId="11" fillId="8" borderId="0" applyNumberFormat="0" applyBorder="0" applyAlignment="0" applyProtection="0"/>
    <xf numFmtId="0" fontId="59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59" fillId="9" borderId="0" applyNumberFormat="0" applyBorder="0" applyAlignment="0" applyProtection="0"/>
    <xf numFmtId="0" fontId="250" fillId="3" borderId="0" applyNumberFormat="0" applyBorder="0" applyAlignment="0" applyProtection="0"/>
    <xf numFmtId="0" fontId="250" fillId="3" borderId="0" applyNumberFormat="0" applyBorder="0" applyAlignment="0" applyProtection="0"/>
    <xf numFmtId="0" fontId="250" fillId="3" borderId="0" applyNumberFormat="0" applyBorder="0" applyAlignment="0" applyProtection="0"/>
    <xf numFmtId="0" fontId="250" fillId="3" borderId="0" applyNumberFormat="0" applyBorder="0" applyAlignment="0" applyProtection="0"/>
    <xf numFmtId="0" fontId="59" fillId="10" borderId="0" applyNumberFormat="0" applyBorder="0" applyAlignment="0" applyProtection="0"/>
    <xf numFmtId="0" fontId="11" fillId="10" borderId="0" applyNumberFormat="0" applyBorder="0" applyAlignment="0" applyProtection="0"/>
    <xf numFmtId="0" fontId="5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59" fillId="4" borderId="0" applyNumberFormat="0" applyBorder="0" applyAlignment="0" applyProtection="0"/>
    <xf numFmtId="0" fontId="250" fillId="5" borderId="0" applyNumberFormat="0" applyBorder="0" applyAlignment="0" applyProtection="0"/>
    <xf numFmtId="0" fontId="250" fillId="5" borderId="0" applyNumberFormat="0" applyBorder="0" applyAlignment="0" applyProtection="0"/>
    <xf numFmtId="0" fontId="250" fillId="5" borderId="0" applyNumberFormat="0" applyBorder="0" applyAlignment="0" applyProtection="0"/>
    <xf numFmtId="0" fontId="250" fillId="5" borderId="0" applyNumberFormat="0" applyBorder="0" applyAlignment="0" applyProtection="0"/>
    <xf numFmtId="0" fontId="59" fillId="11" borderId="0" applyNumberFormat="0" applyBorder="0" applyAlignment="0" applyProtection="0"/>
    <xf numFmtId="0" fontId="11" fillId="11" borderId="0" applyNumberFormat="0" applyBorder="0" applyAlignment="0" applyProtection="0"/>
    <xf numFmtId="0" fontId="59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9" fillId="12" borderId="0" applyNumberFormat="0" applyBorder="0" applyAlignment="0" applyProtection="0"/>
    <xf numFmtId="0" fontId="250" fillId="64" borderId="0" applyNumberFormat="0" applyBorder="0" applyAlignment="0" applyProtection="0"/>
    <xf numFmtId="0" fontId="250" fillId="64" borderId="0" applyNumberFormat="0" applyBorder="0" applyAlignment="0" applyProtection="0"/>
    <xf numFmtId="0" fontId="59" fillId="13" borderId="0" applyNumberFormat="0" applyBorder="0" applyAlignment="0" applyProtection="0"/>
    <xf numFmtId="0" fontId="11" fillId="13" borderId="0" applyNumberFormat="0" applyBorder="0" applyAlignment="0" applyProtection="0"/>
    <xf numFmtId="0" fontId="59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59" fillId="5" borderId="0" applyNumberFormat="0" applyBorder="0" applyAlignment="0" applyProtection="0"/>
    <xf numFmtId="0" fontId="250" fillId="3" borderId="0" applyNumberFormat="0" applyBorder="0" applyAlignment="0" applyProtection="0"/>
    <xf numFmtId="0" fontId="250" fillId="3" borderId="0" applyNumberFormat="0" applyBorder="0" applyAlignment="0" applyProtection="0"/>
    <xf numFmtId="0" fontId="250" fillId="3" borderId="0" applyNumberFormat="0" applyBorder="0" applyAlignment="0" applyProtection="0"/>
    <xf numFmtId="0" fontId="250" fillId="3" borderId="0" applyNumberFormat="0" applyBorder="0" applyAlignment="0" applyProtection="0"/>
    <xf numFmtId="0" fontId="59" fillId="5" borderId="0" applyNumberFormat="0" applyBorder="0" applyAlignment="0" applyProtection="0"/>
    <xf numFmtId="0" fontId="11" fillId="5" borderId="0" applyNumberFormat="0" applyBorder="0" applyAlignment="0" applyProtection="0"/>
    <xf numFmtId="0" fontId="59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59" fillId="7" borderId="0" applyNumberFormat="0" applyBorder="0" applyAlignment="0" applyProtection="0"/>
    <xf numFmtId="0" fontId="5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59" fillId="14" borderId="0" applyNumberFormat="0" applyBorder="0" applyAlignment="0" applyProtection="0"/>
    <xf numFmtId="0" fontId="59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59" fillId="13" borderId="0" applyNumberFormat="0" applyBorder="0" applyAlignment="0" applyProtection="0"/>
    <xf numFmtId="0" fontId="59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59" fillId="14" borderId="0" applyNumberFormat="0" applyBorder="0" applyAlignment="0" applyProtection="0"/>
    <xf numFmtId="0" fontId="59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59" fillId="12" borderId="0" applyNumberFormat="0" applyBorder="0" applyAlignment="0" applyProtection="0"/>
    <xf numFmtId="0" fontId="250" fillId="15" borderId="0" applyNumberFormat="0" applyBorder="0" applyAlignment="0" applyProtection="0"/>
    <xf numFmtId="0" fontId="250" fillId="15" borderId="0" applyNumberFormat="0" applyBorder="0" applyAlignment="0" applyProtection="0"/>
    <xf numFmtId="0" fontId="250" fillId="15" borderId="0" applyNumberFormat="0" applyBorder="0" applyAlignment="0" applyProtection="0"/>
    <xf numFmtId="0" fontId="250" fillId="15" borderId="0" applyNumberFormat="0" applyBorder="0" applyAlignment="0" applyProtection="0"/>
    <xf numFmtId="0" fontId="59" fillId="16" borderId="0" applyNumberFormat="0" applyBorder="0" applyAlignment="0" applyProtection="0"/>
    <xf numFmtId="0" fontId="11" fillId="16" borderId="0" applyNumberFormat="0" applyBorder="0" applyAlignment="0" applyProtection="0"/>
    <xf numFmtId="0" fontId="59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59" fillId="17" borderId="0" applyNumberFormat="0" applyBorder="0" applyAlignment="0" applyProtection="0"/>
    <xf numFmtId="0" fontId="250" fillId="65" borderId="0" applyNumberFormat="0" applyBorder="0" applyAlignment="0" applyProtection="0"/>
    <xf numFmtId="0" fontId="250" fillId="65" borderId="0" applyNumberFormat="0" applyBorder="0" applyAlignment="0" applyProtection="0"/>
    <xf numFmtId="0" fontId="59" fillId="7" borderId="0" applyNumberFormat="0" applyBorder="0" applyAlignment="0" applyProtection="0"/>
    <xf numFmtId="0" fontId="11" fillId="7" borderId="0" applyNumberFormat="0" applyBorder="0" applyAlignment="0" applyProtection="0"/>
    <xf numFmtId="0" fontId="5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9" fillId="9" borderId="0" applyNumberFormat="0" applyBorder="0" applyAlignment="0" applyProtection="0"/>
    <xf numFmtId="0" fontId="250" fillId="3" borderId="0" applyNumberFormat="0" applyBorder="0" applyAlignment="0" applyProtection="0"/>
    <xf numFmtId="0" fontId="250" fillId="3" borderId="0" applyNumberFormat="0" applyBorder="0" applyAlignment="0" applyProtection="0"/>
    <xf numFmtId="0" fontId="250" fillId="3" borderId="0" applyNumberFormat="0" applyBorder="0" applyAlignment="0" applyProtection="0"/>
    <xf numFmtId="0" fontId="250" fillId="3" borderId="0" applyNumberFormat="0" applyBorder="0" applyAlignment="0" applyProtection="0"/>
    <xf numFmtId="0" fontId="59" fillId="18" borderId="0" applyNumberFormat="0" applyBorder="0" applyAlignment="0" applyProtection="0"/>
    <xf numFmtId="0" fontId="11" fillId="18" borderId="0" applyNumberFormat="0" applyBorder="0" applyAlignment="0" applyProtection="0"/>
    <xf numFmtId="0" fontId="5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59" fillId="19" borderId="0" applyNumberFormat="0" applyBorder="0" applyAlignment="0" applyProtection="0"/>
    <xf numFmtId="0" fontId="250" fillId="15" borderId="0" applyNumberFormat="0" applyBorder="0" applyAlignment="0" applyProtection="0"/>
    <xf numFmtId="0" fontId="250" fillId="15" borderId="0" applyNumberFormat="0" applyBorder="0" applyAlignment="0" applyProtection="0"/>
    <xf numFmtId="0" fontId="250" fillId="15" borderId="0" applyNumberFormat="0" applyBorder="0" applyAlignment="0" applyProtection="0"/>
    <xf numFmtId="0" fontId="250" fillId="15" borderId="0" applyNumberFormat="0" applyBorder="0" applyAlignment="0" applyProtection="0"/>
    <xf numFmtId="0" fontId="59" fillId="11" borderId="0" applyNumberFormat="0" applyBorder="0" applyAlignment="0" applyProtection="0"/>
    <xf numFmtId="0" fontId="11" fillId="11" borderId="0" applyNumberFormat="0" applyBorder="0" applyAlignment="0" applyProtection="0"/>
    <xf numFmtId="0" fontId="5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59" fillId="12" borderId="0" applyNumberFormat="0" applyBorder="0" applyAlignment="0" applyProtection="0"/>
    <xf numFmtId="0" fontId="250" fillId="66" borderId="0" applyNumberFormat="0" applyBorder="0" applyAlignment="0" applyProtection="0"/>
    <xf numFmtId="0" fontId="250" fillId="66" borderId="0" applyNumberFormat="0" applyBorder="0" applyAlignment="0" applyProtection="0"/>
    <xf numFmtId="0" fontId="59" fillId="16" borderId="0" applyNumberFormat="0" applyBorder="0" applyAlignment="0" applyProtection="0"/>
    <xf numFmtId="0" fontId="11" fillId="16" borderId="0" applyNumberFormat="0" applyBorder="0" applyAlignment="0" applyProtection="0"/>
    <xf numFmtId="0" fontId="59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59" fillId="5" borderId="0" applyNumberFormat="0" applyBorder="0" applyAlignment="0" applyProtection="0"/>
    <xf numFmtId="0" fontId="250" fillId="3" borderId="0" applyNumberFormat="0" applyBorder="0" applyAlignment="0" applyProtection="0"/>
    <xf numFmtId="0" fontId="250" fillId="3" borderId="0" applyNumberFormat="0" applyBorder="0" applyAlignment="0" applyProtection="0"/>
    <xf numFmtId="0" fontId="250" fillId="3" borderId="0" applyNumberFormat="0" applyBorder="0" applyAlignment="0" applyProtection="0"/>
    <xf numFmtId="0" fontId="250" fillId="3" borderId="0" applyNumberFormat="0" applyBorder="0" applyAlignment="0" applyProtection="0"/>
    <xf numFmtId="0" fontId="59" fillId="20" borderId="0" applyNumberFormat="0" applyBorder="0" applyAlignment="0" applyProtection="0"/>
    <xf numFmtId="0" fontId="11" fillId="20" borderId="0" applyNumberFormat="0" applyBorder="0" applyAlignment="0" applyProtection="0"/>
    <xf numFmtId="0" fontId="59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59" fillId="15" borderId="0" applyNumberFormat="0" applyBorder="0" applyAlignment="0" applyProtection="0"/>
    <xf numFmtId="0" fontId="59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59" fillId="7" borderId="0" applyNumberFormat="0" applyBorder="0" applyAlignment="0" applyProtection="0"/>
    <xf numFmtId="0" fontId="5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59" fillId="15" borderId="0" applyNumberFormat="0" applyBorder="0" applyAlignment="0" applyProtection="0"/>
    <xf numFmtId="0" fontId="59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59" fillId="16" borderId="0" applyNumberFormat="0" applyBorder="0" applyAlignment="0" applyProtection="0"/>
    <xf numFmtId="0" fontId="59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60" fillId="0" borderId="0"/>
    <xf numFmtId="0" fontId="61" fillId="12" borderId="0" applyNumberFormat="0" applyBorder="0" applyAlignment="0" applyProtection="0"/>
    <xf numFmtId="0" fontId="251" fillId="21" borderId="0" applyNumberFormat="0" applyBorder="0" applyAlignment="0" applyProtection="0"/>
    <xf numFmtId="0" fontId="251" fillId="21" borderId="0" applyNumberFormat="0" applyBorder="0" applyAlignment="0" applyProtection="0"/>
    <xf numFmtId="0" fontId="61" fillId="19" borderId="0" applyNumberFormat="0" applyBorder="0" applyAlignment="0" applyProtection="0"/>
    <xf numFmtId="0" fontId="61" fillId="12" borderId="0" applyNumberFormat="0" applyBorder="0" applyAlignment="0" applyProtection="0"/>
    <xf numFmtId="0" fontId="61" fillId="17" borderId="0" applyNumberFormat="0" applyBorder="0" applyAlignment="0" applyProtection="0"/>
    <xf numFmtId="0" fontId="251" fillId="67" borderId="0" applyNumberFormat="0" applyBorder="0" applyAlignment="0" applyProtection="0"/>
    <xf numFmtId="0" fontId="61" fillId="7" borderId="0" applyNumberFormat="0" applyBorder="0" applyAlignment="0" applyProtection="0"/>
    <xf numFmtId="0" fontId="61" fillId="17" borderId="0" applyNumberFormat="0" applyBorder="0" applyAlignment="0" applyProtection="0"/>
    <xf numFmtId="0" fontId="61" fillId="9" borderId="0" applyNumberFormat="0" applyBorder="0" applyAlignment="0" applyProtection="0"/>
    <xf numFmtId="0" fontId="251" fillId="14" borderId="0" applyNumberFormat="0" applyBorder="0" applyAlignment="0" applyProtection="0"/>
    <xf numFmtId="0" fontId="251" fillId="14" borderId="0" applyNumberFormat="0" applyBorder="0" applyAlignment="0" applyProtection="0"/>
    <xf numFmtId="0" fontId="61" fillId="18" borderId="0" applyNumberFormat="0" applyBorder="0" applyAlignment="0" applyProtection="0"/>
    <xf numFmtId="0" fontId="61" fillId="9" borderId="0" applyNumberFormat="0" applyBorder="0" applyAlignment="0" applyProtection="0"/>
    <xf numFmtId="0" fontId="61" fillId="22" borderId="0" applyNumberFormat="0" applyBorder="0" applyAlignment="0" applyProtection="0"/>
    <xf numFmtId="0" fontId="251" fillId="15" borderId="0" applyNumberFormat="0" applyBorder="0" applyAlignment="0" applyProtection="0"/>
    <xf numFmtId="0" fontId="251" fillId="15" borderId="0" applyNumberFormat="0" applyBorder="0" applyAlignment="0" applyProtection="0"/>
    <xf numFmtId="0" fontId="61" fillId="23" borderId="0" applyNumberFormat="0" applyBorder="0" applyAlignment="0" applyProtection="0"/>
    <xf numFmtId="0" fontId="61" fillId="22" borderId="0" applyNumberFormat="0" applyBorder="0" applyAlignment="0" applyProtection="0"/>
    <xf numFmtId="0" fontId="61" fillId="12" borderId="0" applyNumberFormat="0" applyBorder="0" applyAlignment="0" applyProtection="0"/>
    <xf numFmtId="0" fontId="251" fillId="68" borderId="0" applyNumberFormat="0" applyBorder="0" applyAlignment="0" applyProtection="0"/>
    <xf numFmtId="0" fontId="61" fillId="21" borderId="0" applyNumberFormat="0" applyBorder="0" applyAlignment="0" applyProtection="0"/>
    <xf numFmtId="0" fontId="61" fillId="12" borderId="0" applyNumberFormat="0" applyBorder="0" applyAlignment="0" applyProtection="0"/>
    <xf numFmtId="0" fontId="61" fillId="5" borderId="0" applyNumberFormat="0" applyBorder="0" applyAlignment="0" applyProtection="0"/>
    <xf numFmtId="0" fontId="251" fillId="3" borderId="0" applyNumberFormat="0" applyBorder="0" applyAlignment="0" applyProtection="0"/>
    <xf numFmtId="0" fontId="251" fillId="3" borderId="0" applyNumberFormat="0" applyBorder="0" applyAlignment="0" applyProtection="0"/>
    <xf numFmtId="0" fontId="61" fillId="24" borderId="0" applyNumberFormat="0" applyBorder="0" applyAlignment="0" applyProtection="0"/>
    <xf numFmtId="0" fontId="61" fillId="5" borderId="0" applyNumberFormat="0" applyBorder="0" applyAlignment="0" applyProtection="0"/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61" fillId="7" borderId="0" applyNumberFormat="0" applyBorder="0" applyAlignment="0" applyProtection="0"/>
    <xf numFmtId="0" fontId="61" fillId="7" borderId="0" applyNumberFormat="0" applyBorder="0" applyAlignment="0" applyProtection="0"/>
    <xf numFmtId="0" fontId="61" fillId="3" borderId="0" applyNumberFormat="0" applyBorder="0" applyAlignment="0" applyProtection="0"/>
    <xf numFmtId="0" fontId="61" fillId="3" borderId="0" applyNumberFormat="0" applyBorder="0" applyAlignment="0" applyProtection="0"/>
    <xf numFmtId="0" fontId="61" fillId="15" borderId="0" applyNumberFormat="0" applyBorder="0" applyAlignment="0" applyProtection="0"/>
    <xf numFmtId="0" fontId="61" fillId="15" borderId="0" applyNumberFormat="0" applyBorder="0" applyAlignment="0" applyProtection="0"/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61" fillId="7" borderId="0" applyNumberFormat="0" applyBorder="0" applyAlignment="0" applyProtection="0"/>
    <xf numFmtId="0" fontId="61" fillId="7" borderId="0" applyNumberFormat="0" applyBorder="0" applyAlignment="0" applyProtection="0"/>
    <xf numFmtId="37" fontId="62" fillId="0" borderId="0">
      <alignment horizontal="center"/>
    </xf>
    <xf numFmtId="0" fontId="21" fillId="25" borderId="0" applyFont="0" applyFill="0"/>
    <xf numFmtId="37" fontId="211" fillId="0" borderId="0"/>
    <xf numFmtId="0" fontId="61" fillId="12" borderId="0" applyNumberFormat="0" applyBorder="0" applyAlignment="0" applyProtection="0"/>
    <xf numFmtId="0" fontId="251" fillId="21" borderId="0" applyNumberFormat="0" applyBorder="0" applyAlignment="0" applyProtection="0"/>
    <xf numFmtId="0" fontId="251" fillId="21" borderId="0" applyNumberFormat="0" applyBorder="0" applyAlignment="0" applyProtection="0"/>
    <xf numFmtId="0" fontId="61" fillId="26" borderId="0" applyNumberFormat="0" applyBorder="0" applyAlignment="0" applyProtection="0"/>
    <xf numFmtId="0" fontId="61" fillId="12" borderId="0" applyNumberFormat="0" applyBorder="0" applyAlignment="0" applyProtection="0"/>
    <xf numFmtId="0" fontId="61" fillId="27" borderId="0" applyNumberFormat="0" applyBorder="0" applyAlignment="0" applyProtection="0"/>
    <xf numFmtId="0" fontId="251" fillId="7" borderId="0" applyNumberFormat="0" applyBorder="0" applyAlignment="0" applyProtection="0"/>
    <xf numFmtId="0" fontId="251" fillId="7" borderId="0" applyNumberFormat="0" applyBorder="0" applyAlignment="0" applyProtection="0"/>
    <xf numFmtId="0" fontId="61" fillId="27" borderId="0" applyNumberFormat="0" applyBorder="0" applyAlignment="0" applyProtection="0"/>
    <xf numFmtId="0" fontId="61" fillId="27" borderId="0" applyNumberFormat="0" applyBorder="0" applyAlignment="0" applyProtection="0"/>
    <xf numFmtId="0" fontId="61" fillId="9" borderId="0" applyNumberFormat="0" applyBorder="0" applyAlignment="0" applyProtection="0"/>
    <xf numFmtId="0" fontId="251" fillId="14" borderId="0" applyNumberFormat="0" applyBorder="0" applyAlignment="0" applyProtection="0"/>
    <xf numFmtId="0" fontId="251" fillId="14" borderId="0" applyNumberFormat="0" applyBorder="0" applyAlignment="0" applyProtection="0"/>
    <xf numFmtId="0" fontId="61" fillId="28" borderId="0" applyNumberFormat="0" applyBorder="0" applyAlignment="0" applyProtection="0"/>
    <xf numFmtId="0" fontId="61" fillId="9" borderId="0" applyNumberFormat="0" applyBorder="0" applyAlignment="0" applyProtection="0"/>
    <xf numFmtId="0" fontId="61" fillId="22" borderId="0" applyNumberFormat="0" applyBorder="0" applyAlignment="0" applyProtection="0"/>
    <xf numFmtId="0" fontId="251" fillId="29" borderId="0" applyNumberFormat="0" applyBorder="0" applyAlignment="0" applyProtection="0"/>
    <xf numFmtId="0" fontId="251" fillId="29" borderId="0" applyNumberFormat="0" applyBorder="0" applyAlignment="0" applyProtection="0"/>
    <xf numFmtId="0" fontId="61" fillId="23" borderId="0" applyNumberFormat="0" applyBorder="0" applyAlignment="0" applyProtection="0"/>
    <xf numFmtId="0" fontId="61" fillId="22" borderId="0" applyNumberFormat="0" applyBorder="0" applyAlignment="0" applyProtection="0"/>
    <xf numFmtId="0" fontId="61" fillId="21" borderId="0" applyNumberFormat="0" applyBorder="0" applyAlignment="0" applyProtection="0"/>
    <xf numFmtId="0" fontId="251" fillId="69" borderId="0" applyNumberFormat="0" applyBorder="0" applyAlignment="0" applyProtection="0"/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61" fillId="17" borderId="0" applyNumberFormat="0" applyBorder="0" applyAlignment="0" applyProtection="0"/>
    <xf numFmtId="0" fontId="251" fillId="7" borderId="0" applyNumberFormat="0" applyBorder="0" applyAlignment="0" applyProtection="0"/>
    <xf numFmtId="0" fontId="251" fillId="7" borderId="0" applyNumberFormat="0" applyBorder="0" applyAlignment="0" applyProtection="0"/>
    <xf numFmtId="0" fontId="61" fillId="30" borderId="0" applyNumberFormat="0" applyBorder="0" applyAlignment="0" applyProtection="0"/>
    <xf numFmtId="0" fontId="61" fillId="17" borderId="0" applyNumberFormat="0" applyBorder="0" applyAlignment="0" applyProtection="0"/>
    <xf numFmtId="222" fontId="63" fillId="0" borderId="0" applyFont="0" applyFill="0" applyBorder="0" applyAlignment="0" applyProtection="0"/>
    <xf numFmtId="209" fontId="22" fillId="31" borderId="5">
      <alignment horizontal="center" vertical="center"/>
    </xf>
    <xf numFmtId="209" fontId="19" fillId="31" borderId="5">
      <alignment horizontal="center"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2" fillId="0" borderId="0"/>
    <xf numFmtId="0" fontId="12" fillId="0" borderId="0"/>
    <xf numFmtId="191" fontId="64" fillId="0" borderId="0">
      <alignment horizontal="left"/>
    </xf>
    <xf numFmtId="223" fontId="65" fillId="0" borderId="0"/>
    <xf numFmtId="14" fontId="212" fillId="32" borderId="6" applyNumberFormat="0" applyFont="0" applyBorder="0" applyAlignment="0" applyProtection="0">
      <alignment horizontal="center" vertical="center"/>
    </xf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94" fontId="14" fillId="33" borderId="7" applyNumberFormat="0" applyFont="0" applyAlignment="0" applyProtection="0"/>
    <xf numFmtId="194" fontId="12" fillId="33" borderId="7" applyNumberFormat="0" applyFont="0" applyAlignment="0" applyProtection="0"/>
    <xf numFmtId="224" fontId="47" fillId="0" borderId="1">
      <alignment vertical="top"/>
    </xf>
    <xf numFmtId="0" fontId="66" fillId="8" borderId="0" applyNumberFormat="0" applyBorder="0" applyAlignment="0" applyProtection="0"/>
    <xf numFmtId="0" fontId="252" fillId="70" borderId="0" applyNumberFormat="0" applyBorder="0" applyAlignment="0" applyProtection="0"/>
    <xf numFmtId="0" fontId="125" fillId="8" borderId="0" applyNumberFormat="0" applyBorder="0" applyAlignment="0" applyProtection="0"/>
    <xf numFmtId="0" fontId="66" fillId="8" borderId="0" applyNumberFormat="0" applyBorder="0" applyAlignment="0" applyProtection="0"/>
    <xf numFmtId="256" fontId="102" fillId="0" borderId="0"/>
    <xf numFmtId="194" fontId="27" fillId="0" borderId="0" applyFont="0" applyFill="0" applyBorder="0" applyAlignment="0" applyProtection="0"/>
    <xf numFmtId="1" fontId="67" fillId="34" borderId="8" applyNumberFormat="0" applyBorder="0" applyAlignment="0">
      <alignment horizontal="center" vertical="top" wrapText="1"/>
      <protection hidden="1"/>
    </xf>
    <xf numFmtId="37" fontId="6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91" fontId="69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35" borderId="0" applyNumberFormat="0" applyFill="0" applyBorder="0" applyAlignment="0" applyProtection="0">
      <protection locked="0"/>
    </xf>
    <xf numFmtId="201" fontId="13" fillId="0" borderId="0" applyNumberFormat="0" applyFont="0" applyAlignment="0"/>
    <xf numFmtId="14" fontId="72" fillId="0" borderId="0" applyNumberFormat="0" applyFill="0" applyBorder="0" applyAlignment="0" applyProtection="0">
      <alignment horizontal="center"/>
    </xf>
    <xf numFmtId="0" fontId="73" fillId="0" borderId="0" applyNumberFormat="0" applyFill="0" applyBorder="0" applyAlignment="0" applyProtection="0"/>
    <xf numFmtId="0" fontId="19" fillId="0" borderId="0"/>
    <xf numFmtId="0" fontId="28" fillId="0" borderId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5" fillId="35" borderId="10" applyNumberFormat="0" applyFill="0" applyBorder="0" applyAlignment="0" applyProtection="0">
      <protection locked="0"/>
    </xf>
    <xf numFmtId="0" fontId="76" fillId="10" borderId="0" applyNumberFormat="0" applyBorder="0" applyAlignment="0" applyProtection="0"/>
    <xf numFmtId="173" fontId="14" fillId="0" borderId="11" applyNumberFormat="0" applyFont="0" applyFill="0" applyAlignment="0" applyProtection="0"/>
    <xf numFmtId="173" fontId="12" fillId="0" borderId="11" applyNumberFormat="0" applyFont="0" applyFill="0" applyAlignment="0" applyProtection="0"/>
    <xf numFmtId="0" fontId="77" fillId="0" borderId="12" applyNumberFormat="0" applyFont="0" applyFill="0" applyAlignment="0" applyProtection="0"/>
    <xf numFmtId="0" fontId="27" fillId="0" borderId="12" applyNumberFormat="0" applyFont="0" applyFill="0" applyAlignment="0" applyProtection="0"/>
    <xf numFmtId="0" fontId="77" fillId="0" borderId="13" applyNumberFormat="0" applyFont="0" applyFill="0" applyAlignment="0" applyProtection="0"/>
    <xf numFmtId="0" fontId="27" fillId="0" borderId="13" applyNumberFormat="0" applyFont="0" applyFill="0" applyAlignment="0" applyProtection="0"/>
    <xf numFmtId="0" fontId="14" fillId="0" borderId="9" applyNumberFormat="0" applyFont="0" applyFill="0" applyAlignment="0" applyProtection="0"/>
    <xf numFmtId="0" fontId="12" fillId="0" borderId="9" applyNumberFormat="0" applyFont="0" applyFill="0" applyAlignment="0" applyProtection="0"/>
    <xf numFmtId="0" fontId="14" fillId="0" borderId="8" applyNumberFormat="0" applyFont="0" applyFill="0" applyAlignment="0" applyProtection="0"/>
    <xf numFmtId="0" fontId="12" fillId="0" borderId="8" applyNumberFormat="0" applyFont="0" applyFill="0" applyAlignment="0" applyProtection="0"/>
    <xf numFmtId="0" fontId="14" fillId="0" borderId="10" applyNumberFormat="0" applyFont="0" applyFill="0" applyAlignment="0" applyProtection="0"/>
    <xf numFmtId="0" fontId="12" fillId="0" borderId="10" applyNumberFormat="0" applyFont="0" applyFill="0" applyAlignment="0" applyProtection="0"/>
    <xf numFmtId="0" fontId="14" fillId="0" borderId="11" applyNumberFormat="0" applyFont="0" applyFill="0" applyAlignment="0" applyProtection="0"/>
    <xf numFmtId="0" fontId="12" fillId="0" borderId="11" applyNumberFormat="0" applyFont="0" applyFill="0" applyAlignment="0" applyProtection="0"/>
    <xf numFmtId="0" fontId="78" fillId="0" borderId="14" applyFill="0" applyProtection="0">
      <alignment horizontal="right"/>
    </xf>
    <xf numFmtId="37" fontId="79" fillId="0" borderId="0" applyNumberFormat="0" applyFill="0" applyBorder="0" applyAlignment="0" applyProtection="0">
      <alignment horizontal="center"/>
    </xf>
    <xf numFmtId="225" fontId="15" fillId="0" borderId="0"/>
    <xf numFmtId="225" fontId="13" fillId="0" borderId="0"/>
    <xf numFmtId="205" fontId="24" fillId="0" borderId="0" applyFont="0" applyFill="0" applyBorder="0" applyAlignment="0" applyProtection="0"/>
    <xf numFmtId="226" fontId="55" fillId="0" borderId="0" applyFont="0" applyFill="0" applyBorder="0" applyAlignment="0" applyProtection="0"/>
    <xf numFmtId="0" fontId="25" fillId="0" borderId="0"/>
    <xf numFmtId="0" fontId="25" fillId="0" borderId="0"/>
    <xf numFmtId="0" fontId="8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80" fillId="0" borderId="0"/>
    <xf numFmtId="0" fontId="25" fillId="0" borderId="0"/>
    <xf numFmtId="0" fontId="25" fillId="0" borderId="0"/>
    <xf numFmtId="0" fontId="25" fillId="0" borderId="0"/>
    <xf numFmtId="0" fontId="15" fillId="0" borderId="0"/>
    <xf numFmtId="14" fontId="212" fillId="31" borderId="15" applyBorder="0" applyAlignment="0">
      <alignment horizontal="center" vertical="center"/>
    </xf>
    <xf numFmtId="0" fontId="225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227" fontId="81" fillId="0" borderId="0" applyFill="0" applyBorder="0" applyAlignment="0"/>
    <xf numFmtId="0" fontId="82" fillId="4" borderId="16" applyNumberFormat="0" applyAlignment="0" applyProtection="0"/>
    <xf numFmtId="0" fontId="253" fillId="4" borderId="49" applyNumberFormat="0" applyAlignment="0" applyProtection="0"/>
    <xf numFmtId="0" fontId="253" fillId="4" borderId="49" applyNumberFormat="0" applyAlignment="0" applyProtection="0"/>
    <xf numFmtId="0" fontId="83" fillId="15" borderId="16" applyNumberFormat="0" applyAlignment="0" applyProtection="0"/>
    <xf numFmtId="0" fontId="82" fillId="4" borderId="16" applyNumberFormat="0" applyAlignment="0" applyProtection="0"/>
    <xf numFmtId="0" fontId="83" fillId="4" borderId="16" applyNumberFormat="0" applyAlignment="0" applyProtection="0"/>
    <xf numFmtId="0" fontId="83" fillId="4" borderId="16" applyNumberFormat="0" applyAlignment="0" applyProtection="0"/>
    <xf numFmtId="0" fontId="12" fillId="0" borderId="0"/>
    <xf numFmtId="194" fontId="93" fillId="0" borderId="0" applyFont="0" applyFill="0" applyBorder="0" applyAlignment="0" applyProtection="0"/>
    <xf numFmtId="0" fontId="84" fillId="36" borderId="17" applyNumberFormat="0" applyAlignment="0" applyProtection="0"/>
    <xf numFmtId="0" fontId="85" fillId="0" borderId="18" applyNumberFormat="0" applyFill="0" applyAlignment="0" applyProtection="0"/>
    <xf numFmtId="0" fontId="26" fillId="0" borderId="0" applyNumberFormat="0" applyFont="0" applyFill="0" applyBorder="0" applyProtection="0">
      <alignment horizontal="center" vertical="center" wrapText="1"/>
    </xf>
    <xf numFmtId="0" fontId="46" fillId="0" borderId="0">
      <alignment horizontal="right"/>
    </xf>
    <xf numFmtId="258" fontId="68" fillId="0" borderId="0"/>
    <xf numFmtId="1" fontId="86" fillId="0" borderId="0"/>
    <xf numFmtId="0" fontId="84" fillId="37" borderId="17" applyNumberFormat="0" applyAlignment="0" applyProtection="0"/>
    <xf numFmtId="0" fontId="254" fillId="71" borderId="50" applyNumberFormat="0" applyAlignment="0" applyProtection="0"/>
    <xf numFmtId="0" fontId="84" fillId="37" borderId="17" applyNumberFormat="0" applyAlignment="0" applyProtection="0"/>
    <xf numFmtId="49" fontId="87" fillId="0" borderId="0">
      <alignment horizontal="right" vertical="center"/>
    </xf>
    <xf numFmtId="49" fontId="88" fillId="0" borderId="0">
      <alignment horizontal="right" vertical="center"/>
    </xf>
    <xf numFmtId="0" fontId="89" fillId="0" borderId="9" applyNumberFormat="0" applyFill="0" applyProtection="0">
      <alignment horizontal="left" vertical="center"/>
    </xf>
    <xf numFmtId="0" fontId="90" fillId="0" borderId="0" applyNumberFormat="0" applyFill="0" applyBorder="0" applyProtection="0">
      <alignment horizontal="right"/>
    </xf>
    <xf numFmtId="175" fontId="16" fillId="0" borderId="0" applyBorder="0">
      <alignment horizontal="right"/>
    </xf>
    <xf numFmtId="175" fontId="16" fillId="0" borderId="12" applyAlignment="0">
      <alignment horizontal="right"/>
    </xf>
    <xf numFmtId="188" fontId="91" fillId="0" borderId="0" applyFont="0" applyFill="0" applyBorder="0" applyAlignment="0" applyProtection="0"/>
    <xf numFmtId="43" fontId="12" fillId="0" borderId="0" applyFont="0" applyFill="0" applyBorder="0" applyAlignment="0" applyProtection="0"/>
    <xf numFmtId="183" fontId="92" fillId="0" borderId="0"/>
    <xf numFmtId="183" fontId="92" fillId="0" borderId="0"/>
    <xf numFmtId="183" fontId="92" fillId="0" borderId="0"/>
    <xf numFmtId="183" fontId="92" fillId="0" borderId="0"/>
    <xf numFmtId="183" fontId="92" fillId="0" borderId="0"/>
    <xf numFmtId="183" fontId="92" fillId="0" borderId="0"/>
    <xf numFmtId="183" fontId="92" fillId="0" borderId="0"/>
    <xf numFmtId="183" fontId="92" fillId="0" borderId="0"/>
    <xf numFmtId="0" fontId="77" fillId="0" borderId="0"/>
    <xf numFmtId="0" fontId="27" fillId="0" borderId="0"/>
    <xf numFmtId="41" fontId="14" fillId="0" borderId="0" applyFont="0" applyFill="0" applyBorder="0" applyAlignment="0" applyProtection="0"/>
    <xf numFmtId="41" fontId="12" fillId="0" borderId="0" applyFont="0" applyFill="0" applyBorder="0" applyAlignment="0" applyProtection="0"/>
    <xf numFmtId="194" fontId="27" fillId="0" borderId="0" applyFont="0" applyFill="0" applyBorder="0" applyAlignment="0" applyProtection="0"/>
    <xf numFmtId="40" fontId="93" fillId="0" borderId="0" applyFont="0" applyFill="0" applyBorder="0" applyAlignment="0" applyProtection="0">
      <alignment horizontal="center"/>
    </xf>
    <xf numFmtId="199" fontId="93" fillId="0" borderId="0" applyFont="0" applyFill="0" applyBorder="0" applyAlignment="0" applyProtection="0">
      <alignment horizont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" fontId="27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185" fontId="237" fillId="0" borderId="0" applyFont="0" applyFill="0" applyBorder="0" applyAlignment="0" applyProtection="0"/>
    <xf numFmtId="185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0" fontId="14" fillId="0" borderId="0" applyFont="0" applyFill="0" applyBorder="0" applyProtection="0">
      <alignment horizontal="right"/>
    </xf>
    <xf numFmtId="40" fontId="12" fillId="0" borderId="0" applyFont="0" applyFill="0" applyBorder="0" applyProtection="0">
      <alignment horizontal="right"/>
    </xf>
    <xf numFmtId="188" fontId="77" fillId="0" borderId="0"/>
    <xf numFmtId="188" fontId="27" fillId="0" borderId="0"/>
    <xf numFmtId="4" fontId="77" fillId="0" borderId="0"/>
    <xf numFmtId="4" fontId="27" fillId="0" borderId="0"/>
    <xf numFmtId="199" fontId="77" fillId="0" borderId="0"/>
    <xf numFmtId="199" fontId="27" fillId="0" borderId="0"/>
    <xf numFmtId="173" fontId="13" fillId="0" borderId="0"/>
    <xf numFmtId="3" fontId="94" fillId="0" borderId="0" applyFont="0" applyFill="0" applyBorder="0" applyAlignment="0" applyProtection="0"/>
    <xf numFmtId="0" fontId="95" fillId="0" borderId="0"/>
    <xf numFmtId="0" fontId="12" fillId="0" borderId="0"/>
    <xf numFmtId="0" fontId="95" fillId="0" borderId="0"/>
    <xf numFmtId="0" fontId="12" fillId="0" borderId="0"/>
    <xf numFmtId="3" fontId="196" fillId="0" borderId="0"/>
    <xf numFmtId="188" fontId="196" fillId="0" borderId="0"/>
    <xf numFmtId="2" fontId="196" fillId="0" borderId="0"/>
    <xf numFmtId="0" fontId="96" fillId="0" borderId="0"/>
    <xf numFmtId="191" fontId="97" fillId="0" borderId="0" applyFill="0" applyBorder="0">
      <alignment horizontal="left"/>
    </xf>
    <xf numFmtId="37" fontId="98" fillId="38" borderId="7">
      <alignment horizontal="right"/>
    </xf>
    <xf numFmtId="0" fontId="99" fillId="0" borderId="0" applyNumberFormat="0" applyAlignment="0">
      <alignment horizontal="left"/>
    </xf>
    <xf numFmtId="0" fontId="77" fillId="0" borderId="0"/>
    <xf numFmtId="0" fontId="27" fillId="0" borderId="0"/>
    <xf numFmtId="192" fontId="26" fillId="0" borderId="0" applyFont="0" applyFill="0" applyBorder="0" applyAlignment="0" applyProtection="0"/>
    <xf numFmtId="167" fontId="27" fillId="0" borderId="0" applyFont="0" applyFill="0" applyBorder="0" applyAlignment="0" applyProtection="0"/>
    <xf numFmtId="189" fontId="27" fillId="0" borderId="0" applyFont="0" applyFill="0" applyBorder="0" applyAlignment="0" applyProtection="0"/>
    <xf numFmtId="0" fontId="77" fillId="0" borderId="0"/>
    <xf numFmtId="0" fontId="27" fillId="0" borderId="0"/>
    <xf numFmtId="0" fontId="94" fillId="0" borderId="0" applyFont="0" applyFill="0" applyBorder="0" applyAlignment="0" applyProtection="0"/>
    <xf numFmtId="166" fontId="100" fillId="0" borderId="0" applyFill="0" applyBorder="0">
      <alignment horizontal="right"/>
    </xf>
    <xf numFmtId="228" fontId="55" fillId="0" borderId="0" applyFont="0" applyFill="0" applyBorder="0" applyAlignment="0" applyProtection="0"/>
    <xf numFmtId="2" fontId="101" fillId="0" borderId="0" applyNumberFormat="0" applyFill="0" applyBorder="0" applyAlignment="0" applyProtection="0">
      <protection locked="0"/>
    </xf>
    <xf numFmtId="167" fontId="102" fillId="0" borderId="0" applyNumberFormat="0" applyFill="0" applyBorder="0" applyAlignment="0"/>
    <xf numFmtId="2" fontId="52" fillId="0" borderId="0" applyNumberFormat="0" applyFill="0" applyBorder="0" applyProtection="0">
      <alignment horizontal="left"/>
    </xf>
    <xf numFmtId="0" fontId="15" fillId="39" borderId="0" applyNumberFormat="0" applyFont="0" applyBorder="0" applyAlignment="0" applyProtection="0">
      <protection locked="0"/>
    </xf>
    <xf numFmtId="191" fontId="27" fillId="0" borderId="0" applyFont="0" applyFill="0" applyBorder="0" applyProtection="0">
      <alignment horizontal="right"/>
    </xf>
    <xf numFmtId="17" fontId="103" fillId="0" borderId="0" applyFill="0" applyBorder="0">
      <alignment horizontal="right"/>
    </xf>
    <xf numFmtId="17" fontId="16" fillId="0" borderId="0" applyFill="0" applyBorder="0">
      <alignment horizontal="right"/>
    </xf>
    <xf numFmtId="0" fontId="104" fillId="0" borderId="0"/>
    <xf numFmtId="204" fontId="27" fillId="0" borderId="0" applyFont="0" applyFill="0" applyBorder="0" applyProtection="0">
      <alignment horizontal="right"/>
    </xf>
    <xf numFmtId="0" fontId="12" fillId="0" borderId="0"/>
    <xf numFmtId="14" fontId="93" fillId="0" borderId="0" applyFont="0" applyFill="0" applyBorder="0" applyAlignment="0" applyProtection="0">
      <alignment horizontal="center"/>
    </xf>
    <xf numFmtId="259" fontId="93" fillId="0" borderId="0" applyFont="0" applyFill="0" applyBorder="0" applyAlignment="0" applyProtection="0">
      <alignment horizontal="center"/>
    </xf>
    <xf numFmtId="14" fontId="18" fillId="0" borderId="0"/>
    <xf numFmtId="0" fontId="100" fillId="0" borderId="0"/>
    <xf numFmtId="0" fontId="27" fillId="0" borderId="0"/>
    <xf numFmtId="229" fontId="46" fillId="0" borderId="0">
      <alignment horizontal="right"/>
    </xf>
    <xf numFmtId="230" fontId="47" fillId="0" borderId="0" applyFill="0" applyBorder="0"/>
    <xf numFmtId="0" fontId="77" fillId="0" borderId="0"/>
    <xf numFmtId="197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0" fontId="12" fillId="0" borderId="0">
      <protection locked="0"/>
    </xf>
    <xf numFmtId="166" fontId="13" fillId="0" borderId="0"/>
    <xf numFmtId="167" fontId="12" fillId="0" borderId="0" applyFill="0" applyBorder="0" applyAlignment="0" applyProtection="0"/>
    <xf numFmtId="167" fontId="12" fillId="0" borderId="0" applyFill="0" applyBorder="0" applyAlignment="0" applyProtection="0"/>
    <xf numFmtId="167" fontId="12" fillId="0" borderId="0" applyFill="0" applyBorder="0" applyAlignment="0" applyProtection="0"/>
    <xf numFmtId="165" fontId="27" fillId="0" borderId="0" applyFont="0" applyFill="0" applyBorder="0" applyAlignment="0" applyProtection="0"/>
    <xf numFmtId="168" fontId="105" fillId="0" borderId="0" applyFill="0" applyBorder="0" applyAlignment="0" applyProtection="0"/>
    <xf numFmtId="3" fontId="15" fillId="0" borderId="11" applyNumberFormat="0" applyBorder="0"/>
    <xf numFmtId="3" fontId="13" fillId="0" borderId="11" applyNumberFormat="0" applyBorder="0"/>
    <xf numFmtId="231" fontId="48" fillId="2" borderId="1">
      <alignment horizontal="right" vertical="top"/>
    </xf>
    <xf numFmtId="232" fontId="47" fillId="0" borderId="1" applyAlignment="0">
      <alignment horizontal="right" vertical="top"/>
    </xf>
    <xf numFmtId="171" fontId="26" fillId="0" borderId="19" applyFill="0" applyBorder="0" applyAlignment="0">
      <alignment horizontal="centerContinuous"/>
    </xf>
    <xf numFmtId="0" fontId="12" fillId="0" borderId="0">
      <protection locked="0"/>
    </xf>
    <xf numFmtId="0" fontId="12" fillId="0" borderId="0">
      <protection locked="0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61" fillId="27" borderId="0" applyNumberFormat="0" applyBorder="0" applyAlignment="0" applyProtection="0"/>
    <xf numFmtId="0" fontId="61" fillId="27" borderId="0" applyNumberFormat="0" applyBorder="0" applyAlignment="0" applyProtection="0"/>
    <xf numFmtId="0" fontId="61" fillId="28" borderId="0" applyNumberFormat="0" applyBorder="0" applyAlignment="0" applyProtection="0"/>
    <xf numFmtId="0" fontId="61" fillId="28" borderId="0" applyNumberFormat="0" applyBorder="0" applyAlignment="0" applyProtection="0"/>
    <xf numFmtId="0" fontId="61" fillId="29" borderId="0" applyNumberFormat="0" applyBorder="0" applyAlignment="0" applyProtection="0"/>
    <xf numFmtId="0" fontId="61" fillId="29" borderId="0" applyNumberFormat="0" applyBorder="0" applyAlignment="0" applyProtection="0"/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61" fillId="30" borderId="0" applyNumberFormat="0" applyBorder="0" applyAlignment="0" applyProtection="0"/>
    <xf numFmtId="0" fontId="61" fillId="30" borderId="0" applyNumberFormat="0" applyBorder="0" applyAlignment="0" applyProtection="0"/>
    <xf numFmtId="0" fontId="106" fillId="0" borderId="0" applyNumberFormat="0" applyAlignment="0">
      <alignment horizontal="left"/>
    </xf>
    <xf numFmtId="167" fontId="107" fillId="0" borderId="0">
      <alignment horizontal="center"/>
      <protection locked="0"/>
    </xf>
    <xf numFmtId="167" fontId="12" fillId="0" borderId="0">
      <alignment horizontal="center"/>
      <protection locked="0"/>
    </xf>
    <xf numFmtId="167" fontId="12" fillId="0" borderId="0">
      <alignment horizontal="center"/>
      <protection locked="0"/>
    </xf>
    <xf numFmtId="167" fontId="12" fillId="0" borderId="0">
      <alignment horizontal="center"/>
      <protection locked="0"/>
    </xf>
    <xf numFmtId="233" fontId="15" fillId="35" borderId="0"/>
    <xf numFmtId="233" fontId="13" fillId="35" borderId="0"/>
    <xf numFmtId="0" fontId="12" fillId="0" borderId="0" applyFont="0" applyFill="0" applyBorder="0" applyAlignment="0" applyProtection="0"/>
    <xf numFmtId="268" fontId="213" fillId="40" borderId="0"/>
    <xf numFmtId="0" fontId="13" fillId="0" borderId="0"/>
    <xf numFmtId="0" fontId="56" fillId="0" borderId="0" applyFont="0" applyFill="0" applyBorder="0" applyAlignment="0" applyProtection="0"/>
    <xf numFmtId="283" fontId="12" fillId="0" borderId="0" applyFont="0" applyFill="0" applyBorder="0" applyAlignment="0" applyProtection="0"/>
    <xf numFmtId="283" fontId="12" fillId="0" borderId="0" applyFont="0" applyFill="0" applyBorder="0" applyAlignment="0" applyProtection="0"/>
    <xf numFmtId="0" fontId="26" fillId="0" borderId="0" applyFont="0" applyFill="0" applyBorder="0" applyAlignment="0" applyProtection="0"/>
    <xf numFmtId="264" fontId="14" fillId="0" borderId="0" applyFont="0" applyFill="0" applyBorder="0" applyAlignment="0" applyProtection="0"/>
    <xf numFmtId="264" fontId="12" fillId="0" borderId="0" applyFont="0" applyFill="0" applyBorder="0" applyAlignment="0" applyProtection="0"/>
    <xf numFmtId="283" fontId="12" fillId="0" borderId="0" applyFont="0" applyFill="0" applyBorder="0" applyAlignment="0" applyProtection="0"/>
    <xf numFmtId="264" fontId="12" fillId="0" borderId="0" applyFont="0" applyFill="0" applyBorder="0" applyAlignment="0" applyProtection="0"/>
    <xf numFmtId="0" fontId="26" fillId="0" borderId="0" applyFont="0" applyFill="0" applyBorder="0" applyAlignment="0" applyProtection="0"/>
    <xf numFmtId="283" fontId="12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283" fontId="12" fillId="0" borderId="0" applyFont="0" applyFill="0" applyBorder="0" applyAlignment="0" applyProtection="0"/>
    <xf numFmtId="0" fontId="26" fillId="0" borderId="0" applyFont="0" applyFill="0" applyBorder="0" applyAlignment="0" applyProtection="0"/>
    <xf numFmtId="283" fontId="12" fillId="0" borderId="0" applyFont="0" applyFill="0" applyBorder="0" applyAlignment="0" applyProtection="0"/>
    <xf numFmtId="283" fontId="12" fillId="0" borderId="0" applyFont="0" applyFill="0" applyBorder="0" applyAlignment="0" applyProtection="0"/>
    <xf numFmtId="283" fontId="12" fillId="0" borderId="0" applyFont="0" applyFill="0" applyBorder="0" applyAlignment="0" applyProtection="0"/>
    <xf numFmtId="283" fontId="12" fillId="0" borderId="0" applyFont="0" applyFill="0" applyBorder="0" applyAlignment="0" applyProtection="0"/>
    <xf numFmtId="283" fontId="12" fillId="0" borderId="0" applyFont="0" applyFill="0" applyBorder="0" applyAlignment="0" applyProtection="0"/>
    <xf numFmtId="283" fontId="12" fillId="0" borderId="0" applyFont="0" applyFill="0" applyBorder="0" applyAlignment="0" applyProtection="0"/>
    <xf numFmtId="283" fontId="12" fillId="0" borderId="0" applyFont="0" applyFill="0" applyBorder="0" applyAlignment="0" applyProtection="0"/>
    <xf numFmtId="283" fontId="12" fillId="0" borderId="0" applyFont="0" applyFill="0" applyBorder="0" applyAlignment="0" applyProtection="0"/>
    <xf numFmtId="283" fontId="12" fillId="0" borderId="0" applyFont="0" applyFill="0" applyBorder="0" applyAlignment="0" applyProtection="0"/>
    <xf numFmtId="283" fontId="12" fillId="0" borderId="0" applyFont="0" applyFill="0" applyBorder="0" applyAlignment="0" applyProtection="0"/>
    <xf numFmtId="0" fontId="108" fillId="0" borderId="0" applyNumberFormat="0" applyFill="0" applyBorder="0" applyAlignment="0" applyProtection="0"/>
    <xf numFmtId="0" fontId="255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4" fillId="0" borderId="0" applyFont="0" applyFill="0" applyBorder="0" applyAlignment="0" applyProtection="0"/>
    <xf numFmtId="0" fontId="109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4" fillId="0" borderId="0" applyFont="0" applyFill="0" applyBorder="0" applyAlignment="0" applyProtection="0"/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10" fillId="0" borderId="0"/>
    <xf numFmtId="284" fontId="55" fillId="0" borderId="0"/>
    <xf numFmtId="0" fontId="26" fillId="0" borderId="0" applyFont="0" applyFill="0" applyBorder="0" applyAlignment="0" applyProtection="0"/>
    <xf numFmtId="1" fontId="111" fillId="41" borderId="20" applyNumberFormat="0" applyBorder="0" applyAlignment="0">
      <alignment horizontal="centerContinuous" vertical="center"/>
      <protection locked="0"/>
    </xf>
    <xf numFmtId="0" fontId="12" fillId="0" borderId="0">
      <protection locked="0"/>
    </xf>
    <xf numFmtId="2" fontId="26" fillId="0" borderId="0" applyFont="0" applyFill="0" applyBorder="0" applyAlignment="0" applyProtection="0"/>
    <xf numFmtId="0" fontId="12" fillId="0" borderId="0">
      <protection locked="0"/>
    </xf>
    <xf numFmtId="0" fontId="12" fillId="0" borderId="0">
      <protection locked="0"/>
    </xf>
    <xf numFmtId="0" fontId="112" fillId="42" borderId="0"/>
    <xf numFmtId="210" fontId="26" fillId="0" borderId="0">
      <protection locked="0"/>
    </xf>
    <xf numFmtId="176" fontId="100" fillId="0" borderId="0" applyFill="0" applyBorder="0">
      <alignment horizontal="right"/>
    </xf>
    <xf numFmtId="49" fontId="87" fillId="0" borderId="0"/>
    <xf numFmtId="0" fontId="113" fillId="0" borderId="0" applyNumberFormat="0" applyFill="0" applyBorder="0" applyProtection="0">
      <alignment horizontal="left" vertical="center"/>
    </xf>
    <xf numFmtId="194" fontId="13" fillId="35" borderId="7" applyFont="0" applyBorder="0" applyAlignment="0" applyProtection="0">
      <alignment vertical="top"/>
    </xf>
    <xf numFmtId="173" fontId="214" fillId="0" borderId="0"/>
    <xf numFmtId="171" fontId="214" fillId="0" borderId="0"/>
    <xf numFmtId="173" fontId="214" fillId="43" borderId="0"/>
    <xf numFmtId="171" fontId="214" fillId="43" borderId="0"/>
    <xf numFmtId="3" fontId="114" fillId="44" borderId="7">
      <alignment horizontal="right" vertical="center"/>
    </xf>
    <xf numFmtId="1" fontId="12" fillId="40" borderId="7"/>
    <xf numFmtId="1" fontId="12" fillId="40" borderId="7"/>
    <xf numFmtId="1" fontId="12" fillId="40" borderId="7"/>
    <xf numFmtId="9" fontId="12" fillId="45" borderId="21" applyNumberFormat="0" applyFont="0" applyBorder="0" applyAlignment="0" applyProtection="0"/>
    <xf numFmtId="0" fontId="12" fillId="43" borderId="22" applyNumberFormat="0" applyFont="0" applyBorder="0" applyAlignment="0">
      <protection locked="0"/>
    </xf>
    <xf numFmtId="10" fontId="12" fillId="43" borderId="0" applyNumberFormat="0" applyFont="0" applyBorder="0" applyAlignment="0"/>
    <xf numFmtId="10" fontId="12" fillId="43" borderId="0" applyNumberFormat="0" applyFont="0" applyBorder="0" applyAlignment="0"/>
    <xf numFmtId="0" fontId="12" fillId="31" borderId="0" applyNumberFormat="0" applyFont="0" applyBorder="0" applyAlignment="0" applyProtection="0"/>
    <xf numFmtId="49" fontId="13" fillId="0" borderId="0" applyFill="0" applyBorder="0"/>
    <xf numFmtId="49" fontId="12" fillId="0" borderId="0"/>
    <xf numFmtId="49" fontId="12" fillId="0" borderId="0" applyFill="0" applyBorder="0">
      <alignment horizontal="right" vertical="center"/>
    </xf>
    <xf numFmtId="49" fontId="12" fillId="0" borderId="0" applyFill="0" applyBorder="0">
      <alignment horizontal="right" vertical="center"/>
    </xf>
    <xf numFmtId="0" fontId="76" fillId="10" borderId="0" applyNumberFormat="0" applyBorder="0" applyAlignment="0" applyProtection="0"/>
    <xf numFmtId="0" fontId="256" fillId="72" borderId="0" applyNumberFormat="0" applyBorder="0" applyAlignment="0" applyProtection="0"/>
    <xf numFmtId="0" fontId="115" fillId="0" borderId="0"/>
    <xf numFmtId="38" fontId="15" fillId="45" borderId="0" applyNumberFormat="0" applyBorder="0" applyAlignment="0" applyProtection="0"/>
    <xf numFmtId="38" fontId="13" fillId="45" borderId="0" applyNumberFormat="0" applyBorder="0" applyAlignment="0" applyProtection="0"/>
    <xf numFmtId="257" fontId="192" fillId="0" borderId="0"/>
    <xf numFmtId="256" fontId="192" fillId="0" borderId="0" applyFill="0" applyBorder="0" applyAlignment="0" applyProtection="0"/>
    <xf numFmtId="191" fontId="116" fillId="0" borderId="0">
      <alignment horizontal="left"/>
    </xf>
    <xf numFmtId="0" fontId="19" fillId="0" borderId="0" applyBorder="0">
      <alignment horizontal="left"/>
    </xf>
    <xf numFmtId="234" fontId="47" fillId="0" borderId="0">
      <alignment horizontal="left"/>
    </xf>
    <xf numFmtId="191" fontId="116" fillId="0" borderId="0">
      <alignment horizontal="left"/>
    </xf>
    <xf numFmtId="234" fontId="47" fillId="0" borderId="0">
      <alignment horizontal="left"/>
    </xf>
    <xf numFmtId="191" fontId="116" fillId="0" borderId="0">
      <alignment horizontal="left"/>
    </xf>
    <xf numFmtId="191" fontId="116" fillId="0" borderId="0">
      <alignment horizontal="left"/>
    </xf>
    <xf numFmtId="235" fontId="47" fillId="0" borderId="0">
      <alignment horizontal="left"/>
    </xf>
    <xf numFmtId="235" fontId="47" fillId="0" borderId="0">
      <alignment horizontal="left"/>
    </xf>
    <xf numFmtId="234" fontId="47" fillId="0" borderId="0">
      <alignment horizontal="left"/>
    </xf>
    <xf numFmtId="234" fontId="47" fillId="0" borderId="0">
      <alignment horizontal="left"/>
    </xf>
    <xf numFmtId="235" fontId="47" fillId="0" borderId="0">
      <alignment horizontal="left"/>
    </xf>
    <xf numFmtId="191" fontId="116" fillId="0" borderId="0">
      <alignment horizontal="left"/>
    </xf>
    <xf numFmtId="171" fontId="14" fillId="32" borderId="7" applyNumberFormat="0" applyFont="0" applyBorder="0" applyAlignment="0" applyProtection="0"/>
    <xf numFmtId="171" fontId="12" fillId="32" borderId="7" applyNumberFormat="0" applyFont="0" applyBorder="0" applyAlignment="0" applyProtection="0"/>
    <xf numFmtId="182" fontId="12" fillId="43" borderId="7" applyNumberFormat="0" applyFont="0" applyAlignment="0"/>
    <xf numFmtId="182" fontId="12" fillId="43" borderId="7" applyNumberFormat="0" applyFont="0" applyAlignment="0"/>
    <xf numFmtId="182" fontId="12" fillId="43" borderId="7" applyNumberFormat="0" applyFont="0" applyAlignment="0"/>
    <xf numFmtId="173" fontId="117" fillId="32" borderId="0" applyNumberFormat="0" applyFont="0" applyAlignment="0"/>
    <xf numFmtId="191" fontId="118" fillId="0" borderId="0">
      <alignment horizontal="left"/>
      <protection locked="0"/>
    </xf>
    <xf numFmtId="0" fontId="119" fillId="0" borderId="0" applyProtection="0">
      <alignment horizontal="right" vertical="top"/>
    </xf>
    <xf numFmtId="0" fontId="18" fillId="0" borderId="0"/>
    <xf numFmtId="0" fontId="18" fillId="0" borderId="0"/>
    <xf numFmtId="0" fontId="45" fillId="0" borderId="0"/>
    <xf numFmtId="0" fontId="28" fillId="0" borderId="0"/>
    <xf numFmtId="0" fontId="28" fillId="0" borderId="0"/>
    <xf numFmtId="0" fontId="120" fillId="0" borderId="23" applyNumberFormat="0" applyFill="0" applyAlignment="0" applyProtection="0"/>
    <xf numFmtId="0" fontId="257" fillId="0" borderId="24" applyNumberFormat="0" applyFill="0" applyAlignment="0" applyProtection="0"/>
    <xf numFmtId="0" fontId="247" fillId="0" borderId="24" applyNumberFormat="0" applyFill="0" applyAlignment="0" applyProtection="0"/>
    <xf numFmtId="0" fontId="229" fillId="0" borderId="25" applyNumberFormat="0" applyFill="0" applyAlignment="0" applyProtection="0"/>
    <xf numFmtId="0" fontId="120" fillId="0" borderId="23" applyNumberFormat="0" applyFill="0" applyAlignment="0" applyProtection="0"/>
    <xf numFmtId="0" fontId="121" fillId="0" borderId="23" applyNumberFormat="0" applyFill="0" applyAlignment="0" applyProtection="0"/>
    <xf numFmtId="0" fontId="258" fillId="0" borderId="51" applyNumberFormat="0" applyFill="0" applyAlignment="0" applyProtection="0"/>
    <xf numFmtId="0" fontId="258" fillId="0" borderId="51" applyNumberFormat="0" applyFill="0" applyAlignment="0" applyProtection="0"/>
    <xf numFmtId="0" fontId="230" fillId="0" borderId="26" applyNumberFormat="0" applyFill="0" applyAlignment="0" applyProtection="0"/>
    <xf numFmtId="0" fontId="121" fillId="0" borderId="23" applyNumberFormat="0" applyFill="0" applyAlignment="0" applyProtection="0"/>
    <xf numFmtId="0" fontId="122" fillId="0" borderId="27" applyNumberFormat="0" applyFill="0" applyAlignment="0" applyProtection="0"/>
    <xf numFmtId="0" fontId="259" fillId="0" borderId="28" applyNumberFormat="0" applyFill="0" applyAlignment="0" applyProtection="0"/>
    <xf numFmtId="0" fontId="248" fillId="0" borderId="28" applyNumberFormat="0" applyFill="0" applyAlignment="0" applyProtection="0"/>
    <xf numFmtId="0" fontId="231" fillId="0" borderId="29" applyNumberFormat="0" applyFill="0" applyAlignment="0" applyProtection="0"/>
    <xf numFmtId="0" fontId="122" fillId="0" borderId="27" applyNumberFormat="0" applyFill="0" applyAlignment="0" applyProtection="0"/>
    <xf numFmtId="0" fontId="122" fillId="0" borderId="0" applyNumberFormat="0" applyFill="0" applyBorder="0" applyAlignment="0" applyProtection="0"/>
    <xf numFmtId="0" fontId="259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3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195" fontId="26" fillId="0" borderId="0">
      <protection locked="0"/>
    </xf>
    <xf numFmtId="0" fontId="233" fillId="0" borderId="0" applyNumberFormat="0" applyFill="0" applyBorder="0" applyAlignment="0" applyProtection="0"/>
    <xf numFmtId="195" fontId="26" fillId="0" borderId="0">
      <protection locked="0"/>
    </xf>
    <xf numFmtId="0" fontId="19" fillId="0" borderId="0"/>
    <xf numFmtId="0" fontId="234" fillId="0" borderId="0" applyNumberFormat="0" applyFill="0" applyBorder="0" applyAlignment="0" applyProtection="0"/>
    <xf numFmtId="0" fontId="19" fillId="0" borderId="0"/>
    <xf numFmtId="0" fontId="123" fillId="0" borderId="0">
      <alignment wrapText="1"/>
    </xf>
    <xf numFmtId="0" fontId="21" fillId="0" borderId="30" applyNumberFormat="0" applyFill="0" applyAlignment="0" applyProtection="0"/>
    <xf numFmtId="0" fontId="124" fillId="0" borderId="0" applyNumberFormat="0" applyFill="0" applyBorder="0" applyAlignment="0" applyProtection="0">
      <alignment vertical="top"/>
      <protection locked="0"/>
    </xf>
    <xf numFmtId="0" fontId="215" fillId="0" borderId="0" applyNumberFormat="0" applyFill="0" applyBorder="0" applyAlignment="0" applyProtection="0">
      <alignment vertical="top"/>
      <protection locked="0"/>
    </xf>
    <xf numFmtId="0" fontId="216" fillId="0" borderId="0" applyNumberFormat="0" applyFill="0" applyBorder="0" applyAlignment="0" applyProtection="0"/>
    <xf numFmtId="38" fontId="27" fillId="0" borderId="0"/>
    <xf numFmtId="194" fontId="27" fillId="0" borderId="0" applyFont="0" applyFill="0" applyBorder="0" applyAlignment="0" applyProtection="0"/>
    <xf numFmtId="0" fontId="125" fillId="8" borderId="0" applyNumberFormat="0" applyBorder="0" applyAlignment="0" applyProtection="0"/>
    <xf numFmtId="0" fontId="125" fillId="8" borderId="0" applyNumberFormat="0" applyBorder="0" applyAlignment="0" applyProtection="0"/>
    <xf numFmtId="173" fontId="126" fillId="0" borderId="0" applyNumberFormat="0" applyFill="0" applyBorder="0" applyAlignment="0" applyProtection="0"/>
    <xf numFmtId="10" fontId="15" fillId="43" borderId="7" applyNumberFormat="0" applyBorder="0" applyAlignment="0" applyProtection="0"/>
    <xf numFmtId="10" fontId="13" fillId="43" borderId="7" applyNumberFormat="0" applyBorder="0" applyAlignment="0" applyProtection="0"/>
    <xf numFmtId="173" fontId="217" fillId="0" borderId="0"/>
    <xf numFmtId="173" fontId="217" fillId="0" borderId="0"/>
    <xf numFmtId="173" fontId="217" fillId="0" borderId="0"/>
    <xf numFmtId="173" fontId="217" fillId="0" borderId="0"/>
    <xf numFmtId="173" fontId="217" fillId="0" borderId="0"/>
    <xf numFmtId="173" fontId="217" fillId="0" borderId="0"/>
    <xf numFmtId="173" fontId="217" fillId="0" borderId="0"/>
    <xf numFmtId="173" fontId="217" fillId="0" borderId="0"/>
    <xf numFmtId="173" fontId="217" fillId="0" borderId="0"/>
    <xf numFmtId="173" fontId="217" fillId="0" borderId="0"/>
    <xf numFmtId="0" fontId="260" fillId="3" borderId="49" applyNumberFormat="0" applyAlignment="0" applyProtection="0"/>
    <xf numFmtId="0" fontId="260" fillId="3" borderId="49" applyNumberFormat="0" applyAlignment="0" applyProtection="0"/>
    <xf numFmtId="173" fontId="217" fillId="0" borderId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7" fillId="0" borderId="0"/>
    <xf numFmtId="173" fontId="21" fillId="0" borderId="0" applyNumberFormat="0" applyFill="0" applyBorder="0" applyAlignment="0" applyProtection="0"/>
    <xf numFmtId="173" fontId="217" fillId="0" borderId="0"/>
    <xf numFmtId="173" fontId="21" fillId="0" borderId="0" applyNumberFormat="0" applyFill="0" applyBorder="0" applyAlignment="0" applyProtection="0"/>
    <xf numFmtId="0" fontId="260" fillId="3" borderId="49" applyNumberFormat="0" applyAlignment="0" applyProtection="0"/>
    <xf numFmtId="0" fontId="260" fillId="3" borderId="49" applyNumberFormat="0" applyAlignment="0" applyProtection="0"/>
    <xf numFmtId="0" fontId="260" fillId="3" borderId="49" applyNumberFormat="0" applyAlignment="0" applyProtection="0"/>
    <xf numFmtId="0" fontId="260" fillId="3" borderId="49" applyNumberFormat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7" fillId="0" borderId="0"/>
    <xf numFmtId="173" fontId="217" fillId="0" borderId="0"/>
    <xf numFmtId="173" fontId="217" fillId="0" borderId="0"/>
    <xf numFmtId="173" fontId="217" fillId="0" borderId="0"/>
    <xf numFmtId="173" fontId="217" fillId="0" borderId="0"/>
    <xf numFmtId="171" fontId="217" fillId="0" borderId="0"/>
    <xf numFmtId="182" fontId="13" fillId="43" borderId="0" applyNumberFormat="0" applyFont="0" applyBorder="0" applyAlignment="0" applyProtection="0">
      <alignment horizontal="center"/>
      <protection locked="0"/>
    </xf>
    <xf numFmtId="171" fontId="13" fillId="43" borderId="9" applyNumberFormat="0" applyFont="0" applyAlignment="0" applyProtection="0">
      <alignment horizontal="center"/>
      <protection locked="0"/>
    </xf>
    <xf numFmtId="171" fontId="13" fillId="43" borderId="9" applyNumberFormat="0" applyFont="0" applyAlignment="0" applyProtection="0">
      <alignment horizontal="center"/>
      <protection locked="0"/>
    </xf>
    <xf numFmtId="0" fontId="128" fillId="0" borderId="0" applyNumberFormat="0" applyFill="0" applyBorder="0" applyAlignment="0">
      <protection locked="0"/>
    </xf>
    <xf numFmtId="0" fontId="129" fillId="46" borderId="0" applyNumberFormat="0" applyBorder="0" applyProtection="0"/>
    <xf numFmtId="0" fontId="130" fillId="47" borderId="0" applyNumberFormat="0"/>
    <xf numFmtId="0" fontId="12" fillId="0" borderId="0"/>
    <xf numFmtId="173" fontId="214" fillId="0" borderId="0"/>
    <xf numFmtId="38" fontId="160" fillId="0" borderId="0" applyNumberFormat="0" applyBorder="0" applyProtection="0">
      <alignment horizontal="left"/>
    </xf>
    <xf numFmtId="38" fontId="38" fillId="0" borderId="0" applyNumberFormat="0" applyBorder="0" applyProtection="0">
      <alignment horizontal="left"/>
    </xf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131" fillId="0" borderId="0" applyNumberFormat="0" applyFill="0" applyBorder="0" applyProtection="0">
      <alignment horizontal="left" vertical="center"/>
    </xf>
    <xf numFmtId="38" fontId="132" fillId="0" borderId="0"/>
    <xf numFmtId="38" fontId="133" fillId="0" borderId="0"/>
    <xf numFmtId="38" fontId="78" fillId="0" borderId="0"/>
    <xf numFmtId="38" fontId="134" fillId="0" borderId="0"/>
    <xf numFmtId="0" fontId="65" fillId="0" borderId="0"/>
    <xf numFmtId="0" fontId="65" fillId="0" borderId="0"/>
    <xf numFmtId="0" fontId="12" fillId="0" borderId="0"/>
    <xf numFmtId="0" fontId="12" fillId="0" borderId="0">
      <alignment horizontal="left" vertical="center" wrapText="1"/>
    </xf>
    <xf numFmtId="0" fontId="12" fillId="0" borderId="0">
      <alignment horizontal="left" vertical="center" wrapText="1"/>
    </xf>
    <xf numFmtId="3" fontId="12" fillId="48" borderId="0" applyFont="0" applyBorder="0" applyAlignment="0"/>
    <xf numFmtId="3" fontId="12" fillId="48" borderId="0" applyFont="0" applyBorder="0" applyAlignment="0"/>
    <xf numFmtId="3" fontId="12" fillId="48" borderId="0" applyFont="0" applyBorder="0" applyAlignment="0"/>
    <xf numFmtId="0" fontId="135" fillId="0" borderId="31" applyNumberFormat="0" applyFill="0" applyAlignment="0" applyProtection="0"/>
    <xf numFmtId="0" fontId="261" fillId="0" borderId="52" applyNumberFormat="0" applyFill="0" applyAlignment="0" applyProtection="0"/>
    <xf numFmtId="0" fontId="135" fillId="0" borderId="31" applyNumberFormat="0" applyFill="0" applyAlignment="0" applyProtection="0"/>
    <xf numFmtId="173" fontId="136" fillId="0" borderId="0" applyNumberFormat="0" applyFont="0" applyFill="0" applyBorder="0" applyAlignment="0">
      <protection hidden="1"/>
    </xf>
    <xf numFmtId="0" fontId="12" fillId="0" borderId="0"/>
    <xf numFmtId="180" fontId="12" fillId="0" borderId="0">
      <alignment horizontal="right"/>
    </xf>
    <xf numFmtId="0" fontId="12" fillId="0" borderId="0">
      <alignment horizontal="right"/>
    </xf>
    <xf numFmtId="180" fontId="12" fillId="0" borderId="0">
      <alignment horizontal="right"/>
    </xf>
    <xf numFmtId="0" fontId="12" fillId="0" borderId="0">
      <alignment horizontal="right"/>
    </xf>
    <xf numFmtId="180" fontId="12" fillId="0" borderId="0">
      <alignment horizontal="right"/>
    </xf>
    <xf numFmtId="0" fontId="12" fillId="0" borderId="0">
      <alignment horizontal="right"/>
    </xf>
    <xf numFmtId="0" fontId="39" fillId="0" borderId="0"/>
    <xf numFmtId="0" fontId="39" fillId="0" borderId="0"/>
    <xf numFmtId="254" fontId="12" fillId="0" borderId="0"/>
    <xf numFmtId="0" fontId="39" fillId="0" borderId="0"/>
    <xf numFmtId="0" fontId="55" fillId="0" borderId="0"/>
    <xf numFmtId="180" fontId="12" fillId="0" borderId="0">
      <alignment horizontal="right"/>
    </xf>
    <xf numFmtId="0" fontId="12" fillId="0" borderId="0">
      <alignment horizontal="right"/>
    </xf>
    <xf numFmtId="180" fontId="12" fillId="0" borderId="0">
      <alignment horizontal="right"/>
    </xf>
    <xf numFmtId="0" fontId="12" fillId="0" borderId="0">
      <alignment horizontal="right"/>
    </xf>
    <xf numFmtId="180" fontId="12" fillId="0" borderId="0">
      <alignment horizontal="right"/>
    </xf>
    <xf numFmtId="0" fontId="12" fillId="0" borderId="0">
      <alignment horizontal="right"/>
    </xf>
    <xf numFmtId="0" fontId="39" fillId="0" borderId="0"/>
    <xf numFmtId="0" fontId="39" fillId="0" borderId="0"/>
    <xf numFmtId="254" fontId="12" fillId="0" borderId="0"/>
    <xf numFmtId="0" fontId="39" fillId="0" borderId="0"/>
    <xf numFmtId="0" fontId="55" fillId="0" borderId="0"/>
    <xf numFmtId="180" fontId="12" fillId="0" borderId="0">
      <alignment horizontal="right"/>
    </xf>
    <xf numFmtId="0" fontId="12" fillId="0" borderId="0">
      <alignment horizontal="right"/>
    </xf>
    <xf numFmtId="180" fontId="12" fillId="0" borderId="0">
      <alignment horizontal="right"/>
    </xf>
    <xf numFmtId="0" fontId="12" fillId="0" borderId="0">
      <alignment horizontal="right"/>
    </xf>
    <xf numFmtId="180" fontId="12" fillId="0" borderId="0">
      <alignment horizontal="right"/>
    </xf>
    <xf numFmtId="0" fontId="12" fillId="0" borderId="0">
      <alignment horizontal="right"/>
    </xf>
    <xf numFmtId="0" fontId="39" fillId="0" borderId="0"/>
    <xf numFmtId="0" fontId="39" fillId="0" borderId="0"/>
    <xf numFmtId="256" fontId="102" fillId="0" borderId="0" applyFill="0" applyBorder="0" applyAlignment="0" applyProtection="0"/>
    <xf numFmtId="0" fontId="112" fillId="0" borderId="0"/>
    <xf numFmtId="0" fontId="137" fillId="0" borderId="0"/>
    <xf numFmtId="0" fontId="138" fillId="0" borderId="0"/>
    <xf numFmtId="37" fontId="139" fillId="0" borderId="0" applyNumberFormat="0" applyFill="0" applyBorder="0" applyAlignment="0" applyProtection="0">
      <alignment horizontal="center"/>
    </xf>
    <xf numFmtId="37" fontId="139" fillId="0" borderId="0" applyNumberFormat="0" applyFill="0" applyBorder="0" applyAlignment="0" applyProtection="0">
      <alignment horizontal="center"/>
    </xf>
    <xf numFmtId="214" fontId="12" fillId="0" borderId="0" applyFont="0" applyFill="0" applyBorder="0" applyAlignment="0" applyProtection="0"/>
    <xf numFmtId="2" fontId="118" fillId="0" borderId="0" applyFont="0"/>
    <xf numFmtId="184" fontId="12" fillId="0" borderId="0" applyFont="0" applyFill="0" applyBorder="0" applyAlignment="0" applyProtection="0"/>
    <xf numFmtId="236" fontId="77" fillId="0" borderId="0" applyFill="0" applyBorder="0" applyProtection="0">
      <alignment horizontal="right"/>
      <protection locked="0"/>
    </xf>
    <xf numFmtId="236" fontId="27" fillId="0" borderId="0" applyFill="0" applyBorder="0" applyProtection="0">
      <alignment horizontal="right"/>
      <protection locked="0"/>
    </xf>
    <xf numFmtId="14" fontId="14" fillId="0" borderId="0" applyFont="0" applyFill="0" applyBorder="0" applyAlignment="0" applyProtection="0"/>
    <xf numFmtId="14" fontId="12" fillId="0" borderId="0" applyFont="0" applyFill="0" applyBorder="0" applyAlignment="0" applyProtection="0"/>
    <xf numFmtId="2" fontId="140" fillId="49" borderId="0" applyNumberFormat="0" applyFont="0" applyBorder="0" applyAlignment="0" applyProtection="0"/>
    <xf numFmtId="262" fontId="43" fillId="0" borderId="0" applyFont="0" applyFill="0" applyBorder="0" applyAlignment="0" applyProtection="0"/>
    <xf numFmtId="285" fontId="12" fillId="0" borderId="0" applyFont="0" applyFill="0" applyBorder="0" applyAlignment="0" applyProtection="0"/>
    <xf numFmtId="285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263" fontId="43" fillId="0" borderId="0" applyFont="0" applyFill="0" applyBorder="0" applyAlignment="0" applyProtection="0"/>
    <xf numFmtId="213" fontId="12" fillId="0" borderId="0" applyFont="0" applyFill="0" applyBorder="0" applyAlignment="0" applyProtection="0"/>
    <xf numFmtId="215" fontId="12" fillId="0" borderId="0" applyFont="0" applyFill="0" applyBorder="0" applyAlignment="0" applyProtection="0"/>
    <xf numFmtId="0" fontId="12" fillId="0" borderId="0">
      <protection locked="0"/>
    </xf>
    <xf numFmtId="286" fontId="12" fillId="0" borderId="0" applyFont="0" applyFill="0" applyBorder="0" applyAlignment="0" applyProtection="0"/>
    <xf numFmtId="216" fontId="15" fillId="43" borderId="0">
      <alignment horizontal="center"/>
    </xf>
    <xf numFmtId="216" fontId="13" fillId="43" borderId="0">
      <alignment horizontal="center"/>
    </xf>
    <xf numFmtId="0" fontId="12" fillId="0" borderId="0" applyFill="0" applyBorder="0" applyAlignment="0" applyProtection="0"/>
    <xf numFmtId="237" fontId="142" fillId="0" borderId="9" applyFont="0" applyFill="0" applyBorder="0" applyProtection="0"/>
    <xf numFmtId="237" fontId="142" fillId="0" borderId="9" applyFont="0" applyFill="0" applyBorder="0" applyProtection="0"/>
    <xf numFmtId="238" fontId="142" fillId="0" borderId="9" applyFont="0" applyFill="0" applyBorder="0" applyAlignment="0" applyProtection="0"/>
    <xf numFmtId="238" fontId="142" fillId="0" borderId="9" applyFont="0" applyFill="0" applyBorder="0" applyAlignment="0" applyProtection="0"/>
    <xf numFmtId="196" fontId="27" fillId="0" borderId="0" applyFill="0" applyBorder="0" applyProtection="0">
      <alignment horizontal="right"/>
    </xf>
    <xf numFmtId="237" fontId="142" fillId="0" borderId="0" applyFont="0" applyFill="0" applyBorder="0" applyAlignment="0" applyProtection="0"/>
    <xf numFmtId="238" fontId="142" fillId="0" borderId="0" applyFont="0" applyFill="0" applyBorder="0" applyAlignment="0" applyProtection="0"/>
    <xf numFmtId="198" fontId="27" fillId="0" borderId="0" applyFill="0" applyBorder="0" applyProtection="0">
      <alignment horizontal="right"/>
    </xf>
    <xf numFmtId="176" fontId="27" fillId="0" borderId="0" applyFill="0" applyBorder="0" applyProtection="0">
      <alignment horizontal="right"/>
    </xf>
    <xf numFmtId="179" fontId="26" fillId="0" borderId="0"/>
    <xf numFmtId="196" fontId="26" fillId="0" borderId="0"/>
    <xf numFmtId="179" fontId="26" fillId="0" borderId="0"/>
    <xf numFmtId="179" fontId="26" fillId="0" borderId="0"/>
    <xf numFmtId="0" fontId="39" fillId="0" borderId="0"/>
    <xf numFmtId="0" fontId="33" fillId="35" borderId="0">
      <alignment horizontal="right"/>
    </xf>
    <xf numFmtId="184" fontId="33" fillId="35" borderId="0">
      <alignment horizontal="right"/>
    </xf>
    <xf numFmtId="0" fontId="39" fillId="0" borderId="0"/>
    <xf numFmtId="255" fontId="39" fillId="0" borderId="0"/>
    <xf numFmtId="0" fontId="39" fillId="0" borderId="0"/>
    <xf numFmtId="0" fontId="39" fillId="0" borderId="0"/>
    <xf numFmtId="255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55" fillId="0" borderId="0"/>
    <xf numFmtId="0" fontId="39" fillId="0" borderId="0"/>
    <xf numFmtId="184" fontId="33" fillId="35" borderId="0">
      <alignment horizontal="right"/>
    </xf>
    <xf numFmtId="254" fontId="12" fillId="0" borderId="0"/>
    <xf numFmtId="179" fontId="26" fillId="0" borderId="0"/>
    <xf numFmtId="179" fontId="26" fillId="0" borderId="0"/>
    <xf numFmtId="179" fontId="56" fillId="0" borderId="0"/>
    <xf numFmtId="179" fontId="26" fillId="0" borderId="0"/>
    <xf numFmtId="179" fontId="26" fillId="0" borderId="0"/>
    <xf numFmtId="196" fontId="26" fillId="0" borderId="0"/>
    <xf numFmtId="196" fontId="26" fillId="0" borderId="0"/>
    <xf numFmtId="196" fontId="56" fillId="0" borderId="0"/>
    <xf numFmtId="196" fontId="26" fillId="0" borderId="0"/>
    <xf numFmtId="196" fontId="26" fillId="0" borderId="0"/>
    <xf numFmtId="196" fontId="26" fillId="0" borderId="0"/>
    <xf numFmtId="196" fontId="26" fillId="0" borderId="0"/>
    <xf numFmtId="196" fontId="26" fillId="0" borderId="0"/>
    <xf numFmtId="196" fontId="26" fillId="0" borderId="0"/>
    <xf numFmtId="196" fontId="56" fillId="0" borderId="0"/>
    <xf numFmtId="196" fontId="26" fillId="0" borderId="0"/>
    <xf numFmtId="196" fontId="26" fillId="0" borderId="0"/>
    <xf numFmtId="196" fontId="56" fillId="0" borderId="0"/>
    <xf numFmtId="196" fontId="26" fillId="0" borderId="0"/>
    <xf numFmtId="196" fontId="26" fillId="0" borderId="0"/>
    <xf numFmtId="196" fontId="26" fillId="0" borderId="0"/>
    <xf numFmtId="196" fontId="26" fillId="0" borderId="0"/>
    <xf numFmtId="196" fontId="56" fillId="0" borderId="0"/>
    <xf numFmtId="196" fontId="26" fillId="0" borderId="0"/>
    <xf numFmtId="196" fontId="26" fillId="0" borderId="0"/>
    <xf numFmtId="196" fontId="26" fillId="0" borderId="0"/>
    <xf numFmtId="196" fontId="26" fillId="0" borderId="0"/>
    <xf numFmtId="196" fontId="56" fillId="0" borderId="0"/>
    <xf numFmtId="196" fontId="26" fillId="0" borderId="0"/>
    <xf numFmtId="196" fontId="26" fillId="0" borderId="0"/>
    <xf numFmtId="196" fontId="26" fillId="0" borderId="0"/>
    <xf numFmtId="196" fontId="26" fillId="0" borderId="0"/>
    <xf numFmtId="196" fontId="56" fillId="0" borderId="0"/>
    <xf numFmtId="196" fontId="26" fillId="0" borderId="0"/>
    <xf numFmtId="196" fontId="26" fillId="0" borderId="0"/>
    <xf numFmtId="179" fontId="56" fillId="0" borderId="0"/>
    <xf numFmtId="179" fontId="26" fillId="0" borderId="0"/>
    <xf numFmtId="179" fontId="26" fillId="0" borderId="0"/>
    <xf numFmtId="0" fontId="39" fillId="0" borderId="0"/>
    <xf numFmtId="179" fontId="26" fillId="0" borderId="0"/>
    <xf numFmtId="179" fontId="26" fillId="0" borderId="0"/>
    <xf numFmtId="179" fontId="56" fillId="0" borderId="0"/>
    <xf numFmtId="179" fontId="26" fillId="0" borderId="0"/>
    <xf numFmtId="179" fontId="26" fillId="0" borderId="0"/>
    <xf numFmtId="179" fontId="26" fillId="0" borderId="0"/>
    <xf numFmtId="179" fontId="26" fillId="0" borderId="0"/>
    <xf numFmtId="179" fontId="56" fillId="0" borderId="0"/>
    <xf numFmtId="179" fontId="26" fillId="0" borderId="0"/>
    <xf numFmtId="179" fontId="26" fillId="0" borderId="0"/>
    <xf numFmtId="196" fontId="26" fillId="0" borderId="0"/>
    <xf numFmtId="196" fontId="26" fillId="0" borderId="0"/>
    <xf numFmtId="196" fontId="56" fillId="0" borderId="0"/>
    <xf numFmtId="196" fontId="26" fillId="0" borderId="0"/>
    <xf numFmtId="196" fontId="26" fillId="0" borderId="0"/>
    <xf numFmtId="196" fontId="26" fillId="0" borderId="0"/>
    <xf numFmtId="196" fontId="26" fillId="0" borderId="0"/>
    <xf numFmtId="196" fontId="26" fillId="0" borderId="0"/>
    <xf numFmtId="196" fontId="56" fillId="0" borderId="0"/>
    <xf numFmtId="196" fontId="26" fillId="0" borderId="0"/>
    <xf numFmtId="196" fontId="26" fillId="0" borderId="0"/>
    <xf numFmtId="179" fontId="26" fillId="0" borderId="0"/>
    <xf numFmtId="0" fontId="55" fillId="0" borderId="0"/>
    <xf numFmtId="0" fontId="143" fillId="0" borderId="0" applyNumberFormat="0" applyFill="0" applyBorder="0" applyAlignment="0" applyProtection="0">
      <protection locked="0"/>
    </xf>
    <xf numFmtId="0" fontId="144" fillId="3" borderId="0" applyNumberFormat="0" applyBorder="0" applyAlignment="0" applyProtection="0"/>
    <xf numFmtId="0" fontId="144" fillId="3" borderId="0" applyNumberFormat="0" applyBorder="0" applyAlignment="0" applyProtection="0"/>
    <xf numFmtId="0" fontId="262" fillId="73" borderId="0" applyNumberFormat="0" applyBorder="0" applyAlignment="0" applyProtection="0"/>
    <xf numFmtId="3" fontId="114" fillId="44" borderId="32" applyNumberFormat="0">
      <alignment horizontal="right" vertical="center"/>
    </xf>
    <xf numFmtId="0" fontId="12" fillId="0" borderId="33" applyNumberFormat="0" applyAlignment="0"/>
    <xf numFmtId="0" fontId="29" fillId="0" borderId="0"/>
    <xf numFmtId="37" fontId="145" fillId="0" borderId="0"/>
    <xf numFmtId="0" fontId="20" fillId="0" borderId="0"/>
    <xf numFmtId="191" fontId="146" fillId="50" borderId="34"/>
    <xf numFmtId="177" fontId="218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12" fillId="0" borderId="0" applyFont="0" applyFill="0" applyBorder="0" applyAlignment="0" applyProtection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12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14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12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59" fillId="0" borderId="0"/>
    <xf numFmtId="0" fontId="11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12" fillId="0" borderId="0">
      <alignment vertical="center"/>
    </xf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12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12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12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12" fillId="0" borderId="0"/>
    <xf numFmtId="0" fontId="25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12" fillId="0" borderId="0"/>
    <xf numFmtId="0" fontId="25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12" fillId="0" borderId="0"/>
    <xf numFmtId="0" fontId="250" fillId="0" borderId="0"/>
    <xf numFmtId="0" fontId="23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23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50" fillId="0" borderId="0"/>
    <xf numFmtId="0" fontId="147" fillId="0" borderId="0"/>
    <xf numFmtId="239" fontId="148" fillId="0" borderId="11"/>
    <xf numFmtId="0" fontId="12" fillId="0" borderId="0"/>
    <xf numFmtId="0" fontId="14" fillId="0" borderId="0"/>
    <xf numFmtId="178" fontId="20" fillId="0" borderId="0"/>
    <xf numFmtId="0" fontId="12" fillId="0" borderId="0" applyFill="0" applyBorder="0"/>
    <xf numFmtId="0" fontId="14" fillId="0" borderId="0"/>
    <xf numFmtId="0" fontId="149" fillId="0" borderId="0" applyFill="0" applyBorder="0" applyAlignment="0" applyProtection="0"/>
    <xf numFmtId="191" fontId="160" fillId="0" borderId="0" applyBorder="0">
      <alignment horizontal="left"/>
    </xf>
    <xf numFmtId="191" fontId="38" fillId="0" borderId="0" applyBorder="0">
      <alignment horizontal="left"/>
    </xf>
    <xf numFmtId="0" fontId="12" fillId="0" borderId="0"/>
    <xf numFmtId="0" fontId="26" fillId="14" borderId="35" applyNumberFormat="0" applyFont="0" applyAlignment="0" applyProtection="0"/>
    <xf numFmtId="0" fontId="14" fillId="3" borderId="35" applyNumberFormat="0" applyFont="0" applyAlignment="0" applyProtection="0"/>
    <xf numFmtId="0" fontId="12" fillId="3" borderId="35" applyNumberFormat="0" applyFont="0" applyAlignment="0" applyProtection="0"/>
    <xf numFmtId="0" fontId="237" fillId="3" borderId="53" applyNumberFormat="0" applyFont="0" applyAlignment="0" applyProtection="0"/>
    <xf numFmtId="0" fontId="237" fillId="3" borderId="53" applyNumberFormat="0" applyFont="0" applyAlignment="0" applyProtection="0"/>
    <xf numFmtId="0" fontId="11" fillId="3" borderId="53" applyNumberFormat="0" applyFont="0" applyAlignment="0" applyProtection="0"/>
    <xf numFmtId="0" fontId="11" fillId="3" borderId="53" applyNumberFormat="0" applyFont="0" applyAlignment="0" applyProtection="0"/>
    <xf numFmtId="0" fontId="12" fillId="3" borderId="35" applyNumberFormat="0" applyFont="0" applyAlignment="0" applyProtection="0"/>
    <xf numFmtId="1" fontId="16" fillId="0" borderId="0" applyFont="0" applyFill="0" applyBorder="0" applyAlignment="0" applyProtection="0">
      <protection locked="0"/>
    </xf>
    <xf numFmtId="43" fontId="21" fillId="0" borderId="0" applyFont="0" applyFill="0" applyBorder="0" applyAlignment="0" applyProtection="0"/>
    <xf numFmtId="240" fontId="150" fillId="0" borderId="0" applyFill="0" applyBorder="0">
      <alignment horizontal="right" vertical="center"/>
    </xf>
    <xf numFmtId="241" fontId="151" fillId="0" borderId="0">
      <alignment horizontal="right"/>
    </xf>
    <xf numFmtId="0" fontId="152" fillId="0" borderId="0" applyNumberFormat="0" applyFont="0" applyAlignment="0"/>
    <xf numFmtId="242" fontId="104" fillId="0" borderId="0" applyFill="0" applyBorder="0" applyProtection="0">
      <alignment horizontal="right"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5" fontId="71" fillId="0" borderId="0"/>
    <xf numFmtId="194" fontId="27" fillId="0" borderId="0" applyFont="0" applyFill="0" applyBorder="0" applyAlignment="0" applyProtection="0"/>
    <xf numFmtId="0" fontId="153" fillId="0" borderId="0">
      <alignment horizontal="left" vertical="top"/>
      <protection locked="0"/>
    </xf>
    <xf numFmtId="257" fontId="102" fillId="0" borderId="0"/>
    <xf numFmtId="37" fontId="154" fillId="45" borderId="7">
      <alignment horizontal="right"/>
    </xf>
    <xf numFmtId="0" fontId="155" fillId="0" borderId="0">
      <alignment horizontal="left"/>
    </xf>
    <xf numFmtId="0" fontId="156" fillId="4" borderId="36" applyNumberFormat="0" applyAlignment="0" applyProtection="0"/>
    <xf numFmtId="9" fontId="12" fillId="0" borderId="0">
      <alignment horizontal="center" wrapText="1"/>
    </xf>
    <xf numFmtId="171" fontId="12" fillId="0" borderId="0">
      <alignment horizontal="center" wrapText="1"/>
    </xf>
    <xf numFmtId="0" fontId="156" fillId="4" borderId="36" applyNumberFormat="0" applyAlignment="0" applyProtection="0"/>
    <xf numFmtId="0" fontId="156" fillId="15" borderId="36" applyNumberFormat="0" applyAlignment="0" applyProtection="0"/>
    <xf numFmtId="0" fontId="156" fillId="15" borderId="36" applyNumberFormat="0" applyAlignment="0" applyProtection="0"/>
    <xf numFmtId="0" fontId="156" fillId="15" borderId="36" applyNumberFormat="0" applyAlignment="0" applyProtection="0"/>
    <xf numFmtId="0" fontId="156" fillId="15" borderId="36" applyNumberFormat="0" applyAlignment="0" applyProtection="0"/>
    <xf numFmtId="270" fontId="219" fillId="0" borderId="0"/>
    <xf numFmtId="0" fontId="263" fillId="4" borderId="54" applyNumberFormat="0" applyAlignment="0" applyProtection="0"/>
    <xf numFmtId="0" fontId="263" fillId="4" borderId="54" applyNumberFormat="0" applyAlignment="0" applyProtection="0"/>
    <xf numFmtId="0" fontId="156" fillId="15" borderId="36" applyNumberFormat="0" applyAlignment="0" applyProtection="0"/>
    <xf numFmtId="0" fontId="156" fillId="15" borderId="36" applyNumberFormat="0" applyAlignment="0" applyProtection="0"/>
    <xf numFmtId="0" fontId="156" fillId="15" borderId="36" applyNumberFormat="0" applyAlignment="0" applyProtection="0"/>
    <xf numFmtId="0" fontId="156" fillId="15" borderId="36" applyNumberFormat="0" applyAlignment="0" applyProtection="0"/>
    <xf numFmtId="0" fontId="156" fillId="15" borderId="36" applyNumberFormat="0" applyAlignment="0" applyProtection="0"/>
    <xf numFmtId="0" fontId="156" fillId="15" borderId="36" applyNumberFormat="0" applyAlignment="0" applyProtection="0"/>
    <xf numFmtId="270" fontId="220" fillId="0" borderId="0"/>
    <xf numFmtId="287" fontId="12" fillId="0" borderId="0">
      <alignment horizontal="center"/>
    </xf>
    <xf numFmtId="287" fontId="12" fillId="0" borderId="0">
      <alignment horizontal="center"/>
    </xf>
    <xf numFmtId="0" fontId="29" fillId="0" borderId="0">
      <alignment vertical="center"/>
    </xf>
    <xf numFmtId="37" fontId="15" fillId="0" borderId="0" applyBorder="0">
      <protection locked="0"/>
    </xf>
    <xf numFmtId="37" fontId="13" fillId="0" borderId="0" applyBorder="0">
      <protection locked="0"/>
    </xf>
    <xf numFmtId="0" fontId="157" fillId="0" borderId="0"/>
    <xf numFmtId="0" fontId="158" fillId="0" borderId="0" applyProtection="0">
      <alignment horizontal="left"/>
    </xf>
    <xf numFmtId="0" fontId="158" fillId="0" borderId="0" applyFill="0" applyBorder="0" applyProtection="0">
      <alignment horizontal="left"/>
    </xf>
    <xf numFmtId="0" fontId="159" fillId="0" borderId="0" applyFill="0" applyBorder="0" applyProtection="0">
      <alignment horizontal="left"/>
    </xf>
    <xf numFmtId="0" fontId="26" fillId="0" borderId="0" applyProtection="0">
      <alignment horizontal="left"/>
    </xf>
    <xf numFmtId="0" fontId="138" fillId="0" borderId="0"/>
    <xf numFmtId="190" fontId="12" fillId="0" borderId="0" applyFont="0" applyFill="0" applyBorder="0" applyAlignment="0"/>
    <xf numFmtId="190" fontId="12" fillId="0" borderId="0" applyFont="0" applyFill="0" applyBorder="0" applyAlignment="0"/>
    <xf numFmtId="190" fontId="12" fillId="0" borderId="0" applyFont="0" applyFill="0" applyBorder="0" applyAlignment="0"/>
    <xf numFmtId="202" fontId="12" fillId="0" borderId="0" applyFill="0" applyBorder="0"/>
    <xf numFmtId="202" fontId="12" fillId="0" borderId="0" applyFill="0" applyBorder="0"/>
    <xf numFmtId="202" fontId="12" fillId="0" borderId="0" applyFill="0" applyBorder="0"/>
    <xf numFmtId="20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6" fillId="0" borderId="0"/>
    <xf numFmtId="9" fontId="26" fillId="0" borderId="0"/>
    <xf numFmtId="171" fontId="77" fillId="0" borderId="0"/>
    <xf numFmtId="171" fontId="27" fillId="0" borderId="0"/>
    <xf numFmtId="9" fontId="56" fillId="0" borderId="0" applyFont="0" applyFill="0" applyBorder="0" applyAlignment="0" applyProtection="0"/>
    <xf numFmtId="9" fontId="26" fillId="0" borderId="0" applyFont="0" applyFill="0" applyBorder="0" applyAlignment="0" applyProtection="0"/>
    <xf numFmtId="10" fontId="56" fillId="0" borderId="0" applyFont="0" applyFill="0" applyBorder="0" applyAlignment="0" applyProtection="0"/>
    <xf numFmtId="10" fontId="26" fillId="0" borderId="0" applyFont="0" applyFill="0" applyBorder="0" applyAlignment="0" applyProtection="0"/>
    <xf numFmtId="208" fontId="12" fillId="0" borderId="0" applyFont="0" applyFill="0" applyBorder="0" applyAlignment="0"/>
    <xf numFmtId="208" fontId="12" fillId="0" borderId="0" applyFont="0" applyFill="0" applyBorder="0" applyAlignment="0"/>
    <xf numFmtId="208" fontId="12" fillId="0" borderId="0" applyFont="0" applyFill="0" applyBorder="0" applyAlignment="0"/>
    <xf numFmtId="171" fontId="160" fillId="0" borderId="0" applyFont="0" applyFill="0" applyBorder="0" applyAlignment="0" applyProtection="0"/>
    <xf numFmtId="171" fontId="38" fillId="0" borderId="0" applyFont="0" applyFill="0" applyBorder="0" applyAlignment="0" applyProtection="0"/>
    <xf numFmtId="10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171" fontId="14" fillId="0" borderId="0" applyBorder="0"/>
    <xf numFmtId="171" fontId="12" fillId="0" borderId="0" applyBorder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3" fontId="47" fillId="0" borderId="1" applyFill="0">
      <alignment vertical="top"/>
    </xf>
    <xf numFmtId="0" fontId="14" fillId="0" borderId="0" applyFont="0" applyFill="0" applyBorder="0" applyProtection="0">
      <alignment horizontal="right"/>
    </xf>
    <xf numFmtId="0" fontId="12" fillId="0" borderId="0" applyFont="0" applyFill="0" applyBorder="0" applyProtection="0">
      <alignment horizontal="right"/>
    </xf>
    <xf numFmtId="204" fontId="27" fillId="0" borderId="0" applyFont="0" applyFill="0" applyBorder="0" applyProtection="0">
      <alignment horizontal="right"/>
    </xf>
    <xf numFmtId="244" fontId="148" fillId="0" borderId="11"/>
    <xf numFmtId="0" fontId="77" fillId="0" borderId="0"/>
    <xf numFmtId="0" fontId="27" fillId="0" borderId="0"/>
    <xf numFmtId="0" fontId="47" fillId="0" borderId="0" applyFill="0" applyBorder="0"/>
    <xf numFmtId="0" fontId="47" fillId="0" borderId="0" applyFill="0" applyBorder="0"/>
    <xf numFmtId="0" fontId="47" fillId="0" borderId="0"/>
    <xf numFmtId="171" fontId="195" fillId="0" borderId="0"/>
    <xf numFmtId="260" fontId="27" fillId="0" borderId="0" applyFont="0" applyBorder="0"/>
    <xf numFmtId="171" fontId="197" fillId="0" borderId="0" applyFont="0" applyFill="0" applyBorder="0" applyAlignment="0" applyProtection="0"/>
    <xf numFmtId="9" fontId="44" fillId="0" borderId="0"/>
    <xf numFmtId="10" fontId="197" fillId="0" borderId="0" applyFont="0" applyFill="0" applyBorder="0" applyAlignment="0" applyProtection="0"/>
    <xf numFmtId="9" fontId="14" fillId="0" borderId="0"/>
    <xf numFmtId="9" fontId="12" fillId="0" borderId="0"/>
    <xf numFmtId="171" fontId="127" fillId="0" borderId="0" applyFill="0" applyBorder="0" applyAlignment="0" applyProtection="0"/>
    <xf numFmtId="261" fontId="27" fillId="0" borderId="0" applyFont="0" applyFill="0" applyBorder="0" applyAlignment="0" applyProtection="0"/>
    <xf numFmtId="245" fontId="15" fillId="0" borderId="0"/>
    <xf numFmtId="245" fontId="13" fillId="0" borderId="0"/>
    <xf numFmtId="181" fontId="100" fillId="0" borderId="0" applyFill="0" applyBorder="0">
      <alignment horizontal="right"/>
    </xf>
    <xf numFmtId="269" fontId="20" fillId="0" borderId="0" applyFill="0" applyBorder="0" applyAlignment="0">
      <alignment horizontal="left"/>
    </xf>
    <xf numFmtId="38" fontId="13" fillId="0" borderId="0" applyFill="0" applyBorder="0" applyAlignment="0" applyProtection="0">
      <alignment horizontal="right"/>
    </xf>
    <xf numFmtId="171" fontId="20" fillId="0" borderId="0" applyBorder="0" applyAlignment="0">
      <alignment horizontal="right"/>
    </xf>
    <xf numFmtId="19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2" fillId="0" borderId="0">
      <protection locked="0"/>
    </xf>
    <xf numFmtId="9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207" fontId="161" fillId="0" borderId="0"/>
    <xf numFmtId="205" fontId="161" fillId="0" borderId="0"/>
    <xf numFmtId="205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207" fontId="42" fillId="0" borderId="0"/>
    <xf numFmtId="0" fontId="26" fillId="0" borderId="0"/>
    <xf numFmtId="246" fontId="15" fillId="0" borderId="0"/>
    <xf numFmtId="246" fontId="13" fillId="0" borderId="0"/>
    <xf numFmtId="250" fontId="14" fillId="43" borderId="0"/>
    <xf numFmtId="250" fontId="12" fillId="43" borderId="0"/>
    <xf numFmtId="250" fontId="21" fillId="43" borderId="0"/>
    <xf numFmtId="0" fontId="19" fillId="31" borderId="6" applyNumberFormat="0" applyFont="0" applyBorder="0" applyAlignment="0" applyProtection="0"/>
    <xf numFmtId="38" fontId="27" fillId="0" borderId="0" applyFont="0" applyFill="0" applyBorder="0" applyAlignment="0" applyProtection="0"/>
    <xf numFmtId="39" fontId="141" fillId="0" borderId="7">
      <alignment horizontal="center"/>
    </xf>
    <xf numFmtId="39" fontId="43" fillId="0" borderId="7">
      <alignment horizontal="center"/>
    </xf>
    <xf numFmtId="0" fontId="16" fillId="45" borderId="7" applyNumberFormat="0" applyFont="0" applyAlignment="0" applyProtection="0"/>
    <xf numFmtId="182" fontId="13" fillId="45" borderId="0" applyNumberFormat="0" applyFont="0" applyBorder="0" applyAlignment="0" applyProtection="0">
      <alignment horizontal="center"/>
      <protection locked="0"/>
    </xf>
    <xf numFmtId="173" fontId="217" fillId="43" borderId="0"/>
    <xf numFmtId="171" fontId="217" fillId="43" borderId="0"/>
    <xf numFmtId="1" fontId="162" fillId="45" borderId="0">
      <alignment horizontal="center"/>
    </xf>
    <xf numFmtId="9" fontId="18" fillId="0" borderId="0" applyFont="0" applyFill="0" applyBorder="0" applyAlignment="0" applyProtection="0"/>
    <xf numFmtId="3" fontId="91" fillId="0" borderId="0" applyFont="0" applyFill="0" applyBorder="0" applyAlignment="0" applyProtection="0"/>
    <xf numFmtId="197" fontId="163" fillId="0" borderId="0"/>
    <xf numFmtId="0" fontId="14" fillId="0" borderId="0" applyFont="0" applyFill="0" applyBorder="0" applyProtection="0">
      <alignment horizontal="right"/>
    </xf>
    <xf numFmtId="0" fontId="12" fillId="0" borderId="0" applyFont="0" applyFill="0" applyBorder="0" applyProtection="0">
      <alignment horizontal="right"/>
    </xf>
    <xf numFmtId="0" fontId="14" fillId="0" borderId="0" applyFont="0" applyFill="0" applyBorder="0" applyProtection="0">
      <alignment horizontal="right"/>
    </xf>
    <xf numFmtId="0" fontId="12" fillId="0" borderId="0" applyFont="0" applyFill="0" applyBorder="0" applyProtection="0">
      <alignment horizontal="right"/>
    </xf>
    <xf numFmtId="0" fontId="14" fillId="0" borderId="0" applyFont="0" applyFill="0" applyBorder="0" applyProtection="0">
      <alignment horizontal="right"/>
    </xf>
    <xf numFmtId="173" fontId="16" fillId="0" borderId="0" applyBorder="0"/>
    <xf numFmtId="247" fontId="13" fillId="0" borderId="0"/>
    <xf numFmtId="0" fontId="72" fillId="0" borderId="0"/>
    <xf numFmtId="3" fontId="164" fillId="51" borderId="7"/>
    <xf numFmtId="211" fontId="14" fillId="0" borderId="0" applyProtection="0">
      <alignment horizontal="right"/>
    </xf>
    <xf numFmtId="211" fontId="12" fillId="0" borderId="0" applyProtection="0">
      <alignment horizontal="right"/>
    </xf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212" fontId="14" fillId="0" borderId="0" applyProtection="0">
      <alignment horizontal="right"/>
    </xf>
    <xf numFmtId="212" fontId="12" fillId="0" borderId="0" applyProtection="0">
      <alignment horizontal="right"/>
    </xf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140" fillId="51" borderId="7"/>
    <xf numFmtId="3" fontId="26" fillId="51" borderId="7"/>
    <xf numFmtId="248" fontId="81" fillId="0" borderId="0" applyNumberFormat="0" applyFill="0" applyBorder="0" applyAlignment="0" applyProtection="0">
      <alignment horizontal="left"/>
    </xf>
    <xf numFmtId="4" fontId="227" fillId="25" borderId="37" applyBorder="0" applyProtection="0"/>
    <xf numFmtId="37" fontId="165" fillId="0" borderId="0" applyNumberFormat="0" applyFill="0" applyBorder="0" applyAlignment="0" applyProtection="0"/>
    <xf numFmtId="38" fontId="12" fillId="0" borderId="0"/>
    <xf numFmtId="0" fontId="16" fillId="0" borderId="0" applyNumberFormat="0" applyFill="0" applyBorder="0"/>
    <xf numFmtId="0" fontId="14" fillId="25" borderId="0" applyNumberFormat="0" applyFont="0" applyBorder="0" applyAlignment="0" applyProtection="0"/>
    <xf numFmtId="0" fontId="12" fillId="25" borderId="0" applyNumberFormat="0" applyFont="0" applyBorder="0" applyAlignment="0" applyProtection="0"/>
    <xf numFmtId="0" fontId="15" fillId="0" borderId="0"/>
    <xf numFmtId="0" fontId="13" fillId="0" borderId="0"/>
    <xf numFmtId="0" fontId="31" fillId="0" borderId="0"/>
    <xf numFmtId="0" fontId="16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6" fillId="0" borderId="0"/>
    <xf numFmtId="0" fontId="31" fillId="0" borderId="0"/>
    <xf numFmtId="0" fontId="31" fillId="0" borderId="0"/>
    <xf numFmtId="0" fontId="31" fillId="0" borderId="0"/>
    <xf numFmtId="0" fontId="31" fillId="0" borderId="38">
      <alignment horizontal="centerContinuous"/>
    </xf>
    <xf numFmtId="0" fontId="166" fillId="0" borderId="38">
      <alignment horizontal="centerContinuous"/>
    </xf>
    <xf numFmtId="0" fontId="31" fillId="0" borderId="38">
      <alignment horizontal="centerContinuous"/>
    </xf>
    <xf numFmtId="0" fontId="31" fillId="0" borderId="38">
      <alignment horizontal="centerContinuous"/>
    </xf>
    <xf numFmtId="0" fontId="31" fillId="0" borderId="38">
      <alignment horizontal="centerContinuous"/>
    </xf>
    <xf numFmtId="0" fontId="31" fillId="0" borderId="38">
      <alignment horizontal="centerContinuous"/>
    </xf>
    <xf numFmtId="0" fontId="31" fillId="0" borderId="38">
      <alignment horizontal="centerContinuous"/>
    </xf>
    <xf numFmtId="0" fontId="31" fillId="0" borderId="38">
      <alignment horizontal="centerContinuous"/>
    </xf>
    <xf numFmtId="0" fontId="166" fillId="0" borderId="38">
      <alignment horizontal="centerContinuous"/>
    </xf>
    <xf numFmtId="0" fontId="31" fillId="0" borderId="38">
      <alignment horizontal="centerContinuous"/>
    </xf>
    <xf numFmtId="0" fontId="31" fillId="0" borderId="38">
      <alignment horizontal="centerContinuous"/>
    </xf>
    <xf numFmtId="0" fontId="31" fillId="0" borderId="38">
      <alignment horizontal="centerContinuous"/>
    </xf>
    <xf numFmtId="0" fontId="156" fillId="4" borderId="36" applyNumberFormat="0" applyAlignment="0" applyProtection="0"/>
    <xf numFmtId="0" fontId="156" fillId="4" borderId="36" applyNumberFormat="0" applyAlignment="0" applyProtection="0"/>
    <xf numFmtId="0" fontId="28" fillId="0" borderId="0" applyFill="0" applyBorder="0" applyProtection="0">
      <alignment horizontal="left"/>
    </xf>
    <xf numFmtId="0" fontId="235" fillId="52" borderId="0"/>
    <xf numFmtId="0" fontId="28" fillId="0" borderId="0" applyFill="0" applyBorder="0" applyProtection="0">
      <alignment horizontal="left"/>
    </xf>
    <xf numFmtId="173" fontId="167" fillId="0" borderId="0">
      <alignment horizontal="left"/>
    </xf>
    <xf numFmtId="0" fontId="28" fillId="0" borderId="0" applyFill="0" applyBorder="0" applyProtection="0">
      <alignment horizontal="left"/>
    </xf>
    <xf numFmtId="3" fontId="107" fillId="0" borderId="0">
      <alignment horizontal="center"/>
      <protection locked="0"/>
    </xf>
    <xf numFmtId="0" fontId="168" fillId="53" borderId="0" applyNumberFormat="0"/>
    <xf numFmtId="41" fontId="14" fillId="0" borderId="0" applyFont="0" applyFill="0" applyBorder="0" applyAlignment="0" applyProtection="0"/>
    <xf numFmtId="185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56" fillId="54" borderId="0" applyNumberFormat="0" applyFont="0" applyBorder="0" applyAlignment="0" applyProtection="0"/>
    <xf numFmtId="0" fontId="26" fillId="54" borderId="0" applyNumberFormat="0" applyFont="0" applyBorder="0" applyAlignment="0" applyProtection="0"/>
    <xf numFmtId="194" fontId="27" fillId="0" borderId="0" applyFont="0" applyFill="0" applyBorder="0" applyAlignment="0" applyProtection="0"/>
    <xf numFmtId="168" fontId="24" fillId="0" borderId="0" applyFill="0" applyBorder="0" applyAlignment="0" applyProtection="0"/>
    <xf numFmtId="3" fontId="12" fillId="45" borderId="39" applyFont="0" applyFill="0" applyBorder="0" applyAlignment="0" applyProtection="0"/>
    <xf numFmtId="4" fontId="12" fillId="45" borderId="39" applyFont="0" applyFill="0" applyBorder="0" applyAlignment="0" applyProtection="0"/>
    <xf numFmtId="0" fontId="52" fillId="45" borderId="39" applyFont="0" applyFill="0" applyBorder="0" applyAlignment="0" applyProtection="0"/>
    <xf numFmtId="0" fontId="52" fillId="45" borderId="40" applyFont="0" applyFill="0" applyBorder="0" applyAlignment="0" applyProtection="0"/>
    <xf numFmtId="10" fontId="12" fillId="45" borderId="39" applyFont="0" applyFill="0" applyBorder="0" applyAlignment="0" applyProtection="0"/>
    <xf numFmtId="9" fontId="12" fillId="45" borderId="39" applyFont="0" applyFill="0" applyBorder="0" applyAlignment="0" applyProtection="0"/>
    <xf numFmtId="2" fontId="12" fillId="45" borderId="39" applyFont="0" applyFill="0" applyBorder="0" applyAlignment="0" applyProtection="0"/>
    <xf numFmtId="0" fontId="38" fillId="0" borderId="38"/>
    <xf numFmtId="0" fontId="12" fillId="0" borderId="0">
      <alignment vertical="center"/>
    </xf>
    <xf numFmtId="12" fontId="14" fillId="0" borderId="0" applyFont="0" applyFill="0" applyBorder="0" applyProtection="0">
      <alignment horizontal="right"/>
    </xf>
    <xf numFmtId="12" fontId="12" fillId="0" borderId="0" applyFont="0" applyFill="0" applyBorder="0" applyProtection="0">
      <alignment horizontal="right"/>
    </xf>
    <xf numFmtId="0" fontId="14" fillId="55" borderId="0" applyFont="0" applyFill="0" applyBorder="0" applyProtection="0">
      <alignment horizontal="right"/>
    </xf>
    <xf numFmtId="0" fontId="12" fillId="55" borderId="0" applyFont="0" applyFill="0" applyBorder="0" applyProtection="0">
      <alignment horizontal="right"/>
    </xf>
    <xf numFmtId="0" fontId="17" fillId="0" borderId="0"/>
    <xf numFmtId="37" fontId="211" fillId="0" borderId="0"/>
    <xf numFmtId="0" fontId="12" fillId="0" borderId="0">
      <alignment vertical="top"/>
    </xf>
    <xf numFmtId="0" fontId="13" fillId="31" borderId="7" applyNumberFormat="0" applyProtection="0">
      <alignment horizontal="center" wrapText="1"/>
    </xf>
    <xf numFmtId="0" fontId="13" fillId="0" borderId="0" applyNumberFormat="0" applyFill="0" applyBorder="0" applyProtection="0">
      <alignment vertical="center"/>
    </xf>
    <xf numFmtId="0" fontId="103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3" fillId="35" borderId="7" applyNumberFormat="0" applyProtection="0">
      <alignment wrapText="1"/>
    </xf>
    <xf numFmtId="0" fontId="168" fillId="0" borderId="0" applyNumberFormat="0" applyBorder="0" applyAlignment="0"/>
    <xf numFmtId="0" fontId="198" fillId="0" borderId="0" applyNumberFormat="0" applyBorder="0" applyAlignment="0"/>
    <xf numFmtId="189" fontId="199" fillId="0" borderId="0" applyFill="0" applyBorder="0" applyAlignment="0" applyProtection="0"/>
    <xf numFmtId="189" fontId="170" fillId="0" borderId="0" applyFill="0" applyBorder="0" applyAlignment="0" applyProtection="0"/>
    <xf numFmtId="256" fontId="200" fillId="0" borderId="0" applyFill="0" applyBorder="0" applyAlignment="0" applyProtection="0"/>
    <xf numFmtId="0" fontId="201" fillId="0" borderId="0" applyNumberFormat="0" applyFill="0" applyBorder="0" applyProtection="0">
      <alignment horizontal="left" vertical="center"/>
    </xf>
    <xf numFmtId="194" fontId="27" fillId="0" borderId="0" applyFill="0" applyBorder="0" applyAlignment="0" applyProtection="0">
      <protection locked="0"/>
    </xf>
    <xf numFmtId="40" fontId="169" fillId="0" borderId="0" applyBorder="0">
      <alignment horizontal="right"/>
    </xf>
    <xf numFmtId="194" fontId="199" fillId="0" borderId="0" applyFill="0" applyBorder="0" applyAlignment="0" applyProtection="0"/>
    <xf numFmtId="194" fontId="170" fillId="0" borderId="0" applyFill="0" applyBorder="0" applyAlignment="0" applyProtection="0"/>
    <xf numFmtId="0" fontId="12" fillId="53" borderId="0" applyNumberFormat="0" applyFont="0" applyBorder="0" applyAlignment="0" applyProtection="0">
      <protection locked="0"/>
    </xf>
    <xf numFmtId="0" fontId="12" fillId="53" borderId="0" applyNumberFormat="0" applyFont="0" applyBorder="0" applyAlignment="0" applyProtection="0">
      <protection locked="0"/>
    </xf>
    <xf numFmtId="0" fontId="12" fillId="53" borderId="0" applyNumberFormat="0" applyFont="0" applyBorder="0" applyAlignment="0" applyProtection="0">
      <protection locked="0"/>
    </xf>
    <xf numFmtId="0" fontId="16" fillId="45" borderId="0" applyNumberFormat="0" applyFont="0" applyBorder="0" applyAlignment="0" applyProtection="0"/>
    <xf numFmtId="0" fontId="42" fillId="0" borderId="0" applyFill="0" applyBorder="0" applyProtection="0">
      <alignment horizontal="center" vertical="center"/>
    </xf>
    <xf numFmtId="3" fontId="42" fillId="0" borderId="0" applyNumberFormat="0"/>
    <xf numFmtId="0" fontId="42" fillId="0" borderId="0" applyFill="0" applyBorder="0" applyProtection="0"/>
    <xf numFmtId="0" fontId="19" fillId="0" borderId="0" applyFill="0" applyBorder="0" applyProtection="0">
      <alignment horizontal="left"/>
    </xf>
    <xf numFmtId="0" fontId="170" fillId="0" borderId="0" applyFill="0" applyBorder="0" applyProtection="0">
      <alignment horizontal="left" vertical="top"/>
    </xf>
    <xf numFmtId="0" fontId="71" fillId="35" borderId="11" applyNumberFormat="0" applyFont="0" applyFill="0" applyAlignment="0" applyProtection="0">
      <protection locked="0"/>
    </xf>
    <xf numFmtId="0" fontId="71" fillId="35" borderId="41" applyNumberFormat="0" applyFont="0" applyFill="0" applyAlignment="0" applyProtection="0">
      <protection locked="0"/>
    </xf>
    <xf numFmtId="38" fontId="202" fillId="0" borderId="0" applyNumberFormat="0" applyBorder="0">
      <alignment horizontal="left"/>
    </xf>
    <xf numFmtId="38" fontId="196" fillId="0" borderId="0" applyNumberFormat="0" applyBorder="0">
      <alignment horizontal="left"/>
    </xf>
    <xf numFmtId="0" fontId="171" fillId="56" borderId="0">
      <alignment vertical="top" wrapText="1"/>
    </xf>
    <xf numFmtId="0" fontId="129" fillId="46" borderId="0" applyNumberFormat="0" applyBorder="0" applyProtection="0"/>
    <xf numFmtId="173" fontId="141" fillId="0" borderId="7">
      <alignment horizontal="center"/>
    </xf>
    <xf numFmtId="173" fontId="43" fillId="0" borderId="7">
      <alignment horizontal="center"/>
    </xf>
    <xf numFmtId="0" fontId="16" fillId="0" borderId="0" applyNumberFormat="0" applyFill="0" applyBorder="0" applyAlignment="0" applyProtection="0"/>
    <xf numFmtId="173" fontId="43" fillId="0" borderId="7">
      <alignment horizontal="center"/>
    </xf>
    <xf numFmtId="173" fontId="43" fillId="0" borderId="7">
      <alignment horizontal="center"/>
    </xf>
    <xf numFmtId="173" fontId="43" fillId="0" borderId="7">
      <alignment horizontal="center"/>
    </xf>
    <xf numFmtId="173" fontId="43" fillId="0" borderId="7">
      <alignment horizontal="center"/>
    </xf>
    <xf numFmtId="173" fontId="43" fillId="0" borderId="7">
      <alignment horizontal="center"/>
    </xf>
    <xf numFmtId="173" fontId="43" fillId="0" borderId="7">
      <alignment horizontal="center"/>
    </xf>
    <xf numFmtId="173" fontId="43" fillId="0" borderId="7">
      <alignment horizontal="center"/>
    </xf>
    <xf numFmtId="173" fontId="43" fillId="0" borderId="7">
      <alignment horizontal="center"/>
    </xf>
    <xf numFmtId="0" fontId="151" fillId="0" borderId="0" applyFill="0" applyBorder="0">
      <alignment vertical="center"/>
    </xf>
    <xf numFmtId="0" fontId="104" fillId="0" borderId="0">
      <alignment vertical="center"/>
    </xf>
    <xf numFmtId="0" fontId="14" fillId="0" borderId="0" applyNumberFormat="0" applyFont="0" applyFill="0" applyBorder="0" applyProtection="0">
      <alignment horizontal="left" vertical="top" wrapText="1"/>
    </xf>
    <xf numFmtId="0" fontId="12" fillId="0" borderId="0" applyNumberFormat="0" applyFont="0" applyFill="0" applyBorder="0" applyProtection="0">
      <alignment horizontal="left" vertical="top" wrapText="1"/>
    </xf>
    <xf numFmtId="173" fontId="141" fillId="0" borderId="7">
      <alignment horizontal="center"/>
    </xf>
    <xf numFmtId="0" fontId="80" fillId="0" borderId="0">
      <alignment vertical="center"/>
    </xf>
    <xf numFmtId="0" fontId="25" fillId="0" borderId="0">
      <alignment vertical="center"/>
    </xf>
    <xf numFmtId="0" fontId="172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28" fillId="0" borderId="0" applyNumberFormat="0" applyFill="0" applyBorder="0" applyAlignment="0" applyProtection="0"/>
    <xf numFmtId="0" fontId="173" fillId="0" borderId="9" applyAlignment="0"/>
    <xf numFmtId="0" fontId="173" fillId="0" borderId="9" applyAlignment="0"/>
    <xf numFmtId="0" fontId="104" fillId="0" borderId="42" applyAlignment="0"/>
    <xf numFmtId="18" fontId="174" fillId="35" borderId="0" applyFont="0" applyFill="0" applyBorder="0" applyAlignment="0" applyProtection="0">
      <protection locked="0"/>
    </xf>
    <xf numFmtId="18" fontId="71" fillId="35" borderId="0" applyFont="0" applyFill="0" applyBorder="0" applyAlignment="0" applyProtection="0">
      <protection locked="0"/>
    </xf>
    <xf numFmtId="249" fontId="14" fillId="0" borderId="0"/>
    <xf numFmtId="0" fontId="5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249" fontId="12" fillId="0" borderId="0"/>
    <xf numFmtId="0" fontId="109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249" fontId="12" fillId="0" borderId="0"/>
    <xf numFmtId="0" fontId="175" fillId="0" borderId="9" applyFill="0" applyAlignment="0" applyProtection="0">
      <alignment horizontal="left"/>
    </xf>
    <xf numFmtId="0" fontId="175" fillId="0" borderId="9" applyFill="0" applyAlignment="0" applyProtection="0">
      <alignment horizontal="left"/>
    </xf>
    <xf numFmtId="0" fontId="264" fillId="0" borderId="0" applyNumberFormat="0" applyFill="0" applyBorder="0" applyAlignment="0" applyProtection="0"/>
    <xf numFmtId="0" fontId="249" fillId="0" borderId="0" applyNumberFormat="0" applyFill="0" applyBorder="0" applyAlignment="0" applyProtection="0"/>
    <xf numFmtId="0" fontId="232" fillId="0" borderId="0" applyNumberFormat="0" applyFill="0" applyBorder="0" applyAlignment="0" applyProtection="0"/>
    <xf numFmtId="0" fontId="175" fillId="0" borderId="9" applyFill="0" applyAlignment="0" applyProtection="0">
      <alignment horizontal="left"/>
    </xf>
    <xf numFmtId="0" fontId="176" fillId="57" borderId="0" applyNumberFormat="0" applyBorder="0" applyProtection="0">
      <alignment horizontal="left" vertical="center"/>
    </xf>
    <xf numFmtId="0" fontId="177" fillId="1" borderId="0" applyNumberFormat="0" applyBorder="0" applyProtection="0">
      <alignment horizontal="left" vertical="center"/>
    </xf>
    <xf numFmtId="194" fontId="203" fillId="0" borderId="0" applyNumberFormat="0" applyFill="0" applyBorder="0" applyAlignment="0" applyProtection="0"/>
    <xf numFmtId="0" fontId="178" fillId="0" borderId="0"/>
    <xf numFmtId="0" fontId="179" fillId="0" borderId="0" applyNumberFormat="0" applyFill="0" applyBorder="0" applyAlignment="0" applyProtection="0"/>
    <xf numFmtId="0" fontId="120" fillId="0" borderId="24" applyNumberFormat="0" applyFill="0" applyAlignment="0" applyProtection="0"/>
    <xf numFmtId="0" fontId="120" fillId="0" borderId="24" applyNumberFormat="0" applyFill="0" applyAlignment="0" applyProtection="0"/>
    <xf numFmtId="0" fontId="121" fillId="0" borderId="26" applyNumberFormat="0" applyFill="0" applyAlignment="0" applyProtection="0"/>
    <xf numFmtId="0" fontId="121" fillId="0" borderId="26" applyNumberFormat="0" applyFill="0" applyAlignment="0" applyProtection="0"/>
    <xf numFmtId="0" fontId="122" fillId="0" borderId="28" applyNumberFormat="0" applyFill="0" applyAlignment="0" applyProtection="0"/>
    <xf numFmtId="0" fontId="122" fillId="0" borderId="28" applyNumberFormat="0" applyFill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37" fontId="180" fillId="58" borderId="7">
      <alignment horizontal="right"/>
    </xf>
    <xf numFmtId="3" fontId="164" fillId="59" borderId="7"/>
    <xf numFmtId="171" fontId="129" fillId="60" borderId="0" applyNumberFormat="0" applyProtection="0"/>
    <xf numFmtId="37" fontId="181" fillId="0" borderId="0" applyNumberFormat="0" applyFill="0" applyBorder="0" applyAlignment="0" applyProtection="0">
      <alignment horizontal="center"/>
    </xf>
    <xf numFmtId="0" fontId="182" fillId="0" borderId="0" applyFill="0" applyBorder="0" applyAlignment="0" applyProtection="0"/>
    <xf numFmtId="253" fontId="183" fillId="0" borderId="11" applyNumberFormat="0" applyFont="0" applyFill="0" applyAlignment="0" applyProtection="0"/>
    <xf numFmtId="37" fontId="197" fillId="0" borderId="0" applyNumberFormat="0" applyFill="0" applyBorder="0" applyAlignment="0" applyProtection="0">
      <alignment horizontal="center"/>
    </xf>
    <xf numFmtId="3" fontId="14" fillId="0" borderId="11" applyNumberFormat="0" applyFont="0" applyFill="0" applyAlignment="0" applyProtection="0"/>
    <xf numFmtId="3" fontId="12" fillId="0" borderId="11" applyNumberFormat="0" applyFont="0" applyFill="0" applyAlignment="0" applyProtection="0"/>
    <xf numFmtId="37" fontId="181" fillId="0" borderId="0" applyNumberFormat="0" applyFill="0" applyBorder="0" applyAlignment="0" applyProtection="0">
      <alignment horizontal="center"/>
    </xf>
    <xf numFmtId="37" fontId="154" fillId="33" borderId="0">
      <alignment horizontal="right"/>
    </xf>
    <xf numFmtId="0" fontId="265" fillId="0" borderId="43" applyNumberFormat="0" applyFill="0" applyAlignment="0" applyProtection="0"/>
    <xf numFmtId="0" fontId="265" fillId="0" borderId="43" applyNumberFormat="0" applyFill="0" applyAlignment="0" applyProtection="0"/>
    <xf numFmtId="37" fontId="154" fillId="33" borderId="0">
      <alignment horizontal="right"/>
    </xf>
    <xf numFmtId="175" fontId="16" fillId="0" borderId="44"/>
    <xf numFmtId="0" fontId="184" fillId="0" borderId="0">
      <alignment horizontal="left"/>
      <protection locked="0"/>
    </xf>
    <xf numFmtId="20" fontId="18" fillId="0" borderId="0"/>
    <xf numFmtId="0" fontId="129" fillId="46" borderId="0" applyNumberFormat="0" applyBorder="0" applyProtection="0"/>
    <xf numFmtId="0" fontId="12" fillId="0" borderId="9" applyNumberFormat="0" applyFill="0" applyProtection="0"/>
    <xf numFmtId="250" fontId="185" fillId="0" borderId="0">
      <alignment horizontal="right"/>
    </xf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0" fontId="12" fillId="0" borderId="9" applyNumberFormat="0" applyFill="0" applyProtection="0"/>
    <xf numFmtId="1" fontId="27" fillId="0" borderId="9" applyNumberFormat="0">
      <alignment horizontal="right"/>
    </xf>
    <xf numFmtId="1" fontId="27" fillId="0" borderId="9" applyNumberFormat="0">
      <alignment horizontal="right"/>
    </xf>
    <xf numFmtId="251" fontId="148" fillId="0" borderId="11"/>
    <xf numFmtId="0" fontId="186" fillId="0" borderId="0" applyNumberFormat="0" applyFont="0" applyFill="0"/>
    <xf numFmtId="0" fontId="12" fillId="0" borderId="0" applyFill="0">
      <alignment horizontal="center" wrapText="1"/>
    </xf>
    <xf numFmtId="0" fontId="186" fillId="0" borderId="0" applyNumberFormat="0" applyFont="0" applyFill="0"/>
    <xf numFmtId="37" fontId="13" fillId="45" borderId="0" applyNumberFormat="0" applyBorder="0" applyAlignment="0" applyProtection="0"/>
    <xf numFmtId="37" fontId="13" fillId="0" borderId="0"/>
    <xf numFmtId="37" fontId="15" fillId="25" borderId="0" applyNumberFormat="0" applyBorder="0" applyAlignment="0" applyProtection="0"/>
    <xf numFmtId="3" fontId="44" fillId="0" borderId="30" applyProtection="0"/>
    <xf numFmtId="165" fontId="187" fillId="0" borderId="45" applyNumberFormat="0" applyFill="0" applyBorder="0" applyAlignment="0" applyProtection="0">
      <alignment horizontal="right"/>
    </xf>
    <xf numFmtId="252" fontId="162" fillId="45" borderId="8" applyBorder="0">
      <alignment horizontal="right" vertical="center"/>
      <protection locked="0"/>
    </xf>
    <xf numFmtId="0" fontId="12" fillId="0" borderId="0" applyNumberFormat="0"/>
    <xf numFmtId="191" fontId="188" fillId="0" borderId="0"/>
    <xf numFmtId="0" fontId="14" fillId="0" borderId="0"/>
    <xf numFmtId="177" fontId="56" fillId="0" borderId="0" applyFont="0" applyFill="0" applyBorder="0" applyAlignment="0" applyProtection="0"/>
    <xf numFmtId="200" fontId="56" fillId="0" borderId="0" applyFont="0" applyFill="0" applyBorder="0" applyAlignment="0" applyProtection="0"/>
    <xf numFmtId="0" fontId="172" fillId="0" borderId="0" applyNumberFormat="0" applyFill="0" applyBorder="0" applyAlignment="0" applyProtection="0"/>
    <xf numFmtId="0" fontId="266" fillId="0" borderId="0" applyNumberFormat="0" applyFill="0" applyBorder="0" applyAlignment="0" applyProtection="0"/>
    <xf numFmtId="0" fontId="189" fillId="0" borderId="10" applyBorder="0"/>
    <xf numFmtId="0" fontId="16" fillId="35" borderId="0" applyNumberFormat="0" applyFont="0" applyAlignment="0" applyProtection="0"/>
    <xf numFmtId="0" fontId="16" fillId="35" borderId="11" applyNumberFormat="0" applyFont="0" applyAlignment="0" applyProtection="0">
      <protection locked="0"/>
    </xf>
    <xf numFmtId="0" fontId="41" fillId="0" borderId="0" applyNumberFormat="0" applyFill="0" applyBorder="0" applyAlignment="0" applyProtection="0"/>
    <xf numFmtId="1" fontId="27" fillId="0" borderId="0" applyFont="0" applyFill="0" applyBorder="0" applyAlignment="0" applyProtection="0"/>
    <xf numFmtId="193" fontId="56" fillId="0" borderId="0" applyFont="0" applyFill="0" applyBorder="0" applyAlignment="0" applyProtection="0">
      <alignment horizontal="right"/>
    </xf>
    <xf numFmtId="193" fontId="26" fillId="0" borderId="0" applyFont="0" applyFill="0" applyBorder="0" applyAlignment="0" applyProtection="0">
      <alignment horizontal="right"/>
    </xf>
    <xf numFmtId="191" fontId="77" fillId="0" borderId="0" applyFont="0" applyFill="0" applyBorder="0" applyProtection="0">
      <alignment horizontal="right"/>
    </xf>
    <xf numFmtId="191" fontId="27" fillId="0" borderId="0" applyFont="0" applyFill="0" applyBorder="0" applyProtection="0">
      <alignment horizontal="right"/>
    </xf>
    <xf numFmtId="1" fontId="190" fillId="0" borderId="9">
      <alignment horizontal="center"/>
    </xf>
    <xf numFmtId="1" fontId="190" fillId="0" borderId="9">
      <alignment horizontal="center"/>
    </xf>
    <xf numFmtId="206" fontId="24" fillId="0" borderId="0" applyFont="0" applyFill="0" applyBorder="0" applyAlignment="0" applyProtection="0"/>
    <xf numFmtId="0" fontId="40" fillId="0" borderId="0"/>
    <xf numFmtId="40" fontId="204" fillId="0" borderId="0" applyFont="0" applyFill="0" applyBorder="0" applyAlignment="0" applyProtection="0"/>
    <xf numFmtId="214" fontId="204" fillId="0" borderId="0" applyFont="0" applyFill="0" applyBorder="0" applyAlignment="0" applyProtection="0"/>
    <xf numFmtId="0" fontId="204" fillId="0" borderId="0" applyFont="0" applyFill="0" applyBorder="0" applyAlignment="0" applyProtection="0"/>
    <xf numFmtId="0" fontId="204" fillId="0" borderId="0"/>
    <xf numFmtId="0" fontId="205" fillId="0" borderId="0"/>
    <xf numFmtId="43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81" fillId="0" borderId="0"/>
    <xf numFmtId="169" fontId="29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4" borderId="0" applyNumberFormat="0" applyBorder="0" applyAlignment="0" applyProtection="0"/>
    <xf numFmtId="0" fontId="10" fillId="64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65" borderId="0" applyNumberFormat="0" applyBorder="0" applyAlignment="0" applyProtection="0"/>
    <xf numFmtId="0" fontId="10" fillId="65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66" borderId="0" applyNumberFormat="0" applyBorder="0" applyAlignment="0" applyProtection="0"/>
    <xf numFmtId="0" fontId="10" fillId="66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2" fillId="0" borderId="0" applyNumberFormat="0" applyFill="0" applyBorder="0" applyAlignment="0" applyProtection="0"/>
    <xf numFmtId="0" fontId="120" fillId="0" borderId="24" applyNumberFormat="0" applyFill="0" applyAlignment="0" applyProtection="0"/>
    <xf numFmtId="0" fontId="122" fillId="0" borderId="28" applyNumberFormat="0" applyFill="0" applyAlignment="0" applyProtection="0"/>
    <xf numFmtId="0" fontId="122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7" fontId="42" fillId="0" borderId="0"/>
    <xf numFmtId="3" fontId="140" fillId="51" borderId="7"/>
    <xf numFmtId="249" fontId="12" fillId="0" borderId="0"/>
    <xf numFmtId="0" fontId="179" fillId="0" borderId="0" applyNumberForma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4" borderId="0" applyNumberFormat="0" applyBorder="0" applyAlignment="0" applyProtection="0"/>
    <xf numFmtId="0" fontId="8" fillId="64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65" borderId="0" applyNumberFormat="0" applyBorder="0" applyAlignment="0" applyProtection="0"/>
    <xf numFmtId="0" fontId="8" fillId="65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2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07" fontId="42" fillId="0" borderId="0"/>
    <xf numFmtId="3" fontId="140" fillId="51" borderId="7"/>
    <xf numFmtId="249" fontId="12" fillId="0" borderId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4" borderId="0" applyNumberFormat="0" applyBorder="0" applyAlignment="0" applyProtection="0"/>
    <xf numFmtId="0" fontId="8" fillId="64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65" borderId="0" applyNumberFormat="0" applyBorder="0" applyAlignment="0" applyProtection="0"/>
    <xf numFmtId="0" fontId="8" fillId="65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1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1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1" fillId="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1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1" fillId="12" borderId="0" applyNumberFormat="0" applyBorder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11" fillId="5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1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11" fillId="17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11" fillId="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1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11" fillId="12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11" fillId="5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61" fillId="12" borderId="0" applyNumberFormat="0" applyBorder="0" applyAlignment="0" applyProtection="0"/>
    <xf numFmtId="0" fontId="61" fillId="17" borderId="0" applyNumberFormat="0" applyBorder="0" applyAlignment="0" applyProtection="0"/>
    <xf numFmtId="0" fontId="61" fillId="9" borderId="0" applyNumberFormat="0" applyBorder="0" applyAlignment="0" applyProtection="0"/>
    <xf numFmtId="0" fontId="61" fillId="22" borderId="0" applyNumberFormat="0" applyBorder="0" applyAlignment="0" applyProtection="0"/>
    <xf numFmtId="0" fontId="61" fillId="12" borderId="0" applyNumberFormat="0" applyBorder="0" applyAlignment="0" applyProtection="0"/>
    <xf numFmtId="0" fontId="61" fillId="5" borderId="0" applyNumberFormat="0" applyBorder="0" applyAlignment="0" applyProtection="0"/>
    <xf numFmtId="0" fontId="61" fillId="12" borderId="0" applyNumberFormat="0" applyBorder="0" applyAlignment="0" applyProtection="0"/>
    <xf numFmtId="0" fontId="61" fillId="27" borderId="0" applyNumberFormat="0" applyBorder="0" applyAlignment="0" applyProtection="0"/>
    <xf numFmtId="0" fontId="61" fillId="9" borderId="0" applyNumberFormat="0" applyBorder="0" applyAlignment="0" applyProtection="0"/>
    <xf numFmtId="0" fontId="61" fillId="22" borderId="0" applyNumberFormat="0" applyBorder="0" applyAlignment="0" applyProtection="0"/>
    <xf numFmtId="0" fontId="61" fillId="21" borderId="0" applyNumberFormat="0" applyBorder="0" applyAlignment="0" applyProtection="0"/>
    <xf numFmtId="0" fontId="61" fillId="17" borderId="0" applyNumberFormat="0" applyBorder="0" applyAlignment="0" applyProtection="0"/>
    <xf numFmtId="0" fontId="66" fillId="8" borderId="0" applyNumberFormat="0" applyBorder="0" applyAlignment="0" applyProtection="0"/>
    <xf numFmtId="0" fontId="12" fillId="0" borderId="0" applyNumberFormat="0" applyFill="0" applyBorder="0" applyAlignment="0" applyProtection="0"/>
    <xf numFmtId="0" fontId="82" fillId="4" borderId="16" applyNumberFormat="0" applyAlignment="0" applyProtection="0"/>
    <xf numFmtId="0" fontId="84" fillId="37" borderId="17" applyNumberFormat="0" applyAlignment="0" applyProtection="0"/>
    <xf numFmtId="43" fontId="12" fillId="0" borderId="0" applyFont="0" applyFill="0" applyBorder="0" applyAlignment="0" applyProtection="0"/>
    <xf numFmtId="0" fontId="108" fillId="0" borderId="0" applyNumberFormat="0" applyFill="0" applyBorder="0" applyAlignment="0" applyProtection="0"/>
    <xf numFmtId="0" fontId="76" fillId="10" borderId="0" applyNumberFormat="0" applyBorder="0" applyAlignment="0" applyProtection="0"/>
    <xf numFmtId="0" fontId="120" fillId="0" borderId="23" applyNumberFormat="0" applyFill="0" applyAlignment="0" applyProtection="0"/>
    <xf numFmtId="0" fontId="121" fillId="0" borderId="23" applyNumberFormat="0" applyFill="0" applyAlignment="0" applyProtection="0"/>
    <xf numFmtId="0" fontId="122" fillId="0" borderId="27" applyNumberFormat="0" applyFill="0" applyAlignment="0" applyProtection="0"/>
    <xf numFmtId="0" fontId="122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0" fontId="135" fillId="0" borderId="31" applyNumberFormat="0" applyFill="0" applyAlignment="0" applyProtection="0"/>
    <xf numFmtId="0" fontId="144" fillId="3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3" borderId="35" applyNumberFormat="0" applyFont="0" applyAlignment="0" applyProtection="0"/>
    <xf numFmtId="0" fontId="156" fillId="4" borderId="36" applyNumberFormat="0" applyAlignment="0" applyProtection="0"/>
    <xf numFmtId="9" fontId="1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207" fontId="42" fillId="0" borderId="0"/>
    <xf numFmtId="3" fontId="140" fillId="51" borderId="7"/>
    <xf numFmtId="249" fontId="12" fillId="0" borderId="0"/>
    <xf numFmtId="0" fontId="175" fillId="0" borderId="9" applyFill="0" applyAlignment="0" applyProtection="0">
      <alignment horizontal="left"/>
    </xf>
    <xf numFmtId="37" fontId="154" fillId="33" borderId="0">
      <alignment horizontal="right"/>
    </xf>
    <xf numFmtId="168" fontId="12" fillId="0" borderId="0" applyFont="0" applyFill="0" applyBorder="0" applyAlignment="0" applyProtection="0"/>
    <xf numFmtId="0" fontId="172" fillId="0" borderId="0" applyNumberFormat="0" applyFill="0" applyBorder="0" applyAlignment="0" applyProtection="0"/>
    <xf numFmtId="164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207" fontId="42" fillId="0" borderId="0"/>
    <xf numFmtId="3" fontId="140" fillId="51" borderId="7"/>
    <xf numFmtId="249" fontId="12" fillId="0" borderId="0"/>
    <xf numFmtId="0" fontId="12" fillId="0" borderId="0"/>
    <xf numFmtId="164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12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 applyNumberFormat="0" applyFill="0" applyBorder="0" applyAlignment="0" applyProtection="0"/>
    <xf numFmtId="207" fontId="42" fillId="0" borderId="0"/>
    <xf numFmtId="3" fontId="140" fillId="51" borderId="7"/>
    <xf numFmtId="249" fontId="12" fillId="0" borderId="0"/>
    <xf numFmtId="168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07" fontId="42" fillId="0" borderId="0"/>
    <xf numFmtId="3" fontId="140" fillId="51" borderId="7"/>
    <xf numFmtId="249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6" fillId="0" borderId="0"/>
    <xf numFmtId="164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2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7" fontId="42" fillId="0" borderId="0"/>
    <xf numFmtId="3" fontId="140" fillId="51" borderId="7"/>
    <xf numFmtId="249" fontId="12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2" fillId="0" borderId="0"/>
    <xf numFmtId="164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2" fillId="0" borderId="0" applyNumberFormat="0" applyFill="0" applyBorder="0" applyAlignment="0" applyProtection="0"/>
    <xf numFmtId="173" fontId="2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7" fontId="42" fillId="0" borderId="0"/>
    <xf numFmtId="3" fontId="140" fillId="51" borderId="7"/>
    <xf numFmtId="249" fontId="12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911">
    <xf numFmtId="0" fontId="0" fillId="0" borderId="0" xfId="0"/>
    <xf numFmtId="0" fontId="19" fillId="0" borderId="0" xfId="0" applyFont="1"/>
    <xf numFmtId="49" fontId="0" fillId="0" borderId="0" xfId="0" applyNumberFormat="1"/>
    <xf numFmtId="0" fontId="0" fillId="45" borderId="0" xfId="0" applyFill="1"/>
    <xf numFmtId="0" fontId="12" fillId="45" borderId="0" xfId="1910" applyFill="1"/>
    <xf numFmtId="183" fontId="19" fillId="0" borderId="0" xfId="1912" applyNumberFormat="1" applyFont="1"/>
    <xf numFmtId="0" fontId="14" fillId="0" borderId="0" xfId="0" applyFont="1"/>
    <xf numFmtId="0" fontId="14" fillId="0" borderId="0" xfId="1911" applyFont="1" applyAlignment="1">
      <alignment vertical="center"/>
    </xf>
    <xf numFmtId="0" fontId="14" fillId="0" borderId="0" xfId="1911" applyFont="1" applyFill="1" applyAlignment="1">
      <alignment horizontal="right" vertical="center"/>
    </xf>
    <xf numFmtId="0" fontId="14" fillId="0" borderId="0" xfId="1911" applyFont="1" applyAlignment="1">
      <alignment horizontal="right" vertical="center"/>
    </xf>
    <xf numFmtId="0" fontId="19" fillId="0" borderId="0" xfId="1911" applyFont="1" applyAlignment="1">
      <alignment horizontal="center" vertical="center"/>
    </xf>
    <xf numFmtId="0" fontId="19" fillId="0" borderId="0" xfId="1911" applyFont="1" applyAlignment="1">
      <alignment horizontal="right" vertical="center"/>
    </xf>
    <xf numFmtId="0" fontId="19" fillId="0" borderId="0" xfId="1911" applyNumberFormat="1" applyFont="1" applyAlignment="1">
      <alignment horizontal="right" vertical="center"/>
    </xf>
    <xf numFmtId="0" fontId="36" fillId="0" borderId="0" xfId="1911" applyFont="1" applyFill="1" applyAlignment="1">
      <alignment vertical="center"/>
    </xf>
    <xf numFmtId="170" fontId="36" fillId="0" borderId="0" xfId="738" applyNumberFormat="1" applyFont="1" applyFill="1" applyAlignment="1">
      <alignment vertical="center"/>
    </xf>
    <xf numFmtId="0" fontId="37" fillId="0" borderId="0" xfId="1911" applyFont="1" applyAlignment="1">
      <alignment vertical="center"/>
    </xf>
    <xf numFmtId="0" fontId="37" fillId="0" borderId="0" xfId="1911" applyFont="1" applyAlignment="1">
      <alignment horizontal="left" vertical="center" indent="1"/>
    </xf>
    <xf numFmtId="171" fontId="37" fillId="0" borderId="0" xfId="1977" applyNumberFormat="1" applyFont="1" applyAlignment="1">
      <alignment vertical="center"/>
    </xf>
    <xf numFmtId="0" fontId="36" fillId="0" borderId="0" xfId="1911" applyFont="1" applyAlignment="1">
      <alignment vertical="center"/>
    </xf>
    <xf numFmtId="0" fontId="36" fillId="0" borderId="0" xfId="1911" applyFont="1" applyAlignment="1">
      <alignment horizontal="right" vertical="center"/>
    </xf>
    <xf numFmtId="43" fontId="36" fillId="0" borderId="0" xfId="1911" applyNumberFormat="1" applyFont="1" applyAlignment="1">
      <alignment horizontal="right" vertical="center"/>
    </xf>
    <xf numFmtId="0" fontId="36" fillId="0" borderId="0" xfId="1911" applyFont="1" applyAlignment="1">
      <alignment horizontal="left" vertical="center"/>
    </xf>
    <xf numFmtId="0" fontId="36" fillId="0" borderId="0" xfId="1911" applyFont="1" applyAlignment="1">
      <alignment horizontal="left" vertical="center" indent="1"/>
    </xf>
    <xf numFmtId="43" fontId="36" fillId="0" borderId="0" xfId="738" applyFont="1" applyAlignment="1">
      <alignment vertical="center"/>
    </xf>
    <xf numFmtId="172" fontId="36" fillId="0" borderId="0" xfId="738" applyNumberFormat="1" applyFont="1" applyAlignment="1">
      <alignment vertical="center"/>
    </xf>
    <xf numFmtId="171" fontId="36" fillId="0" borderId="0" xfId="1977" applyNumberFormat="1" applyFont="1" applyAlignment="1">
      <alignment vertical="center"/>
    </xf>
    <xf numFmtId="174" fontId="36" fillId="0" borderId="0" xfId="738" applyNumberFormat="1" applyFont="1" applyAlignment="1">
      <alignment vertical="center"/>
    </xf>
    <xf numFmtId="0" fontId="36" fillId="0" borderId="0" xfId="1911" applyFont="1" applyFill="1" applyAlignment="1">
      <alignment horizontal="left" vertical="center" indent="1"/>
    </xf>
    <xf numFmtId="10" fontId="14" fillId="35" borderId="0" xfId="1977" applyNumberFormat="1" applyFont="1" applyFill="1" applyBorder="1" applyAlignment="1">
      <alignment horizontal="right"/>
    </xf>
    <xf numFmtId="0" fontId="34" fillId="61" borderId="0" xfId="1911" applyFont="1" applyFill="1" applyAlignment="1">
      <alignment horizontal="right" vertical="center"/>
    </xf>
    <xf numFmtId="0" fontId="36" fillId="45" borderId="0" xfId="1911" applyFont="1" applyFill="1" applyAlignment="1">
      <alignment horizontal="right" vertical="center"/>
    </xf>
    <xf numFmtId="10" fontId="14" fillId="45" borderId="0" xfId="1977" applyNumberFormat="1" applyFont="1" applyFill="1" applyBorder="1" applyAlignment="1">
      <alignment horizontal="right"/>
    </xf>
    <xf numFmtId="0" fontId="12" fillId="0" borderId="0" xfId="0" applyFont="1" applyFill="1" applyBorder="1"/>
    <xf numFmtId="0" fontId="28" fillId="0" borderId="0" xfId="0" applyFont="1"/>
    <xf numFmtId="0" fontId="191" fillId="0" borderId="0" xfId="0" applyFont="1"/>
    <xf numFmtId="0" fontId="34" fillId="52" borderId="0" xfId="1911" applyFont="1" applyFill="1" applyAlignment="1">
      <alignment horizontal="center" vertical="center"/>
    </xf>
    <xf numFmtId="186" fontId="34" fillId="52" borderId="0" xfId="1911" applyNumberFormat="1" applyFont="1" applyFill="1" applyAlignment="1">
      <alignment horizontal="right" vertical="center"/>
    </xf>
    <xf numFmtId="0" fontId="12" fillId="0" borderId="0" xfId="0" applyFont="1"/>
    <xf numFmtId="37" fontId="36" fillId="45" borderId="0" xfId="803" applyNumberFormat="1" applyFont="1" applyFill="1" applyAlignment="1">
      <alignment horizontal="right" vertical="center"/>
    </xf>
    <xf numFmtId="37" fontId="36" fillId="0" borderId="0" xfId="803" applyNumberFormat="1" applyFont="1" applyFill="1" applyAlignment="1">
      <alignment horizontal="right" vertical="center"/>
    </xf>
    <xf numFmtId="171" fontId="37" fillId="45" borderId="0" xfId="2016" applyNumberFormat="1" applyFont="1" applyFill="1" applyAlignment="1">
      <alignment horizontal="right" vertical="center"/>
    </xf>
    <xf numFmtId="171" fontId="37" fillId="0" borderId="0" xfId="2016" applyNumberFormat="1" applyFont="1" applyFill="1" applyAlignment="1">
      <alignment horizontal="right" vertical="center"/>
    </xf>
    <xf numFmtId="171" fontId="36" fillId="0" borderId="0" xfId="2016" applyNumberFormat="1" applyFont="1" applyAlignment="1">
      <alignment horizontal="right" vertical="center"/>
    </xf>
    <xf numFmtId="171" fontId="36" fillId="45" borderId="0" xfId="2016" applyNumberFormat="1" applyFont="1" applyFill="1" applyAlignment="1">
      <alignment horizontal="right" vertical="center"/>
    </xf>
    <xf numFmtId="171" fontId="36" fillId="35" borderId="0" xfId="2016" applyNumberFormat="1" applyFont="1" applyFill="1" applyAlignment="1">
      <alignment horizontal="right" vertical="center"/>
    </xf>
    <xf numFmtId="1" fontId="0" fillId="0" borderId="0" xfId="0" applyNumberFormat="1"/>
    <xf numFmtId="176" fontId="36" fillId="45" borderId="0" xfId="803" applyNumberFormat="1" applyFont="1" applyFill="1" applyAlignment="1">
      <alignment horizontal="right" vertical="center"/>
    </xf>
    <xf numFmtId="176" fontId="36" fillId="35" borderId="0" xfId="803" applyNumberFormat="1" applyFont="1" applyFill="1" applyAlignment="1">
      <alignment horizontal="right" vertical="center"/>
    </xf>
    <xf numFmtId="176" fontId="36" fillId="0" borderId="0" xfId="803" applyNumberFormat="1" applyFont="1" applyFill="1" applyAlignment="1">
      <alignment horizontal="right" vertical="center"/>
    </xf>
    <xf numFmtId="10" fontId="14" fillId="45" borderId="0" xfId="2016" applyNumberFormat="1" applyFont="1" applyFill="1" applyBorder="1" applyAlignment="1">
      <alignment horizontal="right"/>
    </xf>
    <xf numFmtId="10" fontId="14" fillId="35" borderId="0" xfId="2016" applyNumberFormat="1" applyFont="1" applyFill="1" applyBorder="1" applyAlignment="1">
      <alignment horizontal="right"/>
    </xf>
    <xf numFmtId="171" fontId="36" fillId="45" borderId="0" xfId="2016" quotePrefix="1" applyNumberFormat="1" applyFont="1" applyFill="1" applyAlignment="1">
      <alignment horizontal="right" vertical="center"/>
    </xf>
    <xf numFmtId="10" fontId="36" fillId="45" borderId="0" xfId="2016" applyNumberFormat="1" applyFont="1" applyFill="1" applyAlignment="1">
      <alignment horizontal="right" vertical="center"/>
    </xf>
    <xf numFmtId="10" fontId="36" fillId="35" borderId="0" xfId="2016" applyNumberFormat="1" applyFont="1" applyFill="1" applyAlignment="1">
      <alignment horizontal="right" vertical="center"/>
    </xf>
    <xf numFmtId="0" fontId="206" fillId="0" borderId="0" xfId="1911" applyFont="1" applyAlignment="1">
      <alignment horizontal="left" vertical="center"/>
    </xf>
    <xf numFmtId="10" fontId="14" fillId="0" borderId="0" xfId="1977" applyNumberFormat="1" applyFont="1" applyFill="1" applyAlignment="1">
      <alignment horizontal="right" vertical="center"/>
    </xf>
    <xf numFmtId="176" fontId="238" fillId="35" borderId="0" xfId="803" applyNumberFormat="1" applyFont="1" applyFill="1" applyAlignment="1">
      <alignment horizontal="right" vertical="center"/>
    </xf>
    <xf numFmtId="37" fontId="238" fillId="0" borderId="0" xfId="803" applyNumberFormat="1" applyFont="1" applyFill="1" applyAlignment="1">
      <alignment horizontal="right" vertical="center"/>
    </xf>
    <xf numFmtId="37" fontId="238" fillId="45" borderId="0" xfId="803" applyNumberFormat="1" applyFont="1" applyFill="1" applyAlignment="1">
      <alignment horizontal="right" vertical="center"/>
    </xf>
    <xf numFmtId="171" fontId="238" fillId="0" borderId="0" xfId="2016" applyNumberFormat="1" applyFont="1" applyFill="1" applyAlignment="1">
      <alignment horizontal="right" vertical="center"/>
    </xf>
    <xf numFmtId="171" fontId="238" fillId="45" borderId="0" xfId="2016" applyNumberFormat="1" applyFont="1" applyFill="1" applyAlignment="1">
      <alignment horizontal="right" vertical="center"/>
    </xf>
    <xf numFmtId="0" fontId="238" fillId="0" borderId="0" xfId="1911" applyFont="1" applyAlignment="1">
      <alignment horizontal="right" vertical="center"/>
    </xf>
    <xf numFmtId="0" fontId="238" fillId="45" borderId="0" xfId="1911" applyFont="1" applyFill="1" applyAlignment="1">
      <alignment horizontal="right" vertical="center"/>
    </xf>
    <xf numFmtId="171" fontId="238" fillId="35" borderId="0" xfId="2016" applyNumberFormat="1" applyFont="1" applyFill="1" applyAlignment="1">
      <alignment horizontal="right" vertical="center"/>
    </xf>
    <xf numFmtId="171" fontId="238" fillId="0" borderId="0" xfId="2016" applyNumberFormat="1" applyFont="1" applyAlignment="1">
      <alignment horizontal="right" vertical="center"/>
    </xf>
    <xf numFmtId="176" fontId="238" fillId="45" borderId="0" xfId="803" applyNumberFormat="1" applyFont="1" applyFill="1" applyAlignment="1">
      <alignment horizontal="right" vertical="center"/>
    </xf>
    <xf numFmtId="10" fontId="239" fillId="35" borderId="0" xfId="2016" applyNumberFormat="1" applyFont="1" applyFill="1" applyBorder="1" applyAlignment="1">
      <alignment horizontal="right"/>
    </xf>
    <xf numFmtId="10" fontId="238" fillId="45" borderId="0" xfId="2016" applyNumberFormat="1" applyFont="1" applyFill="1" applyAlignment="1">
      <alignment horizontal="right" vertical="center"/>
    </xf>
    <xf numFmtId="171" fontId="238" fillId="25" borderId="0" xfId="2016" applyNumberFormat="1" applyFont="1" applyFill="1" applyAlignment="1">
      <alignment horizontal="right" vertical="center"/>
    </xf>
    <xf numFmtId="10" fontId="238" fillId="45" borderId="0" xfId="2016" applyNumberFormat="1" applyFont="1" applyFill="1" applyAlignment="1">
      <alignment horizontal="right" vertical="center"/>
    </xf>
    <xf numFmtId="171" fontId="238" fillId="45" borderId="0" xfId="2016" applyNumberFormat="1" applyFont="1" applyFill="1" applyAlignment="1">
      <alignment horizontal="right" vertical="center"/>
    </xf>
    <xf numFmtId="10" fontId="239" fillId="35" borderId="0" xfId="1977" applyNumberFormat="1" applyFont="1" applyFill="1" applyBorder="1" applyAlignment="1">
      <alignment horizontal="right"/>
    </xf>
    <xf numFmtId="10" fontId="239" fillId="45" borderId="0" xfId="1977" applyNumberFormat="1" applyFont="1" applyFill="1" applyBorder="1" applyAlignment="1">
      <alignment horizontal="right"/>
    </xf>
    <xf numFmtId="10" fontId="239" fillId="25" borderId="0" xfId="1977" applyNumberFormat="1" applyFont="1" applyFill="1" applyBorder="1" applyAlignment="1">
      <alignment horizontal="right"/>
    </xf>
    <xf numFmtId="10" fontId="239" fillId="45" borderId="0" xfId="1977" applyNumberFormat="1" applyFont="1" applyFill="1" applyBorder="1" applyAlignment="1">
      <alignment horizontal="right"/>
    </xf>
    <xf numFmtId="10" fontId="238" fillId="35" borderId="0" xfId="2016" applyNumberFormat="1" applyFont="1" applyFill="1" applyAlignment="1">
      <alignment horizontal="right" vertical="center"/>
    </xf>
    <xf numFmtId="186" fontId="34" fillId="0" borderId="0" xfId="1911" applyNumberFormat="1" applyFont="1" applyFill="1" applyAlignment="1">
      <alignment horizontal="right" vertical="center"/>
    </xf>
    <xf numFmtId="171" fontId="14" fillId="0" borderId="0" xfId="0" applyNumberFormat="1" applyFont="1" applyFill="1"/>
    <xf numFmtId="266" fontId="241" fillId="0" borderId="0" xfId="1911" applyNumberFormat="1" applyFont="1" applyFill="1" applyAlignment="1">
      <alignment horizontal="right" vertical="center"/>
    </xf>
    <xf numFmtId="171" fontId="240" fillId="0" borderId="0" xfId="0" applyNumberFormat="1" applyFont="1"/>
    <xf numFmtId="265" fontId="240" fillId="0" borderId="0" xfId="1911" applyNumberFormat="1" applyFont="1" applyFill="1" applyAlignment="1">
      <alignment horizontal="right" vertical="center"/>
    </xf>
    <xf numFmtId="0" fontId="240" fillId="0" borderId="0" xfId="0" applyFont="1"/>
    <xf numFmtId="265" fontId="240" fillId="0" borderId="0" xfId="0" applyNumberFormat="1" applyFont="1"/>
    <xf numFmtId="266" fontId="240" fillId="0" borderId="0" xfId="1911" applyNumberFormat="1" applyFont="1" applyFill="1" applyAlignment="1">
      <alignment horizontal="right" vertical="center"/>
    </xf>
    <xf numFmtId="43" fontId="240" fillId="0" borderId="0" xfId="0" applyNumberFormat="1" applyFont="1"/>
    <xf numFmtId="9" fontId="240" fillId="0" borderId="0" xfId="0" applyNumberFormat="1" applyFont="1"/>
    <xf numFmtId="171" fontId="240" fillId="0" borderId="0" xfId="1977" applyNumberFormat="1" applyFont="1" applyFill="1" applyAlignment="1">
      <alignment horizontal="right" vertical="center"/>
    </xf>
    <xf numFmtId="4" fontId="240" fillId="0" borderId="0" xfId="0" applyNumberFormat="1" applyFont="1"/>
    <xf numFmtId="186" fontId="14" fillId="0" borderId="0" xfId="1911" applyNumberFormat="1" applyFont="1" applyFill="1" applyAlignment="1">
      <alignment horizontal="right" vertical="center"/>
    </xf>
    <xf numFmtId="0" fontId="206" fillId="0" borderId="0" xfId="1911" applyFont="1" applyAlignment="1">
      <alignment horizontal="center" vertical="center"/>
    </xf>
    <xf numFmtId="186" fontId="34" fillId="52" borderId="0" xfId="1911" applyNumberFormat="1" applyFont="1" applyFill="1" applyAlignment="1">
      <alignment horizontal="center" vertical="center" wrapText="1"/>
    </xf>
    <xf numFmtId="171" fontId="240" fillId="0" borderId="0" xfId="0" applyNumberFormat="1" applyFont="1" applyAlignment="1">
      <alignment horizontal="center"/>
    </xf>
    <xf numFmtId="265" fontId="240" fillId="0" borderId="0" xfId="1911" applyNumberFormat="1" applyFont="1" applyFill="1" applyAlignment="1">
      <alignment horizontal="center" vertical="center"/>
    </xf>
    <xf numFmtId="0" fontId="240" fillId="0" borderId="0" xfId="0" applyFont="1" applyAlignment="1">
      <alignment horizontal="center"/>
    </xf>
    <xf numFmtId="266" fontId="240" fillId="0" borderId="0" xfId="1911" applyNumberFormat="1" applyFont="1" applyFill="1" applyAlignment="1">
      <alignment horizontal="center" vertical="center"/>
    </xf>
    <xf numFmtId="43" fontId="240" fillId="0" borderId="0" xfId="0" applyNumberFormat="1" applyFont="1" applyAlignment="1">
      <alignment horizontal="center"/>
    </xf>
    <xf numFmtId="9" fontId="240" fillId="0" borderId="0" xfId="0" applyNumberFormat="1" applyFont="1" applyAlignment="1">
      <alignment horizontal="center"/>
    </xf>
    <xf numFmtId="4" fontId="240" fillId="0" borderId="0" xfId="0" applyNumberFormat="1" applyFont="1" applyAlignment="1">
      <alignment horizontal="center"/>
    </xf>
    <xf numFmtId="265" fontId="240" fillId="0" borderId="0" xfId="0" applyNumberFormat="1" applyFont="1" applyAlignment="1">
      <alignment horizontal="center"/>
    </xf>
    <xf numFmtId="171" fontId="240" fillId="0" borderId="0" xfId="1977" applyNumberFormat="1" applyFont="1" applyFill="1" applyAlignment="1">
      <alignment horizontal="center" vertical="center"/>
    </xf>
    <xf numFmtId="186" fontId="14" fillId="62" borderId="0" xfId="1911" applyNumberFormat="1" applyFont="1" applyFill="1" applyAlignment="1">
      <alignment horizontal="right" vertical="center"/>
    </xf>
    <xf numFmtId="265" fontId="241" fillId="62" borderId="0" xfId="1911" applyNumberFormat="1" applyFont="1" applyFill="1" applyAlignment="1">
      <alignment horizontal="center" vertical="center"/>
    </xf>
    <xf numFmtId="265" fontId="240" fillId="62" borderId="0" xfId="0" applyNumberFormat="1" applyFont="1" applyFill="1" applyAlignment="1">
      <alignment horizontal="center"/>
    </xf>
    <xf numFmtId="266" fontId="241" fillId="62" borderId="0" xfId="1911" applyNumberFormat="1" applyFont="1" applyFill="1" applyAlignment="1">
      <alignment horizontal="center" vertical="center"/>
    </xf>
    <xf numFmtId="266" fontId="240" fillId="62" borderId="0" xfId="1911" applyNumberFormat="1" applyFont="1" applyFill="1" applyAlignment="1">
      <alignment horizontal="center" vertical="center"/>
    </xf>
    <xf numFmtId="171" fontId="240" fillId="62" borderId="0" xfId="1977" applyNumberFormat="1" applyFont="1" applyFill="1" applyAlignment="1">
      <alignment horizontal="center" vertical="center"/>
    </xf>
    <xf numFmtId="0" fontId="14" fillId="0" borderId="0" xfId="1911" quotePrefix="1" applyFont="1" applyAlignment="1">
      <alignment vertical="center"/>
    </xf>
    <xf numFmtId="171" fontId="240" fillId="25" borderId="0" xfId="0" applyNumberFormat="1" applyFont="1" applyFill="1" applyAlignment="1">
      <alignment horizontal="center"/>
    </xf>
    <xf numFmtId="171" fontId="14" fillId="25" borderId="0" xfId="0" applyNumberFormat="1" applyFont="1" applyFill="1" applyAlignment="1">
      <alignment horizontal="center"/>
    </xf>
    <xf numFmtId="171" fontId="14" fillId="62" borderId="0" xfId="0" applyNumberFormat="1" applyFont="1" applyFill="1" applyAlignment="1">
      <alignment horizontal="center"/>
    </xf>
    <xf numFmtId="4" fontId="240" fillId="25" borderId="0" xfId="0" applyNumberFormat="1" applyFont="1" applyFill="1" applyAlignment="1">
      <alignment horizontal="center"/>
    </xf>
    <xf numFmtId="4" fontId="14" fillId="25" borderId="0" xfId="0" applyNumberFormat="1" applyFont="1" applyFill="1" applyAlignment="1">
      <alignment horizontal="center"/>
    </xf>
    <xf numFmtId="4" fontId="14" fillId="62" borderId="0" xfId="0" applyNumberFormat="1" applyFont="1" applyFill="1" applyAlignment="1">
      <alignment horizontal="center"/>
    </xf>
    <xf numFmtId="0" fontId="28" fillId="0" borderId="0" xfId="0" applyFont="1" applyAlignment="1">
      <alignment horizontal="left"/>
    </xf>
    <xf numFmtId="0" fontId="242" fillId="0" borderId="0" xfId="1911" applyFont="1" applyFill="1" applyAlignment="1">
      <alignment horizontal="right" vertical="center"/>
    </xf>
    <xf numFmtId="10" fontId="14" fillId="0" borderId="0" xfId="1977" applyNumberFormat="1" applyFont="1" applyFill="1" applyBorder="1" applyAlignment="1">
      <alignment horizontal="right" vertical="center"/>
    </xf>
    <xf numFmtId="10" fontId="14" fillId="25" borderId="0" xfId="1977" applyNumberFormat="1" applyFont="1" applyFill="1" applyAlignment="1">
      <alignment horizontal="center" vertical="center"/>
    </xf>
    <xf numFmtId="10" fontId="240" fillId="0" borderId="0" xfId="0" applyNumberFormat="1" applyFont="1" applyAlignment="1">
      <alignment horizontal="center"/>
    </xf>
    <xf numFmtId="10" fontId="240" fillId="25" borderId="0" xfId="0" applyNumberFormat="1" applyFont="1" applyFill="1" applyAlignment="1">
      <alignment horizontal="center"/>
    </xf>
    <xf numFmtId="10" fontId="14" fillId="2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2" fillId="0" borderId="0" xfId="1911" applyFont="1" applyFill="1" applyAlignment="1">
      <alignment horizontal="right" vertical="center"/>
    </xf>
    <xf numFmtId="10" fontId="14" fillId="25" borderId="0" xfId="1911" applyNumberFormat="1" applyFont="1" applyFill="1" applyAlignment="1">
      <alignment horizontal="right" vertical="center"/>
    </xf>
    <xf numFmtId="186" fontId="34" fillId="52" borderId="10" xfId="1911" applyNumberFormat="1" applyFont="1" applyFill="1" applyBorder="1" applyAlignment="1">
      <alignment horizontal="right" vertical="center"/>
    </xf>
    <xf numFmtId="0" fontId="242" fillId="0" borderId="48" xfId="1911" applyFont="1" applyFill="1" applyBorder="1" applyAlignment="1">
      <alignment horizontal="right" vertical="center"/>
    </xf>
    <xf numFmtId="171" fontId="240" fillId="0" borderId="48" xfId="0" applyNumberFormat="1" applyFont="1" applyBorder="1"/>
    <xf numFmtId="265" fontId="240" fillId="0" borderId="48" xfId="1911" applyNumberFormat="1" applyFont="1" applyFill="1" applyBorder="1" applyAlignment="1">
      <alignment horizontal="right" vertical="center"/>
    </xf>
    <xf numFmtId="265" fontId="240" fillId="0" borderId="48" xfId="0" applyNumberFormat="1" applyFont="1" applyBorder="1"/>
    <xf numFmtId="266" fontId="240" fillId="0" borderId="48" xfId="1911" applyNumberFormat="1" applyFont="1" applyFill="1" applyBorder="1" applyAlignment="1">
      <alignment horizontal="right" vertical="center"/>
    </xf>
    <xf numFmtId="171" fontId="240" fillId="0" borderId="48" xfId="1977" applyNumberFormat="1" applyFont="1" applyFill="1" applyBorder="1" applyAlignment="1">
      <alignment horizontal="right" vertical="center"/>
    </xf>
    <xf numFmtId="171" fontId="245" fillId="0" borderId="0" xfId="0" applyNumberFormat="1" applyFont="1"/>
    <xf numFmtId="1" fontId="240" fillId="25" borderId="7" xfId="738" applyNumberFormat="1" applyFont="1" applyFill="1" applyBorder="1" applyAlignment="1">
      <alignment horizontal="center"/>
    </xf>
    <xf numFmtId="0" fontId="36" fillId="45" borderId="0" xfId="1911" applyFont="1" applyFill="1" applyBorder="1" applyAlignment="1">
      <alignment horizontal="right" vertical="center"/>
    </xf>
    <xf numFmtId="0" fontId="36" fillId="0" borderId="0" xfId="1911" applyFont="1" applyBorder="1" applyAlignment="1">
      <alignment horizontal="right" vertical="center"/>
    </xf>
    <xf numFmtId="171" fontId="36" fillId="45" borderId="0" xfId="1977" applyNumberFormat="1" applyFont="1" applyFill="1" applyAlignment="1">
      <alignment horizontal="right" vertical="center"/>
    </xf>
    <xf numFmtId="10" fontId="36" fillId="35" borderId="0" xfId="1977" applyNumberFormat="1" applyFont="1" applyFill="1" applyAlignment="1">
      <alignment horizontal="right" vertical="center"/>
    </xf>
    <xf numFmtId="171" fontId="36" fillId="45" borderId="0" xfId="1977" applyNumberFormat="1" applyFont="1" applyFill="1" applyBorder="1" applyAlignment="1">
      <alignment horizontal="right" vertical="center"/>
    </xf>
    <xf numFmtId="10" fontId="36" fillId="35" borderId="0" xfId="1977" applyNumberFormat="1" applyFont="1" applyFill="1" applyBorder="1" applyAlignment="1">
      <alignment horizontal="right" vertical="center"/>
    </xf>
    <xf numFmtId="37" fontId="36" fillId="45" borderId="0" xfId="803" applyNumberFormat="1" applyFont="1" applyFill="1" applyBorder="1" applyAlignment="1">
      <alignment horizontal="right" vertical="center"/>
    </xf>
    <xf numFmtId="37" fontId="36" fillId="0" borderId="0" xfId="803" applyNumberFormat="1" applyFont="1" applyFill="1" applyBorder="1" applyAlignment="1">
      <alignment horizontal="right" vertical="center"/>
    </xf>
    <xf numFmtId="0" fontId="37" fillId="0" borderId="0" xfId="1911" applyFont="1" applyAlignment="1">
      <alignment horizontal="left" vertical="center" indent="2"/>
    </xf>
    <xf numFmtId="171" fontId="37" fillId="45" borderId="0" xfId="2016" applyNumberFormat="1" applyFont="1" applyFill="1" applyBorder="1" applyAlignment="1">
      <alignment horizontal="right" vertical="center"/>
    </xf>
    <xf numFmtId="171" fontId="37" fillId="0" borderId="0" xfId="2016" applyNumberFormat="1" applyFont="1" applyFill="1" applyBorder="1" applyAlignment="1">
      <alignment horizontal="right" vertical="center"/>
    </xf>
    <xf numFmtId="171" fontId="240" fillId="0" borderId="0" xfId="1977" applyNumberFormat="1" applyFont="1"/>
    <xf numFmtId="0" fontId="12" fillId="0" borderId="0" xfId="1911" applyFont="1" applyAlignment="1">
      <alignment vertical="center"/>
    </xf>
    <xf numFmtId="4" fontId="14" fillId="0" borderId="0" xfId="1911" applyNumberFormat="1" applyFont="1" applyFill="1" applyAlignment="1">
      <alignment horizontal="right" vertical="center"/>
    </xf>
    <xf numFmtId="10" fontId="12" fillId="0" borderId="0" xfId="1977" applyNumberFormat="1" applyFont="1" applyFill="1" applyBorder="1"/>
    <xf numFmtId="10" fontId="240" fillId="0" borderId="0" xfId="0" applyNumberFormat="1" applyFont="1"/>
    <xf numFmtId="0" fontId="12" fillId="0" borderId="0" xfId="0" applyFont="1" applyAlignment="1"/>
    <xf numFmtId="9" fontId="14" fillId="0" borderId="0" xfId="1977" applyFont="1" applyFill="1" applyAlignment="1">
      <alignment horizontal="right" vertical="center"/>
    </xf>
    <xf numFmtId="171" fontId="14" fillId="0" borderId="0" xfId="1977" applyNumberFormat="1" applyFont="1" applyFill="1" applyAlignment="1">
      <alignment horizontal="right" vertical="center"/>
    </xf>
    <xf numFmtId="10" fontId="14" fillId="0" borderId="0" xfId="1911" applyNumberFormat="1" applyFont="1" applyFill="1" applyAlignment="1">
      <alignment horizontal="right" vertical="center"/>
    </xf>
    <xf numFmtId="10" fontId="246" fillId="0" borderId="7" xfId="2234" applyNumberFormat="1" applyFont="1" applyFill="1" applyBorder="1" applyAlignment="1">
      <alignment horizontal="center"/>
    </xf>
    <xf numFmtId="170" fontId="12" fillId="0" borderId="0" xfId="2462" applyNumberFormat="1" applyFont="1" applyAlignment="1">
      <alignment horizontal="right"/>
    </xf>
    <xf numFmtId="0" fontId="12" fillId="35" borderId="0" xfId="1661" applyFont="1" applyFill="1" applyAlignment="1"/>
    <xf numFmtId="0" fontId="12" fillId="0" borderId="0" xfId="1661" applyFont="1" applyAlignment="1">
      <alignment horizontal="left" indent="1"/>
    </xf>
    <xf numFmtId="0" fontId="12" fillId="0" borderId="0" xfId="1661" applyFont="1" applyFill="1" applyAlignment="1"/>
    <xf numFmtId="0" fontId="209" fillId="0" borderId="0" xfId="1661" applyFont="1" applyAlignment="1">
      <alignment horizontal="left" indent="1"/>
    </xf>
    <xf numFmtId="0" fontId="12" fillId="0" borderId="0" xfId="1661" applyFont="1" applyAlignment="1">
      <alignment horizontal="left" indent="2"/>
    </xf>
    <xf numFmtId="170" fontId="12" fillId="0" borderId="0" xfId="2462" applyNumberFormat="1" applyFont="1" applyAlignment="1">
      <alignment horizontal="left" indent="1"/>
    </xf>
    <xf numFmtId="172" fontId="12" fillId="0" borderId="0" xfId="2462" applyNumberFormat="1" applyFont="1" applyAlignment="1">
      <alignment horizontal="left" indent="1"/>
    </xf>
    <xf numFmtId="0" fontId="12" fillId="0" borderId="0" xfId="1661" applyFont="1" applyAlignment="1"/>
    <xf numFmtId="170" fontId="12" fillId="0" borderId="0" xfId="1661" applyNumberFormat="1" applyFont="1" applyAlignment="1"/>
    <xf numFmtId="0" fontId="12" fillId="0" borderId="7" xfId="1661" applyFont="1" applyBorder="1" applyAlignment="1">
      <alignment horizontal="center"/>
    </xf>
    <xf numFmtId="0" fontId="12" fillId="0" borderId="0" xfId="1661" applyFont="1" applyBorder="1" applyAlignment="1"/>
    <xf numFmtId="170" fontId="12" fillId="0" borderId="0" xfId="2462" applyNumberFormat="1" applyFont="1" applyFill="1" applyAlignment="1">
      <alignment horizontal="right"/>
    </xf>
    <xf numFmtId="170" fontId="12" fillId="0" borderId="0" xfId="2462" applyNumberFormat="1" applyFont="1" applyFill="1" applyAlignment="1"/>
    <xf numFmtId="172" fontId="12" fillId="0" borderId="0" xfId="1661" applyNumberFormat="1" applyFont="1" applyAlignment="1"/>
    <xf numFmtId="180" fontId="12" fillId="35" borderId="0" xfId="1661" applyNumberFormat="1" applyFont="1" applyFill="1" applyAlignment="1"/>
    <xf numFmtId="288" fontId="12" fillId="0" borderId="0" xfId="1661" applyNumberFormat="1" applyFont="1" applyAlignment="1">
      <alignment horizontal="left" indent="2"/>
    </xf>
    <xf numFmtId="10" fontId="12" fillId="0" borderId="0" xfId="1661" applyNumberFormat="1" applyFont="1" applyAlignment="1">
      <alignment horizontal="left" indent="2"/>
    </xf>
    <xf numFmtId="172" fontId="12" fillId="0" borderId="0" xfId="1661" applyNumberFormat="1" applyFont="1" applyFill="1" applyAlignment="1">
      <alignment horizontal="right"/>
    </xf>
    <xf numFmtId="170" fontId="12" fillId="0" borderId="0" xfId="1661" applyNumberFormat="1" applyFont="1" applyFill="1" applyAlignment="1">
      <alignment horizontal="right"/>
    </xf>
    <xf numFmtId="0" fontId="210" fillId="0" borderId="0" xfId="1661" applyFont="1" applyAlignment="1"/>
    <xf numFmtId="10" fontId="14" fillId="62" borderId="0" xfId="0" applyNumberFormat="1" applyFont="1" applyFill="1" applyAlignment="1">
      <alignment horizontal="center"/>
    </xf>
    <xf numFmtId="186" fontId="243" fillId="0" borderId="0" xfId="1912" applyNumberFormat="1" applyFont="1" applyFill="1" applyBorder="1" applyAlignment="1">
      <alignment horizontal="right" vertical="center"/>
    </xf>
    <xf numFmtId="17" fontId="34" fillId="52" borderId="0" xfId="1661" applyNumberFormat="1" applyFont="1" applyFill="1" applyAlignment="1"/>
    <xf numFmtId="170" fontId="12" fillId="0" borderId="0" xfId="2462" applyNumberFormat="1" applyFont="1" applyFill="1" applyAlignment="1">
      <alignment horizontal="center"/>
    </xf>
    <xf numFmtId="170" fontId="12" fillId="0" borderId="0" xfId="2462" applyNumberFormat="1" applyFont="1" applyAlignment="1"/>
    <xf numFmtId="170" fontId="12" fillId="0" borderId="0" xfId="738" applyNumberFormat="1" applyFont="1" applyAlignment="1"/>
    <xf numFmtId="170" fontId="240" fillId="62" borderId="7" xfId="2462" applyNumberFormat="1" applyFont="1" applyFill="1" applyBorder="1" applyAlignment="1">
      <alignment horizontal="center"/>
    </xf>
    <xf numFmtId="0" fontId="209" fillId="0" borderId="0" xfId="1661" applyFont="1" applyAlignment="1">
      <alignment horizontal="left"/>
    </xf>
    <xf numFmtId="0" fontId="12" fillId="0" borderId="0" xfId="1661" applyFont="1" applyAlignment="1">
      <alignment horizontal="left"/>
    </xf>
    <xf numFmtId="0" fontId="19" fillId="0" borderId="0" xfId="1661" applyFont="1" applyAlignment="1">
      <alignment horizontal="left"/>
    </xf>
    <xf numFmtId="0" fontId="19" fillId="0" borderId="11" xfId="1661" applyFont="1" applyBorder="1" applyAlignment="1">
      <alignment horizontal="left"/>
    </xf>
    <xf numFmtId="0" fontId="12" fillId="0" borderId="11" xfId="1661" applyFont="1" applyBorder="1" applyAlignment="1">
      <alignment horizontal="left" indent="2"/>
    </xf>
    <xf numFmtId="172" fontId="12" fillId="0" borderId="11" xfId="1661" applyNumberFormat="1" applyFont="1" applyBorder="1" applyAlignment="1">
      <alignment horizontal="left" indent="1"/>
    </xf>
    <xf numFmtId="0" fontId="19" fillId="0" borderId="0" xfId="1661" applyFont="1" applyFill="1" applyBorder="1" applyAlignment="1">
      <alignment horizontal="left"/>
    </xf>
    <xf numFmtId="172" fontId="12" fillId="0" borderId="0" xfId="2462" applyNumberFormat="1" applyFont="1" applyBorder="1" applyAlignment="1">
      <alignment horizontal="left" indent="1"/>
    </xf>
    <xf numFmtId="170" fontId="12" fillId="0" borderId="0" xfId="2462" applyNumberFormat="1" applyFont="1" applyBorder="1" applyAlignment="1">
      <alignment horizontal="left" indent="1"/>
    </xf>
    <xf numFmtId="0" fontId="19" fillId="0" borderId="0" xfId="1661" applyFont="1" applyBorder="1" applyAlignment="1">
      <alignment horizontal="left"/>
    </xf>
    <xf numFmtId="172" fontId="12" fillId="0" borderId="0" xfId="1661" applyNumberFormat="1" applyFont="1" applyFill="1" applyBorder="1" applyAlignment="1">
      <alignment horizontal="right"/>
    </xf>
    <xf numFmtId="0" fontId="12" fillId="0" borderId="0" xfId="1661" applyFont="1" applyBorder="1" applyAlignment="1">
      <alignment horizontal="left" indent="2"/>
    </xf>
    <xf numFmtId="172" fontId="12" fillId="0" borderId="0" xfId="2462" applyNumberFormat="1" applyFont="1" applyBorder="1" applyAlignment="1">
      <alignment horizontal="left" indent="2"/>
    </xf>
    <xf numFmtId="172" fontId="12" fillId="0" borderId="0" xfId="2462" applyNumberFormat="1" applyFont="1" applyBorder="1"/>
    <xf numFmtId="0" fontId="12" fillId="35" borderId="0" xfId="1661" applyFont="1" applyFill="1" applyBorder="1" applyAlignment="1"/>
    <xf numFmtId="0" fontId="19" fillId="0" borderId="9" xfId="1661" applyFont="1" applyBorder="1" applyAlignment="1">
      <alignment horizontal="left"/>
    </xf>
    <xf numFmtId="288" fontId="12" fillId="0" borderId="9" xfId="1661" applyNumberFormat="1" applyFont="1" applyBorder="1" applyAlignment="1">
      <alignment horizontal="left" indent="2"/>
    </xf>
    <xf numFmtId="172" fontId="12" fillId="0" borderId="9" xfId="1661" applyNumberFormat="1" applyFont="1" applyFill="1" applyBorder="1" applyAlignment="1">
      <alignment horizontal="right"/>
    </xf>
    <xf numFmtId="170" fontId="12" fillId="0" borderId="11" xfId="1661" applyNumberFormat="1" applyFont="1" applyBorder="1" applyAlignment="1">
      <alignment horizontal="left" indent="1"/>
    </xf>
    <xf numFmtId="170" fontId="12" fillId="0" borderId="0" xfId="2462" applyNumberFormat="1" applyFont="1" applyBorder="1" applyAlignment="1">
      <alignment horizontal="left" indent="2"/>
    </xf>
    <xf numFmtId="170" fontId="12" fillId="0" borderId="0" xfId="2462" applyNumberFormat="1" applyFont="1" applyBorder="1"/>
    <xf numFmtId="17" fontId="244" fillId="63" borderId="0" xfId="1661" applyNumberFormat="1" applyFont="1" applyFill="1" applyAlignment="1"/>
    <xf numFmtId="10" fontId="14" fillId="0" borderId="0" xfId="1977" applyNumberFormat="1" applyFont="1" applyAlignment="1">
      <alignment horizontal="right" vertical="center"/>
    </xf>
    <xf numFmtId="181" fontId="238" fillId="35" borderId="0" xfId="2016" applyNumberFormat="1" applyFont="1" applyFill="1" applyAlignment="1">
      <alignment horizontal="right" vertical="center"/>
    </xf>
    <xf numFmtId="186" fontId="12" fillId="35" borderId="7" xfId="0" applyNumberFormat="1" applyFont="1" applyFill="1" applyBorder="1" applyAlignment="1">
      <alignment horizontal="left" indent="2"/>
    </xf>
    <xf numFmtId="186" fontId="12" fillId="0" borderId="7" xfId="0" applyNumberFormat="1" applyFont="1" applyBorder="1" applyAlignment="1">
      <alignment horizontal="left" indent="2"/>
    </xf>
    <xf numFmtId="3" fontId="12" fillId="0" borderId="7" xfId="0" applyNumberFormat="1" applyFont="1" applyBorder="1" applyAlignment="1">
      <alignment horizontal="center"/>
    </xf>
    <xf numFmtId="170" fontId="12" fillId="0" borderId="11" xfId="0" applyNumberFormat="1" applyFont="1" applyBorder="1" applyAlignment="1">
      <alignment horizontal="left" indent="1"/>
    </xf>
    <xf numFmtId="170" fontId="12" fillId="0" borderId="0" xfId="0" applyNumberFormat="1" applyFont="1" applyFill="1" applyBorder="1" applyAlignment="1">
      <alignment horizontal="right"/>
    </xf>
    <xf numFmtId="170" fontId="12" fillId="0" borderId="9" xfId="0" applyNumberFormat="1" applyFont="1" applyFill="1" applyBorder="1" applyAlignment="1">
      <alignment horizontal="right"/>
    </xf>
    <xf numFmtId="172" fontId="12" fillId="0" borderId="0" xfId="0" applyNumberFormat="1" applyFont="1" applyFill="1" applyAlignment="1">
      <alignment horizontal="right"/>
    </xf>
    <xf numFmtId="170" fontId="12" fillId="0" borderId="0" xfId="0" applyNumberFormat="1" applyFont="1" applyFill="1" applyAlignment="1">
      <alignment horizontal="right"/>
    </xf>
    <xf numFmtId="180" fontId="12" fillId="35" borderId="0" xfId="0" applyNumberFormat="1" applyFont="1" applyFill="1" applyAlignment="1"/>
    <xf numFmtId="170" fontId="12" fillId="0" borderId="0" xfId="0" applyNumberFormat="1" applyFont="1" applyAlignment="1">
      <alignment horizontal="left"/>
    </xf>
    <xf numFmtId="0" fontId="14" fillId="0" borderId="0" xfId="1911" applyFont="1" applyFill="1" applyBorder="1" applyAlignment="1">
      <alignment horizontal="right" vertical="center"/>
    </xf>
    <xf numFmtId="10" fontId="12" fillId="0" borderId="0" xfId="1977" applyNumberFormat="1" applyFont="1" applyAlignment="1">
      <alignment horizontal="right"/>
    </xf>
    <xf numFmtId="17" fontId="244" fillId="0" borderId="0" xfId="1661" applyNumberFormat="1" applyFont="1" applyFill="1" applyAlignment="1"/>
    <xf numFmtId="0" fontId="12" fillId="0" borderId="0" xfId="1661" applyFont="1" applyBorder="1" applyAlignment="1">
      <alignment horizontal="left"/>
    </xf>
    <xf numFmtId="0" fontId="19" fillId="0" borderId="9" xfId="1661" applyFont="1" applyBorder="1" applyAlignment="1"/>
    <xf numFmtId="0" fontId="12" fillId="0" borderId="9" xfId="1661" applyFont="1" applyBorder="1" applyAlignment="1"/>
    <xf numFmtId="186" fontId="243" fillId="0" borderId="9" xfId="1912" applyNumberFormat="1" applyFont="1" applyFill="1" applyBorder="1" applyAlignment="1">
      <alignment horizontal="right" vertical="center"/>
    </xf>
    <xf numFmtId="0" fontId="12" fillId="0" borderId="11" xfId="1661" applyFont="1" applyBorder="1" applyAlignment="1">
      <alignment horizontal="left"/>
    </xf>
    <xf numFmtId="0" fontId="12" fillId="0" borderId="11" xfId="1661" applyFont="1" applyBorder="1" applyAlignment="1"/>
    <xf numFmtId="170" fontId="12" fillId="0" borderId="11" xfId="1661" applyNumberFormat="1" applyFont="1" applyBorder="1" applyAlignment="1"/>
    <xf numFmtId="170" fontId="12" fillId="0" borderId="0" xfId="2462" applyNumberFormat="1" applyFont="1" applyBorder="1" applyAlignment="1"/>
    <xf numFmtId="0" fontId="116" fillId="0" borderId="0" xfId="1661" applyFont="1" applyFill="1" applyAlignment="1"/>
    <xf numFmtId="170" fontId="245" fillId="0" borderId="0" xfId="1661" applyNumberFormat="1" applyFont="1" applyAlignment="1"/>
    <xf numFmtId="9" fontId="12" fillId="0" borderId="0" xfId="1977" applyFont="1" applyFill="1" applyAlignment="1">
      <alignment horizontal="left"/>
    </xf>
    <xf numFmtId="14" fontId="0" fillId="0" borderId="0" xfId="0" applyNumberFormat="1"/>
    <xf numFmtId="10" fontId="0" fillId="0" borderId="0" xfId="0" applyNumberFormat="1" applyAlignment="1">
      <alignment horizontal="center"/>
    </xf>
    <xf numFmtId="0" fontId="0" fillId="0" borderId="0" xfId="0"/>
    <xf numFmtId="0" fontId="9" fillId="0" borderId="0" xfId="3211"/>
    <xf numFmtId="0" fontId="265" fillId="0" borderId="0" xfId="3211" applyFont="1" applyAlignment="1">
      <alignment horizontal="center"/>
    </xf>
    <xf numFmtId="43" fontId="265" fillId="0" borderId="0" xfId="3211" applyNumberFormat="1" applyFont="1" applyAlignment="1">
      <alignment horizontal="center"/>
    </xf>
    <xf numFmtId="10" fontId="265" fillId="0" borderId="0" xfId="3213" applyNumberFormat="1" applyFont="1" applyAlignment="1">
      <alignment horizontal="center"/>
    </xf>
    <xf numFmtId="170" fontId="265" fillId="0" borderId="0" xfId="3212" applyNumberFormat="1" applyFont="1"/>
    <xf numFmtId="289" fontId="12" fillId="0" borderId="0" xfId="3211" applyNumberFormat="1" applyFont="1" applyFill="1" applyBorder="1" applyAlignment="1">
      <alignment horizontal="center"/>
    </xf>
    <xf numFmtId="170" fontId="9" fillId="0" borderId="0" xfId="3211" applyNumberFormat="1"/>
    <xf numFmtId="10" fontId="9" fillId="0" borderId="0" xfId="3211" applyNumberFormat="1"/>
    <xf numFmtId="43" fontId="9" fillId="0" borderId="0" xfId="3211" applyNumberFormat="1"/>
    <xf numFmtId="43" fontId="9" fillId="0" borderId="0" xfId="3212" applyFont="1"/>
    <xf numFmtId="43" fontId="9" fillId="0" borderId="0" xfId="3212" applyNumberFormat="1" applyFont="1"/>
    <xf numFmtId="10" fontId="9" fillId="0" borderId="0" xfId="3214" applyNumberFormat="1" applyFont="1"/>
    <xf numFmtId="290" fontId="9" fillId="0" borderId="0" xfId="3212" applyNumberFormat="1" applyFont="1"/>
    <xf numFmtId="43" fontId="9" fillId="0" borderId="0" xfId="3211" applyNumberFormat="1" applyAlignment="1">
      <alignment horizontal="center"/>
    </xf>
    <xf numFmtId="170" fontId="9" fillId="0" borderId="0" xfId="3211" applyNumberFormat="1" applyAlignment="1">
      <alignment horizontal="center"/>
    </xf>
    <xf numFmtId="186" fontId="12" fillId="0" borderId="0" xfId="3211" applyNumberFormat="1" applyFont="1" applyFill="1" applyBorder="1" applyAlignment="1">
      <alignment horizontal="center"/>
    </xf>
    <xf numFmtId="14" fontId="9" fillId="0" borderId="0" xfId="3211" applyNumberFormat="1" applyFill="1" applyBorder="1" applyAlignment="1">
      <alignment horizontal="center"/>
    </xf>
    <xf numFmtId="0" fontId="9" fillId="0" borderId="0" xfId="3211" applyFill="1" applyBorder="1"/>
    <xf numFmtId="10" fontId="9" fillId="0" borderId="0" xfId="3211" applyNumberFormat="1" applyFill="1" applyBorder="1"/>
    <xf numFmtId="43" fontId="9" fillId="0" borderId="0" xfId="3211" applyNumberFormat="1" applyFill="1" applyBorder="1"/>
    <xf numFmtId="10" fontId="21" fillId="0" borderId="0" xfId="3212" applyNumberFormat="1" applyFont="1" applyFill="1" applyBorder="1" applyAlignment="1">
      <alignment horizontal="center"/>
    </xf>
    <xf numFmtId="14" fontId="272" fillId="45" borderId="55" xfId="0" applyNumberFormat="1" applyFont="1" applyFill="1" applyBorder="1" applyAlignment="1">
      <alignment horizontal="left" wrapText="1"/>
    </xf>
    <xf numFmtId="0" fontId="272" fillId="45" borderId="56" xfId="0" applyFont="1" applyFill="1" applyBorder="1" applyAlignment="1">
      <alignment horizontal="left" wrapText="1"/>
    </xf>
    <xf numFmtId="0" fontId="272" fillId="45" borderId="57" xfId="0" applyFont="1" applyFill="1" applyBorder="1" applyAlignment="1">
      <alignment horizontal="left" wrapText="1"/>
    </xf>
    <xf numFmtId="14" fontId="223" fillId="62" borderId="58" xfId="0" applyNumberFormat="1" applyFont="1" applyFill="1" applyBorder="1" applyAlignment="1">
      <alignment horizontal="center" vertical="top" wrapText="1"/>
    </xf>
    <xf numFmtId="0" fontId="223" fillId="62" borderId="59" xfId="0" applyFont="1" applyFill="1" applyBorder="1" applyAlignment="1">
      <alignment horizontal="left" wrapText="1"/>
    </xf>
    <xf numFmtId="0" fontId="223" fillId="62" borderId="60" xfId="0" applyFont="1" applyFill="1" applyBorder="1" applyAlignment="1">
      <alignment horizontal="left" wrapText="1"/>
    </xf>
    <xf numFmtId="14" fontId="223" fillId="35" borderId="55" xfId="0" applyNumberFormat="1" applyFont="1" applyFill="1" applyBorder="1" applyAlignment="1">
      <alignment horizontal="center" vertical="top" wrapText="1"/>
    </xf>
    <xf numFmtId="0" fontId="223" fillId="35" borderId="56" xfId="0" applyFont="1" applyFill="1" applyBorder="1" applyAlignment="1">
      <alignment horizontal="left" wrapText="1"/>
    </xf>
    <xf numFmtId="0" fontId="223" fillId="35" borderId="57" xfId="0" applyFont="1" applyFill="1" applyBorder="1" applyAlignment="1">
      <alignment horizontal="left" wrapText="1"/>
    </xf>
    <xf numFmtId="14" fontId="223" fillId="35" borderId="58" xfId="0" applyNumberFormat="1" applyFont="1" applyFill="1" applyBorder="1" applyAlignment="1">
      <alignment horizontal="center" vertical="top" wrapText="1"/>
    </xf>
    <xf numFmtId="0" fontId="223" fillId="35" borderId="59" xfId="0" applyFont="1" applyFill="1" applyBorder="1" applyAlignment="1">
      <alignment horizontal="left" wrapText="1"/>
    </xf>
    <xf numFmtId="0" fontId="223" fillId="35" borderId="60" xfId="0" applyFont="1" applyFill="1" applyBorder="1" applyAlignment="1">
      <alignment horizontal="left" wrapText="1"/>
    </xf>
    <xf numFmtId="14" fontId="223" fillId="62" borderId="55" xfId="0" applyNumberFormat="1" applyFont="1" applyFill="1" applyBorder="1" applyAlignment="1">
      <alignment horizontal="center" vertical="top" wrapText="1"/>
    </xf>
    <xf numFmtId="0" fontId="223" fillId="62" borderId="56" xfId="0" applyFont="1" applyFill="1" applyBorder="1" applyAlignment="1">
      <alignment horizontal="left" wrapText="1"/>
    </xf>
    <xf numFmtId="0" fontId="223" fillId="62" borderId="57" xfId="0" applyFont="1" applyFill="1" applyBorder="1" applyAlignment="1">
      <alignment horizontal="left" wrapText="1"/>
    </xf>
    <xf numFmtId="14" fontId="272" fillId="0" borderId="0" xfId="0" applyNumberFormat="1" applyFont="1"/>
    <xf numFmtId="0" fontId="9" fillId="0" borderId="0" xfId="3211" applyAlignment="1">
      <alignment horizontal="center"/>
    </xf>
    <xf numFmtId="0" fontId="9" fillId="0" borderId="0" xfId="3211" applyAlignment="1"/>
    <xf numFmtId="10" fontId="9" fillId="0" borderId="0" xfId="3211" applyNumberFormat="1" applyAlignment="1">
      <alignment horizontal="center"/>
    </xf>
    <xf numFmtId="10" fontId="9" fillId="0" borderId="0" xfId="3213" applyNumberFormat="1" applyFont="1" applyAlignment="1">
      <alignment horizontal="center"/>
    </xf>
    <xf numFmtId="43" fontId="9" fillId="0" borderId="0" xfId="3212" applyFont="1" applyAlignment="1">
      <alignment horizontal="center"/>
    </xf>
    <xf numFmtId="43" fontId="0" fillId="0" borderId="0" xfId="0" applyNumberFormat="1" applyAlignment="1">
      <alignment horizontal="center"/>
    </xf>
    <xf numFmtId="43" fontId="9" fillId="0" borderId="0" xfId="3212" applyNumberFormat="1" applyFont="1" applyAlignment="1">
      <alignment horizontal="center"/>
    </xf>
    <xf numFmtId="180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274" fillId="0" borderId="0" xfId="3211" applyFont="1"/>
    <xf numFmtId="0" fontId="265" fillId="0" borderId="9" xfId="3211" applyFont="1" applyBorder="1" applyAlignment="1">
      <alignment horizontal="center"/>
    </xf>
    <xf numFmtId="0" fontId="265" fillId="0" borderId="9" xfId="0" applyFont="1" applyBorder="1" applyAlignment="1">
      <alignment horizontal="center"/>
    </xf>
    <xf numFmtId="289" fontId="12" fillId="0" borderId="46" xfId="3211" applyNumberFormat="1" applyFont="1" applyFill="1" applyBorder="1" applyAlignment="1">
      <alignment horizontal="center"/>
    </xf>
    <xf numFmtId="0" fontId="9" fillId="0" borderId="46" xfId="3211" applyBorder="1" applyAlignment="1">
      <alignment horizontal="center"/>
    </xf>
    <xf numFmtId="170" fontId="9" fillId="0" borderId="46" xfId="3211" applyNumberFormat="1" applyBorder="1" applyAlignment="1">
      <alignment horizontal="center"/>
    </xf>
    <xf numFmtId="10" fontId="0" fillId="0" borderId="46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43" fontId="265" fillId="0" borderId="46" xfId="3211" applyNumberFormat="1" applyFont="1" applyBorder="1" applyAlignment="1">
      <alignment horizontal="center"/>
    </xf>
    <xf numFmtId="170" fontId="265" fillId="0" borderId="46" xfId="0" applyNumberFormat="1" applyFont="1" applyBorder="1" applyAlignment="1">
      <alignment horizontal="center"/>
    </xf>
    <xf numFmtId="2" fontId="265" fillId="0" borderId="46" xfId="0" applyNumberFormat="1" applyFont="1" applyBorder="1" applyAlignment="1">
      <alignment horizontal="center"/>
    </xf>
    <xf numFmtId="43" fontId="265" fillId="0" borderId="46" xfId="0" applyNumberFormat="1" applyFont="1" applyBorder="1" applyAlignment="1">
      <alignment horizontal="center"/>
    </xf>
    <xf numFmtId="10" fontId="0" fillId="0" borderId="46" xfId="0" applyNumberFormat="1" applyFill="1" applyBorder="1" applyAlignment="1">
      <alignment horizontal="center"/>
    </xf>
    <xf numFmtId="0" fontId="275" fillId="0" borderId="0" xfId="3211" applyFont="1"/>
    <xf numFmtId="0" fontId="276" fillId="0" borderId="0" xfId="3211" applyFont="1" applyAlignment="1">
      <alignment horizontal="center"/>
    </xf>
    <xf numFmtId="14" fontId="276" fillId="0" borderId="0" xfId="3211" applyNumberFormat="1" applyFont="1" applyAlignment="1">
      <alignment horizontal="center"/>
    </xf>
    <xf numFmtId="10" fontId="9" fillId="0" borderId="0" xfId="1977" applyNumberFormat="1" applyFont="1"/>
    <xf numFmtId="170" fontId="35" fillId="0" borderId="0" xfId="738" applyNumberFormat="1" applyFont="1" applyAlignment="1">
      <alignment horizontal="right"/>
    </xf>
    <xf numFmtId="0" fontId="32" fillId="0" borderId="0" xfId="1661" applyFont="1" applyFill="1" applyAlignment="1"/>
    <xf numFmtId="43" fontId="12" fillId="0" borderId="0" xfId="2462" applyNumberFormat="1" applyFont="1" applyFill="1" applyBorder="1" applyAlignment="1"/>
    <xf numFmtId="43" fontId="12" fillId="0" borderId="11" xfId="2462" applyNumberFormat="1" applyFont="1" applyFill="1" applyBorder="1" applyAlignment="1"/>
    <xf numFmtId="17" fontId="271" fillId="75" borderId="0" xfId="1661" applyNumberFormat="1" applyFont="1" applyFill="1" applyAlignment="1"/>
    <xf numFmtId="9" fontId="269" fillId="74" borderId="46" xfId="1661" applyNumberFormat="1" applyFont="1" applyFill="1" applyBorder="1" applyAlignment="1"/>
    <xf numFmtId="0" fontId="19" fillId="0" borderId="0" xfId="1661" applyFont="1" applyAlignment="1">
      <alignment horizontal="right"/>
    </xf>
    <xf numFmtId="17" fontId="19" fillId="77" borderId="0" xfId="1661" applyNumberFormat="1" applyFont="1" applyFill="1" applyAlignment="1"/>
    <xf numFmtId="0" fontId="12" fillId="0" borderId="46" xfId="1661" applyFont="1" applyBorder="1" applyAlignment="1"/>
    <xf numFmtId="10" fontId="19" fillId="0" borderId="7" xfId="1661" applyNumberFormat="1" applyFont="1" applyBorder="1" applyAlignment="1">
      <alignment horizontal="center"/>
    </xf>
    <xf numFmtId="170" fontId="19" fillId="0" borderId="0" xfId="2462" applyNumberFormat="1" applyFont="1" applyBorder="1"/>
    <xf numFmtId="171" fontId="12" fillId="0" borderId="0" xfId="1977" applyNumberFormat="1" applyFont="1" applyAlignment="1"/>
    <xf numFmtId="3" fontId="19" fillId="0" borderId="0" xfId="1661" applyNumberFormat="1" applyFont="1" applyAlignment="1"/>
    <xf numFmtId="0" fontId="19" fillId="0" borderId="0" xfId="1661" applyFont="1" applyAlignment="1"/>
    <xf numFmtId="0" fontId="12" fillId="0" borderId="0" xfId="1661" applyFont="1" applyBorder="1" applyAlignment="1">
      <alignment horizontal="center"/>
    </xf>
    <xf numFmtId="186" fontId="19" fillId="0" borderId="0" xfId="1661" applyNumberFormat="1" applyFont="1" applyAlignment="1"/>
    <xf numFmtId="9" fontId="12" fillId="0" borderId="0" xfId="1661" applyNumberFormat="1" applyFont="1" applyAlignment="1">
      <alignment horizontal="center"/>
    </xf>
    <xf numFmtId="0" fontId="12" fillId="0" borderId="0" xfId="1661" applyFont="1" applyAlignment="1">
      <alignment horizontal="right"/>
    </xf>
    <xf numFmtId="3" fontId="12" fillId="0" borderId="0" xfId="1661" applyNumberFormat="1" applyFont="1" applyAlignment="1"/>
    <xf numFmtId="171" fontId="12" fillId="0" borderId="9" xfId="1977" applyNumberFormat="1" applyFont="1" applyBorder="1"/>
    <xf numFmtId="0" fontId="12" fillId="0" borderId="0" xfId="1661" applyFont="1" applyAlignment="1"/>
    <xf numFmtId="0" fontId="12" fillId="0" borderId="7" xfId="1661" applyFont="1" applyBorder="1" applyAlignment="1">
      <alignment horizontal="center"/>
    </xf>
    <xf numFmtId="170" fontId="12" fillId="0" borderId="0" xfId="2462" applyNumberFormat="1" applyFont="1" applyFill="1" applyAlignment="1"/>
    <xf numFmtId="17" fontId="34" fillId="52" borderId="0" xfId="1661" applyNumberFormat="1" applyFont="1" applyFill="1" applyAlignment="1"/>
    <xf numFmtId="17" fontId="19" fillId="45" borderId="0" xfId="1661" applyNumberFormat="1" applyFont="1" applyFill="1" applyAlignment="1"/>
    <xf numFmtId="0" fontId="0" fillId="0" borderId="0" xfId="0"/>
    <xf numFmtId="0" fontId="254" fillId="0" borderId="0" xfId="1651" applyFont="1" applyFill="1" applyBorder="1" applyAlignment="1">
      <alignment horizontal="center"/>
    </xf>
    <xf numFmtId="0" fontId="265" fillId="0" borderId="0" xfId="1651" applyFont="1" applyAlignment="1">
      <alignment horizontal="left"/>
    </xf>
    <xf numFmtId="37" fontId="265" fillId="0" borderId="7" xfId="834" applyNumberFormat="1" applyFont="1" applyBorder="1" applyAlignment="1">
      <alignment horizontal="center"/>
    </xf>
    <xf numFmtId="0" fontId="265" fillId="0" borderId="0" xfId="1651" applyFont="1" applyAlignment="1">
      <alignment horizontal="center"/>
    </xf>
    <xf numFmtId="0" fontId="265" fillId="0" borderId="0" xfId="1651" applyFont="1" applyAlignment="1">
      <alignment horizontal="right"/>
    </xf>
    <xf numFmtId="43" fontId="265" fillId="0" borderId="0" xfId="1651" applyNumberFormat="1" applyFont="1" applyAlignment="1">
      <alignment horizontal="center"/>
    </xf>
    <xf numFmtId="10" fontId="277" fillId="74" borderId="7" xfId="2105" applyNumberFormat="1" applyFont="1" applyFill="1" applyBorder="1" applyAlignment="1">
      <alignment horizontal="center"/>
    </xf>
    <xf numFmtId="0" fontId="5" fillId="0" borderId="0" xfId="1651" applyFont="1" applyAlignment="1">
      <alignment horizontal="center"/>
    </xf>
    <xf numFmtId="39" fontId="265" fillId="74" borderId="7" xfId="1651" applyNumberFormat="1" applyFont="1" applyFill="1" applyBorder="1" applyAlignment="1">
      <alignment horizontal="center"/>
    </xf>
    <xf numFmtId="10" fontId="265" fillId="0" borderId="0" xfId="2049" applyNumberFormat="1" applyFont="1" applyAlignment="1">
      <alignment horizontal="center"/>
    </xf>
    <xf numFmtId="289" fontId="12" fillId="0" borderId="0" xfId="1651" applyNumberFormat="1" applyFont="1" applyFill="1" applyBorder="1" applyAlignment="1">
      <alignment horizontal="center"/>
    </xf>
    <xf numFmtId="10" fontId="5" fillId="0" borderId="0" xfId="1651" applyNumberFormat="1" applyFont="1" applyAlignment="1">
      <alignment horizontal="center"/>
    </xf>
    <xf numFmtId="43" fontId="5" fillId="0" borderId="0" xfId="1651" applyNumberFormat="1" applyFont="1" applyAlignment="1">
      <alignment horizontal="center"/>
    </xf>
    <xf numFmtId="170" fontId="5" fillId="0" borderId="0" xfId="1651" applyNumberFormat="1" applyFont="1" applyAlignment="1">
      <alignment horizontal="center"/>
    </xf>
    <xf numFmtId="180" fontId="5" fillId="0" borderId="0" xfId="1651" applyNumberFormat="1" applyFont="1" applyAlignment="1">
      <alignment horizontal="center"/>
    </xf>
    <xf numFmtId="290" fontId="5" fillId="0" borderId="0" xfId="834" applyNumberFormat="1" applyFont="1" applyAlignment="1">
      <alignment horizontal="center"/>
    </xf>
    <xf numFmtId="43" fontId="5" fillId="0" borderId="0" xfId="834" applyFont="1" applyAlignment="1">
      <alignment horizontal="center"/>
    </xf>
    <xf numFmtId="43" fontId="5" fillId="0" borderId="0" xfId="834" applyNumberFormat="1" applyFont="1" applyAlignment="1">
      <alignment horizontal="center"/>
    </xf>
    <xf numFmtId="170" fontId="12" fillId="0" borderId="0" xfId="1730" applyNumberFormat="1" applyAlignment="1">
      <alignment horizontal="center"/>
    </xf>
    <xf numFmtId="0" fontId="265" fillId="0" borderId="9" xfId="3211" applyFont="1" applyBorder="1" applyAlignment="1">
      <alignment horizontal="center" wrapText="1"/>
    </xf>
    <xf numFmtId="43" fontId="5" fillId="0" borderId="46" xfId="834" applyFont="1" applyBorder="1" applyAlignment="1">
      <alignment horizontal="center"/>
    </xf>
    <xf numFmtId="180" fontId="5" fillId="0" borderId="46" xfId="1651" applyNumberFormat="1" applyFont="1" applyBorder="1" applyAlignment="1">
      <alignment horizontal="center"/>
    </xf>
    <xf numFmtId="10" fontId="265" fillId="0" borderId="7" xfId="2105" applyNumberFormat="1" applyFont="1" applyFill="1" applyBorder="1" applyAlignment="1">
      <alignment horizontal="center"/>
    </xf>
    <xf numFmtId="10" fontId="5" fillId="76" borderId="0" xfId="2113" applyNumberFormat="1" applyFont="1" applyFill="1" applyAlignment="1">
      <alignment horizontal="center"/>
    </xf>
    <xf numFmtId="10" fontId="0" fillId="76" borderId="0" xfId="0" applyNumberFormat="1" applyFill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/>
    <xf numFmtId="1" fontId="9" fillId="0" borderId="0" xfId="3211" applyNumberFormat="1"/>
    <xf numFmtId="0" fontId="4" fillId="0" borderId="0" xfId="3211" applyFont="1"/>
    <xf numFmtId="1" fontId="19" fillId="79" borderId="0" xfId="10545" applyNumberFormat="1" applyFont="1" applyFill="1" applyBorder="1" applyAlignment="1">
      <alignment wrapText="1"/>
    </xf>
    <xf numFmtId="1" fontId="271" fillId="79" borderId="0" xfId="10545" applyNumberFormat="1" applyFont="1" applyFill="1" applyBorder="1" applyAlignment="1">
      <alignment horizontal="center" wrapText="1"/>
    </xf>
    <xf numFmtId="0" fontId="12" fillId="0" borderId="0" xfId="10545" applyFont="1"/>
    <xf numFmtId="0" fontId="19" fillId="0" borderId="9" xfId="10545" applyFont="1" applyFill="1" applyBorder="1"/>
    <xf numFmtId="0" fontId="12" fillId="0" borderId="9" xfId="10545" applyFont="1" applyFill="1" applyBorder="1"/>
    <xf numFmtId="37" fontId="12" fillId="0" borderId="9" xfId="10545" applyNumberFormat="1" applyFont="1" applyFill="1" applyBorder="1"/>
    <xf numFmtId="0" fontId="12" fillId="0" borderId="9" xfId="10545" applyFont="1" applyBorder="1"/>
    <xf numFmtId="0" fontId="12" fillId="0" borderId="0" xfId="10545" applyFont="1" applyFill="1" applyBorder="1"/>
    <xf numFmtId="37" fontId="12" fillId="0" borderId="0" xfId="1057" applyNumberFormat="1" applyFont="1" applyFill="1"/>
    <xf numFmtId="37" fontId="269" fillId="0" borderId="0" xfId="1057" applyNumberFormat="1" applyFont="1" applyFill="1"/>
    <xf numFmtId="0" fontId="12" fillId="0" borderId="0" xfId="10545" applyFont="1" applyAlignment="1">
      <alignment horizontal="left" indent="5"/>
    </xf>
    <xf numFmtId="37" fontId="12" fillId="0" borderId="0" xfId="10545" applyNumberFormat="1" applyFont="1" applyFill="1" applyBorder="1"/>
    <xf numFmtId="171" fontId="12" fillId="0" borderId="0" xfId="10546" applyNumberFormat="1" applyFont="1" applyFill="1" applyBorder="1"/>
    <xf numFmtId="171" fontId="269" fillId="0" borderId="0" xfId="10546" applyNumberFormat="1" applyFont="1" applyFill="1" applyBorder="1"/>
    <xf numFmtId="187" fontId="12" fillId="0" borderId="0" xfId="10546" applyNumberFormat="1" applyFont="1" applyFill="1" applyBorder="1"/>
    <xf numFmtId="187" fontId="269" fillId="0" borderId="0" xfId="10546" applyNumberFormat="1" applyFont="1" applyFill="1" applyBorder="1"/>
    <xf numFmtId="9" fontId="12" fillId="0" borderId="0" xfId="10546" applyNumberFormat="1" applyFont="1" applyFill="1" applyBorder="1"/>
    <xf numFmtId="9" fontId="269" fillId="0" borderId="0" xfId="10546" applyNumberFormat="1" applyFont="1" applyFill="1" applyBorder="1"/>
    <xf numFmtId="37" fontId="12" fillId="0" borderId="0" xfId="10545" applyNumberFormat="1" applyFont="1"/>
    <xf numFmtId="171" fontId="12" fillId="0" borderId="0" xfId="10546" applyNumberFormat="1" applyFont="1"/>
    <xf numFmtId="171" fontId="269" fillId="0" borderId="0" xfId="10546" applyNumberFormat="1" applyFont="1"/>
    <xf numFmtId="0" fontId="19" fillId="0" borderId="0" xfId="10545" applyFont="1"/>
    <xf numFmtId="0" fontId="19" fillId="0" borderId="0" xfId="10545" applyFont="1" applyAlignment="1">
      <alignment horizontal="center"/>
    </xf>
    <xf numFmtId="171" fontId="19" fillId="81" borderId="0" xfId="10546" applyNumberFormat="1" applyFont="1" applyFill="1"/>
    <xf numFmtId="171" fontId="270" fillId="81" borderId="0" xfId="10546" applyNumberFormat="1" applyFont="1" applyFill="1"/>
    <xf numFmtId="0" fontId="12" fillId="0" borderId="0" xfId="10545" applyFont="1" applyFill="1" applyAlignment="1">
      <alignment horizontal="left" indent="1"/>
    </xf>
    <xf numFmtId="0" fontId="12" fillId="0" borderId="0" xfId="10545" applyFont="1" applyFill="1"/>
    <xf numFmtId="37" fontId="12" fillId="0" borderId="0" xfId="10545" applyNumberFormat="1" applyFont="1" applyFill="1"/>
    <xf numFmtId="0" fontId="19" fillId="76" borderId="62" xfId="10545" applyFont="1" applyFill="1" applyBorder="1" applyAlignment="1">
      <alignment horizontal="left" indent="1"/>
    </xf>
    <xf numFmtId="171" fontId="19" fillId="81" borderId="63" xfId="10546" applyNumberFormat="1" applyFont="1" applyFill="1" applyBorder="1" applyAlignment="1">
      <alignment horizontal="center"/>
    </xf>
    <xf numFmtId="37" fontId="12" fillId="76" borderId="64" xfId="10545" applyNumberFormat="1" applyFont="1" applyFill="1" applyBorder="1"/>
    <xf numFmtId="37" fontId="12" fillId="76" borderId="46" xfId="10545" applyNumberFormat="1" applyFont="1" applyFill="1" applyBorder="1"/>
    <xf numFmtId="37" fontId="270" fillId="76" borderId="46" xfId="10545" applyNumberFormat="1" applyFont="1" applyFill="1" applyBorder="1"/>
    <xf numFmtId="0" fontId="19" fillId="76" borderId="46" xfId="10545" applyFont="1" applyFill="1" applyBorder="1" applyAlignment="1">
      <alignment horizontal="left" indent="5"/>
    </xf>
    <xf numFmtId="0" fontId="12" fillId="76" borderId="46" xfId="10545" applyFont="1" applyFill="1" applyBorder="1"/>
    <xf numFmtId="37" fontId="19" fillId="76" borderId="46" xfId="10545" applyNumberFormat="1" applyFont="1" applyFill="1" applyBorder="1"/>
    <xf numFmtId="1" fontId="12" fillId="0" borderId="0" xfId="10545" applyNumberFormat="1" applyFont="1"/>
    <xf numFmtId="9" fontId="12" fillId="0" borderId="0" xfId="10546" applyFont="1"/>
    <xf numFmtId="10" fontId="12" fillId="0" borderId="0" xfId="10546" applyNumberFormat="1" applyFont="1"/>
    <xf numFmtId="171" fontId="269" fillId="81" borderId="0" xfId="10546" applyNumberFormat="1" applyFont="1" applyFill="1"/>
    <xf numFmtId="187" fontId="269" fillId="81" borderId="0" xfId="10546" applyNumberFormat="1" applyFont="1" applyFill="1" applyBorder="1"/>
    <xf numFmtId="37" fontId="12" fillId="81" borderId="0" xfId="1057" applyNumberFormat="1" applyFont="1" applyFill="1"/>
    <xf numFmtId="0" fontId="12" fillId="0" borderId="0" xfId="10545" applyFont="1" applyBorder="1"/>
    <xf numFmtId="0" fontId="19" fillId="0" borderId="0" xfId="10545" applyFont="1" applyFill="1" applyBorder="1"/>
    <xf numFmtId="0" fontId="12" fillId="81" borderId="46" xfId="10545" applyFont="1" applyFill="1" applyBorder="1"/>
    <xf numFmtId="9" fontId="12" fillId="81" borderId="46" xfId="10546" applyFont="1" applyFill="1" applyBorder="1"/>
    <xf numFmtId="171" fontId="12" fillId="81" borderId="46" xfId="10546" applyNumberFormat="1" applyFont="1" applyFill="1" applyBorder="1"/>
    <xf numFmtId="1" fontId="271" fillId="79" borderId="0" xfId="10545" applyNumberFormat="1" applyFont="1" applyFill="1" applyBorder="1" applyAlignment="1">
      <alignment wrapText="1"/>
    </xf>
    <xf numFmtId="1" fontId="271" fillId="79" borderId="0" xfId="10545" applyNumberFormat="1" applyFont="1" applyFill="1" applyBorder="1" applyAlignment="1">
      <alignment horizontal="right" wrapText="1"/>
    </xf>
    <xf numFmtId="0" fontId="12" fillId="0" borderId="0" xfId="10545" applyFont="1" applyFill="1" applyBorder="1" applyAlignment="1">
      <alignment horizontal="left"/>
    </xf>
    <xf numFmtId="37" fontId="12" fillId="0" borderId="0" xfId="10545" applyNumberFormat="1" applyFont="1" applyFill="1" applyBorder="1" applyAlignment="1">
      <alignment horizontal="right"/>
    </xf>
    <xf numFmtId="0" fontId="19" fillId="0" borderId="0" xfId="10545" applyFont="1" applyFill="1" applyBorder="1" applyAlignment="1">
      <alignment horizontal="left"/>
    </xf>
    <xf numFmtId="37" fontId="19" fillId="0" borderId="0" xfId="10545" applyNumberFormat="1" applyFont="1" applyFill="1" applyBorder="1" applyAlignment="1">
      <alignment horizontal="right"/>
    </xf>
    <xf numFmtId="0" fontId="267" fillId="0" borderId="0" xfId="10545" applyFont="1" applyFill="1" applyBorder="1" applyAlignment="1">
      <alignment horizontal="left" indent="3"/>
    </xf>
    <xf numFmtId="37" fontId="267" fillId="0" borderId="0" xfId="10545" applyNumberFormat="1" applyFont="1" applyFill="1" applyBorder="1" applyAlignment="1">
      <alignment horizontal="right"/>
    </xf>
    <xf numFmtId="9" fontId="267" fillId="0" borderId="0" xfId="10546" applyFont="1" applyFill="1" applyBorder="1" applyAlignment="1">
      <alignment horizontal="right"/>
    </xf>
    <xf numFmtId="0" fontId="12" fillId="0" borderId="0" xfId="10545" applyFont="1" applyFill="1" applyBorder="1" applyAlignment="1">
      <alignment horizontal="left" indent="3"/>
    </xf>
    <xf numFmtId="37" fontId="12" fillId="0" borderId="0" xfId="10545" applyNumberFormat="1" applyFont="1" applyFill="1" applyBorder="1" applyAlignment="1">
      <alignment horizontal="right" wrapText="1"/>
    </xf>
    <xf numFmtId="37" fontId="269" fillId="0" borderId="0" xfId="10545" applyNumberFormat="1" applyFont="1" applyFill="1" applyBorder="1" applyAlignment="1">
      <alignment horizontal="right" wrapText="1"/>
    </xf>
    <xf numFmtId="171" fontId="267" fillId="0" borderId="0" xfId="10546" applyNumberFormat="1" applyFont="1" applyFill="1" applyBorder="1" applyAlignment="1">
      <alignment horizontal="right"/>
    </xf>
    <xf numFmtId="0" fontId="12" fillId="0" borderId="0" xfId="10545" applyFont="1" applyFill="1" applyBorder="1" applyAlignment="1">
      <alignment horizontal="left" indent="2"/>
    </xf>
    <xf numFmtId="0" fontId="12" fillId="76" borderId="0" xfId="10545" applyFont="1" applyFill="1" applyBorder="1"/>
    <xf numFmtId="0" fontId="12" fillId="0" borderId="0" xfId="10545" applyFont="1" applyFill="1" applyBorder="1" applyAlignment="1">
      <alignment horizontal="left" indent="5"/>
    </xf>
    <xf numFmtId="37" fontId="19" fillId="0" borderId="0" xfId="10545" applyNumberFormat="1" applyFont="1"/>
    <xf numFmtId="3" fontId="12" fillId="0" borderId="0" xfId="10545" applyNumberFormat="1" applyFont="1" applyFill="1" applyBorder="1" applyAlignment="1">
      <alignment horizontal="right" wrapText="1"/>
    </xf>
    <xf numFmtId="0" fontId="271" fillId="80" borderId="0" xfId="10545" applyFont="1" applyFill="1" applyBorder="1" applyAlignment="1">
      <alignment horizontal="left"/>
    </xf>
    <xf numFmtId="37" fontId="271" fillId="80" borderId="0" xfId="10545" applyNumberFormat="1" applyFont="1" applyFill="1" applyBorder="1" applyAlignment="1">
      <alignment horizontal="right" wrapText="1"/>
    </xf>
    <xf numFmtId="3" fontId="12" fillId="0" borderId="0" xfId="10545" applyNumberFormat="1" applyFont="1"/>
    <xf numFmtId="37" fontId="19" fillId="0" borderId="0" xfId="1057" applyNumberFormat="1" applyFont="1" applyFill="1"/>
    <xf numFmtId="0" fontId="12" fillId="0" borderId="0" xfId="10545" applyFont="1" applyAlignment="1">
      <alignment horizontal="left" indent="2"/>
    </xf>
    <xf numFmtId="0" fontId="19" fillId="0" borderId="9" xfId="10545" applyFont="1" applyBorder="1"/>
    <xf numFmtId="37" fontId="12" fillId="0" borderId="9" xfId="10545" applyNumberFormat="1" applyFont="1" applyBorder="1"/>
    <xf numFmtId="0" fontId="30" fillId="0" borderId="0" xfId="10545" applyFont="1" applyFill="1" applyBorder="1" applyAlignment="1">
      <alignment horizontal="left" indent="3"/>
    </xf>
    <xf numFmtId="267" fontId="12" fillId="0" borderId="0" xfId="10545" applyNumberFormat="1" applyFont="1" applyFill="1" applyBorder="1"/>
    <xf numFmtId="10" fontId="12" fillId="0" borderId="46" xfId="1661" applyNumberFormat="1" applyFont="1" applyBorder="1" applyAlignment="1"/>
    <xf numFmtId="1" fontId="243" fillId="0" borderId="0" xfId="1912" applyNumberFormat="1" applyFont="1" applyFill="1" applyBorder="1" applyAlignment="1">
      <alignment horizontal="right" vertical="center"/>
    </xf>
    <xf numFmtId="10" fontId="12" fillId="0" borderId="46" xfId="1977" applyNumberFormat="1" applyFont="1" applyBorder="1" applyAlignment="1"/>
    <xf numFmtId="170" fontId="12" fillId="0" borderId="0" xfId="1661" applyNumberFormat="1" applyFont="1" applyFill="1" applyBorder="1" applyAlignment="1">
      <alignment horizontal="right"/>
    </xf>
    <xf numFmtId="43" fontId="12" fillId="0" borderId="0" xfId="1661" applyNumberFormat="1" applyFont="1" applyBorder="1" applyAlignment="1">
      <alignment horizontal="left" indent="2"/>
    </xf>
    <xf numFmtId="266" fontId="12" fillId="0" borderId="0" xfId="1661" applyNumberFormat="1" applyFont="1" applyAlignment="1"/>
    <xf numFmtId="10" fontId="269" fillId="81" borderId="46" xfId="1661" applyNumberFormat="1" applyFont="1" applyFill="1" applyBorder="1" applyAlignment="1"/>
    <xf numFmtId="17" fontId="34" fillId="79" borderId="0" xfId="1661" applyNumberFormat="1" applyFont="1" applyFill="1" applyAlignment="1"/>
    <xf numFmtId="186" fontId="12" fillId="78" borderId="7" xfId="0" applyNumberFormat="1" applyFont="1" applyFill="1" applyBorder="1" applyAlignment="1">
      <alignment horizontal="left" indent="2"/>
    </xf>
    <xf numFmtId="10" fontId="279" fillId="0" borderId="7" xfId="2234" applyNumberFormat="1" applyFont="1" applyFill="1" applyBorder="1" applyAlignment="1">
      <alignment horizontal="center"/>
    </xf>
    <xf numFmtId="0" fontId="12" fillId="78" borderId="0" xfId="1661" applyFont="1" applyFill="1" applyBorder="1" applyAlignment="1"/>
    <xf numFmtId="0" fontId="12" fillId="78" borderId="0" xfId="1661" applyFont="1" applyFill="1" applyAlignment="1"/>
    <xf numFmtId="180" fontId="12" fillId="78" borderId="0" xfId="1661" applyNumberFormat="1" applyFont="1" applyFill="1" applyAlignment="1"/>
    <xf numFmtId="180" fontId="12" fillId="78" borderId="0" xfId="0" applyNumberFormat="1" applyFont="1" applyFill="1" applyAlignment="1"/>
    <xf numFmtId="17" fontId="34" fillId="63" borderId="0" xfId="1661" applyNumberFormat="1" applyFont="1" applyFill="1" applyAlignment="1"/>
    <xf numFmtId="1" fontId="244" fillId="63" borderId="0" xfId="1661" applyNumberFormat="1" applyFont="1" applyFill="1" applyAlignment="1"/>
    <xf numFmtId="170" fontId="12" fillId="0" borderId="11" xfId="2462" applyNumberFormat="1" applyFont="1" applyFill="1" applyBorder="1" applyAlignment="1"/>
    <xf numFmtId="170" fontId="12" fillId="0" borderId="0" xfId="2462" applyNumberFormat="1" applyFont="1" applyFill="1" applyBorder="1" applyAlignment="1"/>
    <xf numFmtId="0" fontId="280" fillId="0" borderId="0" xfId="10545" applyFont="1" applyFill="1" applyBorder="1" applyAlignment="1">
      <alignment horizontal="left" indent="2"/>
    </xf>
    <xf numFmtId="3" fontId="19" fillId="0" borderId="0" xfId="0" applyNumberFormat="1" applyFont="1" applyAlignment="1">
      <alignment horizontal="center"/>
    </xf>
    <xf numFmtId="170" fontId="12" fillId="74" borderId="0" xfId="2462" applyNumberFormat="1" applyFont="1" applyFill="1" applyBorder="1" applyAlignment="1">
      <alignment horizontal="left" indent="2"/>
    </xf>
    <xf numFmtId="1" fontId="271" fillId="0" borderId="0" xfId="10545" applyNumberFormat="1" applyFont="1" applyFill="1" applyBorder="1" applyAlignment="1">
      <alignment wrapText="1"/>
    </xf>
    <xf numFmtId="1" fontId="19" fillId="0" borderId="0" xfId="10545" applyNumberFormat="1" applyFont="1" applyFill="1" applyBorder="1" applyAlignment="1">
      <alignment wrapText="1"/>
    </xf>
    <xf numFmtId="1" fontId="271" fillId="0" borderId="0" xfId="10545" applyNumberFormat="1" applyFont="1" applyFill="1" applyBorder="1" applyAlignment="1">
      <alignment horizontal="right" wrapText="1"/>
    </xf>
    <xf numFmtId="0" fontId="271" fillId="82" borderId="0" xfId="0" applyFont="1" applyFill="1"/>
    <xf numFmtId="0" fontId="278" fillId="82" borderId="0" xfId="0" applyFont="1" applyFill="1"/>
    <xf numFmtId="3" fontId="271" fillId="82" borderId="0" xfId="0" applyNumberFormat="1" applyFont="1" applyFill="1" applyAlignment="1">
      <alignment horizontal="center"/>
    </xf>
    <xf numFmtId="2" fontId="12" fillId="0" borderId="0" xfId="10546" applyNumberFormat="1" applyFont="1"/>
    <xf numFmtId="0" fontId="278" fillId="75" borderId="0" xfId="10545" applyFont="1" applyFill="1"/>
    <xf numFmtId="37" fontId="278" fillId="75" borderId="0" xfId="10545" applyNumberFormat="1" applyFont="1" applyFill="1"/>
    <xf numFmtId="1" fontId="278" fillId="75" borderId="0" xfId="10545" applyNumberFormat="1" applyFont="1" applyFill="1"/>
    <xf numFmtId="0" fontId="271" fillId="75" borderId="0" xfId="10545" applyFont="1" applyFill="1"/>
    <xf numFmtId="0" fontId="12" fillId="76" borderId="0" xfId="10545" applyFont="1" applyFill="1"/>
    <xf numFmtId="37" fontId="12" fillId="76" borderId="0" xfId="10545" applyNumberFormat="1" applyFont="1" applyFill="1" applyBorder="1"/>
    <xf numFmtId="0" fontId="19" fillId="76" borderId="0" xfId="10545" applyFont="1" applyFill="1"/>
    <xf numFmtId="0" fontId="12" fillId="74" borderId="0" xfId="10545" applyFont="1" applyFill="1" applyBorder="1" applyAlignment="1">
      <alignment horizontal="left" indent="3"/>
    </xf>
    <xf numFmtId="0" fontId="12" fillId="74" borderId="0" xfId="10545" applyFont="1" applyFill="1"/>
    <xf numFmtId="3" fontId="19" fillId="0" borderId="0" xfId="0" applyNumberFormat="1" applyFont="1" applyAlignment="1">
      <alignment horizontal="right"/>
    </xf>
    <xf numFmtId="3" fontId="271" fillId="82" borderId="0" xfId="0" applyNumberFormat="1" applyFont="1" applyFill="1" applyAlignment="1">
      <alignment horizontal="right"/>
    </xf>
    <xf numFmtId="171" fontId="12" fillId="0" borderId="0" xfId="10546" applyNumberFormat="1" applyFont="1" applyFill="1" applyBorder="1" applyAlignment="1">
      <alignment horizontal="right"/>
    </xf>
    <xf numFmtId="9" fontId="12" fillId="0" borderId="0" xfId="1977" applyFont="1"/>
    <xf numFmtId="10" fontId="12" fillId="0" borderId="0" xfId="1977" applyNumberFormat="1" applyFont="1"/>
    <xf numFmtId="10" fontId="12" fillId="74" borderId="0" xfId="10546" applyNumberFormat="1" applyFont="1" applyFill="1" applyBorder="1" applyAlignment="1">
      <alignment horizontal="right"/>
    </xf>
    <xf numFmtId="0" fontId="268" fillId="0" borderId="0" xfId="10545" applyFont="1" applyFill="1" applyBorder="1" applyAlignment="1">
      <alignment horizontal="left" indent="3"/>
    </xf>
    <xf numFmtId="0" fontId="268" fillId="0" borderId="0" xfId="10545" applyFont="1"/>
    <xf numFmtId="10" fontId="268" fillId="0" borderId="0" xfId="10546" applyNumberFormat="1" applyFont="1" applyFill="1" applyBorder="1" applyAlignment="1">
      <alignment horizontal="right"/>
    </xf>
    <xf numFmtId="0" fontId="268" fillId="0" borderId="0" xfId="10545" applyFont="1" applyFill="1" applyBorder="1" applyAlignment="1">
      <alignment horizontal="left"/>
    </xf>
    <xf numFmtId="171" fontId="268" fillId="0" borderId="0" xfId="1977" applyNumberFormat="1" applyFont="1" applyFill="1" applyBorder="1" applyAlignment="1">
      <alignment horizontal="right"/>
    </xf>
    <xf numFmtId="171" fontId="268" fillId="0" borderId="0" xfId="10546" applyNumberFormat="1" applyFont="1" applyFill="1" applyBorder="1" applyAlignment="1">
      <alignment horizontal="right"/>
    </xf>
    <xf numFmtId="0" fontId="19" fillId="0" borderId="0" xfId="10545" applyFont="1" applyFill="1" applyBorder="1" applyAlignment="1">
      <alignment horizontal="left" indent="3"/>
    </xf>
    <xf numFmtId="9" fontId="12" fillId="0" borderId="0" xfId="10545" applyNumberFormat="1" applyFont="1" applyFill="1" applyBorder="1" applyAlignment="1">
      <alignment horizontal="left" indent="3"/>
    </xf>
    <xf numFmtId="0" fontId="19" fillId="0" borderId="9" xfId="10545" applyFont="1" applyFill="1" applyBorder="1" applyAlignment="1">
      <alignment horizontal="left"/>
    </xf>
    <xf numFmtId="0" fontId="12" fillId="0" borderId="9" xfId="10545" applyFont="1" applyFill="1" applyBorder="1" applyAlignment="1">
      <alignment horizontal="left" indent="3"/>
    </xf>
    <xf numFmtId="171" fontId="12" fillId="0" borderId="9" xfId="10546" applyNumberFormat="1" applyFont="1" applyFill="1" applyBorder="1" applyAlignment="1">
      <alignment horizontal="right"/>
    </xf>
    <xf numFmtId="171" fontId="12" fillId="0" borderId="9" xfId="10546" applyNumberFormat="1" applyFont="1" applyFill="1" applyBorder="1"/>
    <xf numFmtId="9" fontId="268" fillId="0" borderId="0" xfId="1977" applyFont="1" applyFill="1" applyBorder="1" applyAlignment="1">
      <alignment horizontal="right"/>
    </xf>
    <xf numFmtId="171" fontId="267" fillId="0" borderId="0" xfId="1977" applyNumberFormat="1" applyFont="1" applyFill="1" applyBorder="1" applyAlignment="1">
      <alignment horizontal="right"/>
    </xf>
    <xf numFmtId="171" fontId="269" fillId="74" borderId="0" xfId="1977" applyNumberFormat="1" applyFont="1" applyFill="1"/>
    <xf numFmtId="9" fontId="269" fillId="74" borderId="0" xfId="1977" applyNumberFormat="1" applyFont="1" applyFill="1"/>
    <xf numFmtId="1" fontId="12" fillId="0" borderId="9" xfId="10545" applyNumberFormat="1" applyFont="1" applyBorder="1"/>
    <xf numFmtId="10" fontId="12" fillId="0" borderId="9" xfId="1977" applyNumberFormat="1" applyFont="1" applyBorder="1"/>
    <xf numFmtId="0" fontId="12" fillId="0" borderId="9" xfId="10545" applyFont="1" applyFill="1" applyBorder="1" applyAlignment="1">
      <alignment horizontal="left"/>
    </xf>
    <xf numFmtId="37" fontId="12" fillId="0" borderId="0" xfId="10545" applyNumberFormat="1" applyFont="1" applyBorder="1"/>
    <xf numFmtId="171" fontId="269" fillId="74" borderId="9" xfId="1977" applyNumberFormat="1" applyFont="1" applyFill="1" applyBorder="1"/>
    <xf numFmtId="9" fontId="12" fillId="0" borderId="46" xfId="1661" applyNumberFormat="1" applyFont="1" applyBorder="1" applyAlignment="1"/>
    <xf numFmtId="9" fontId="12" fillId="0" borderId="46" xfId="1977" applyFont="1" applyBorder="1" applyAlignment="1"/>
    <xf numFmtId="9" fontId="12" fillId="74" borderId="7" xfId="1661" applyNumberFormat="1" applyFont="1" applyFill="1" applyBorder="1" applyAlignment="1">
      <alignment horizontal="center"/>
    </xf>
    <xf numFmtId="0" fontId="268" fillId="0" borderId="0" xfId="1661" applyFont="1" applyBorder="1" applyAlignment="1">
      <alignment horizontal="left" indent="3"/>
    </xf>
    <xf numFmtId="10" fontId="268" fillId="0" borderId="0" xfId="1977" applyNumberFormat="1" applyFont="1" applyBorder="1" applyAlignment="1"/>
    <xf numFmtId="0" fontId="268" fillId="0" borderId="0" xfId="1661" applyFont="1" applyBorder="1" applyAlignment="1">
      <alignment horizontal="center"/>
    </xf>
    <xf numFmtId="9" fontId="268" fillId="0" borderId="0" xfId="1977" applyNumberFormat="1" applyFont="1" applyBorder="1" applyAlignment="1"/>
    <xf numFmtId="170" fontId="19" fillId="0" borderId="0" xfId="2462" applyNumberFormat="1" applyFont="1" applyBorder="1" applyAlignment="1"/>
    <xf numFmtId="170" fontId="12" fillId="0" borderId="9" xfId="2462" applyNumberFormat="1" applyFont="1" applyBorder="1" applyAlignment="1"/>
    <xf numFmtId="43" fontId="12" fillId="0" borderId="9" xfId="2462" applyNumberFormat="1" applyFont="1" applyFill="1" applyBorder="1" applyAlignment="1"/>
    <xf numFmtId="170" fontId="19" fillId="0" borderId="0" xfId="2462" applyNumberFormat="1" applyFont="1" applyFill="1" applyBorder="1" applyAlignment="1"/>
    <xf numFmtId="171" fontId="269" fillId="74" borderId="0" xfId="1977" applyNumberFormat="1" applyFont="1" applyFill="1" applyBorder="1" applyAlignment="1">
      <alignment horizontal="right"/>
    </xf>
    <xf numFmtId="10" fontId="269" fillId="74" borderId="0" xfId="10546" applyNumberFormat="1" applyFont="1" applyFill="1" applyBorder="1" applyAlignment="1">
      <alignment horizontal="right"/>
    </xf>
    <xf numFmtId="0" fontId="280" fillId="0" borderId="0" xfId="0" applyFont="1"/>
    <xf numFmtId="291" fontId="12" fillId="0" borderId="0" xfId="10545" applyNumberFormat="1" applyFont="1"/>
    <xf numFmtId="0" fontId="19" fillId="0" borderId="0" xfId="10545" applyFont="1" applyBorder="1"/>
    <xf numFmtId="173" fontId="12" fillId="0" borderId="0" xfId="10545" applyNumberFormat="1" applyFont="1" applyFill="1" applyBorder="1" applyAlignment="1">
      <alignment horizontal="right"/>
    </xf>
    <xf numFmtId="188" fontId="19" fillId="0" borderId="0" xfId="0" applyNumberFormat="1" applyFont="1" applyAlignment="1">
      <alignment horizontal="right"/>
    </xf>
    <xf numFmtId="188" fontId="0" fillId="0" borderId="0" xfId="0" applyNumberFormat="1" applyAlignment="1">
      <alignment horizontal="right"/>
    </xf>
    <xf numFmtId="173" fontId="12" fillId="0" borderId="0" xfId="10545" applyNumberFormat="1" applyFont="1"/>
    <xf numFmtId="176" fontId="12" fillId="0" borderId="0" xfId="10545" applyNumberFormat="1" applyFont="1"/>
    <xf numFmtId="176" fontId="12" fillId="0" borderId="0" xfId="10545" applyNumberFormat="1" applyFont="1" applyBorder="1"/>
    <xf numFmtId="176" fontId="19" fillId="0" borderId="0" xfId="10545" applyNumberFormat="1" applyFont="1"/>
    <xf numFmtId="188" fontId="269" fillId="0" borderId="0" xfId="0" applyNumberFormat="1" applyFont="1" applyAlignment="1">
      <alignment horizontal="right"/>
    </xf>
    <xf numFmtId="188" fontId="270" fillId="0" borderId="0" xfId="0" applyNumberFormat="1" applyFont="1" applyAlignment="1">
      <alignment horizontal="right"/>
    </xf>
    <xf numFmtId="188" fontId="280" fillId="0" borderId="0" xfId="0" applyNumberFormat="1" applyFont="1" applyAlignment="1">
      <alignment horizontal="right"/>
    </xf>
    <xf numFmtId="188" fontId="280" fillId="0" borderId="0" xfId="10545" applyNumberFormat="1" applyFont="1" applyFill="1" applyBorder="1" applyAlignment="1">
      <alignment horizontal="right" wrapText="1"/>
    </xf>
    <xf numFmtId="188" fontId="271" fillId="82" borderId="0" xfId="0" applyNumberFormat="1" applyFont="1" applyFill="1" applyAlignment="1">
      <alignment horizontal="right"/>
    </xf>
    <xf numFmtId="188" fontId="0" fillId="0" borderId="0" xfId="0" applyNumberFormat="1" applyAlignment="1">
      <alignment horizontal="center"/>
    </xf>
    <xf numFmtId="0" fontId="281" fillId="0" borderId="0" xfId="10545" applyFont="1"/>
    <xf numFmtId="0" fontId="281" fillId="0" borderId="0" xfId="10545" applyFont="1" applyBorder="1"/>
    <xf numFmtId="0" fontId="268" fillId="0" borderId="0" xfId="10545" applyFont="1" applyBorder="1"/>
    <xf numFmtId="37" fontId="268" fillId="0" borderId="0" xfId="10545" applyNumberFormat="1" applyFont="1" applyBorder="1"/>
    <xf numFmtId="9" fontId="269" fillId="81" borderId="0" xfId="1977" applyFont="1" applyFill="1"/>
    <xf numFmtId="37" fontId="19" fillId="0" borderId="20" xfId="10545" applyNumberFormat="1" applyFont="1" applyBorder="1"/>
    <xf numFmtId="37" fontId="12" fillId="0" borderId="11" xfId="10545" applyNumberFormat="1" applyFont="1" applyBorder="1"/>
    <xf numFmtId="37" fontId="19" fillId="0" borderId="8" xfId="10545" applyNumberFormat="1" applyFont="1" applyBorder="1"/>
    <xf numFmtId="0" fontId="268" fillId="0" borderId="8" xfId="10545" applyFont="1" applyBorder="1" applyAlignment="1">
      <alignment horizontal="left" indent="5"/>
    </xf>
    <xf numFmtId="0" fontId="19" fillId="0" borderId="8" xfId="10545" applyFont="1" applyBorder="1"/>
    <xf numFmtId="0" fontId="19" fillId="74" borderId="8" xfId="10545" applyFont="1" applyFill="1" applyBorder="1" applyAlignment="1">
      <alignment horizontal="left"/>
    </xf>
    <xf numFmtId="0" fontId="12" fillId="74" borderId="0" xfId="10545" applyFont="1" applyFill="1" applyBorder="1"/>
    <xf numFmtId="37" fontId="12" fillId="74" borderId="0" xfId="10545" applyNumberFormat="1" applyFont="1" applyFill="1" applyBorder="1"/>
    <xf numFmtId="37" fontId="269" fillId="74" borderId="0" xfId="10545" applyNumberFormat="1" applyFont="1" applyFill="1" applyBorder="1"/>
    <xf numFmtId="37" fontId="269" fillId="74" borderId="10" xfId="10545" applyNumberFormat="1" applyFont="1" applyFill="1" applyBorder="1"/>
    <xf numFmtId="0" fontId="19" fillId="74" borderId="47" xfId="10545" applyFont="1" applyFill="1" applyBorder="1"/>
    <xf numFmtId="0" fontId="12" fillId="74" borderId="9" xfId="10545" applyFont="1" applyFill="1" applyBorder="1"/>
    <xf numFmtId="37" fontId="12" fillId="74" borderId="9" xfId="10545" applyNumberFormat="1" applyFont="1" applyFill="1" applyBorder="1"/>
    <xf numFmtId="171" fontId="269" fillId="81" borderId="0" xfId="10546" applyNumberFormat="1" applyFont="1" applyFill="1" applyBorder="1" applyAlignment="1">
      <alignment horizontal="right" wrapText="1"/>
    </xf>
    <xf numFmtId="292" fontId="12" fillId="0" borderId="9" xfId="10545" applyNumberFormat="1" applyFont="1" applyBorder="1"/>
    <xf numFmtId="176" fontId="12" fillId="0" borderId="0" xfId="10545" applyNumberFormat="1" applyFont="1" applyFill="1" applyBorder="1" applyAlignment="1">
      <alignment horizontal="right"/>
    </xf>
    <xf numFmtId="176" fontId="19" fillId="0" borderId="0" xfId="10545" applyNumberFormat="1" applyFont="1" applyFill="1" applyBorder="1" applyAlignment="1">
      <alignment horizontal="right"/>
    </xf>
    <xf numFmtId="176" fontId="267" fillId="0" borderId="0" xfId="10545" applyNumberFormat="1" applyFont="1" applyFill="1" applyBorder="1" applyAlignment="1">
      <alignment horizontal="right"/>
    </xf>
    <xf numFmtId="176" fontId="267" fillId="0" borderId="0" xfId="10546" applyNumberFormat="1" applyFont="1" applyFill="1" applyBorder="1" applyAlignment="1">
      <alignment horizontal="right"/>
    </xf>
    <xf numFmtId="176" fontId="19" fillId="0" borderId="0" xfId="10545" applyNumberFormat="1" applyFont="1" applyFill="1" applyBorder="1"/>
    <xf numFmtId="176" fontId="12" fillId="0" borderId="0" xfId="10546" applyNumberFormat="1" applyFont="1" applyFill="1" applyBorder="1"/>
    <xf numFmtId="0" fontId="278" fillId="0" borderId="0" xfId="10545" applyFont="1" applyFill="1"/>
    <xf numFmtId="37" fontId="278" fillId="0" borderId="0" xfId="10545" applyNumberFormat="1" applyFont="1" applyFill="1"/>
    <xf numFmtId="1" fontId="278" fillId="0" borderId="0" xfId="10545" applyNumberFormat="1" applyFont="1" applyFill="1"/>
    <xf numFmtId="10" fontId="12" fillId="81" borderId="46" xfId="10546" applyNumberFormat="1" applyFont="1" applyFill="1" applyBorder="1"/>
    <xf numFmtId="0" fontId="12" fillId="81" borderId="0" xfId="10545" applyFont="1" applyFill="1" applyBorder="1"/>
    <xf numFmtId="37" fontId="12" fillId="81" borderId="0" xfId="10545" applyNumberFormat="1" applyFont="1" applyFill="1" applyBorder="1"/>
    <xf numFmtId="37" fontId="269" fillId="81" borderId="0" xfId="10545" applyNumberFormat="1" applyFont="1" applyFill="1" applyBorder="1"/>
    <xf numFmtId="0" fontId="12" fillId="0" borderId="0" xfId="10545" applyFont="1" applyFill="1" applyBorder="1" applyAlignment="1">
      <alignment horizontal="center"/>
    </xf>
    <xf numFmtId="171" fontId="12" fillId="0" borderId="0" xfId="1977" applyNumberFormat="1" applyFont="1" applyFill="1" applyBorder="1"/>
    <xf numFmtId="0" fontId="12" fillId="0" borderId="0" xfId="10545" applyFont="1" applyFill="1" applyBorder="1" applyAlignment="1">
      <alignment horizontal="right"/>
    </xf>
    <xf numFmtId="0" fontId="269" fillId="81" borderId="0" xfId="10545" applyFont="1" applyFill="1" applyBorder="1"/>
    <xf numFmtId="0" fontId="269" fillId="81" borderId="0" xfId="10545" applyFont="1" applyFill="1"/>
    <xf numFmtId="1" fontId="269" fillId="81" borderId="0" xfId="10545" applyNumberFormat="1" applyFont="1" applyFill="1"/>
    <xf numFmtId="1" fontId="12" fillId="0" borderId="0" xfId="10545" applyNumberFormat="1" applyFont="1" applyBorder="1"/>
    <xf numFmtId="0" fontId="19" fillId="0" borderId="67" xfId="10545" applyFont="1" applyFill="1" applyBorder="1"/>
    <xf numFmtId="0" fontId="19" fillId="0" borderId="46" xfId="10545" applyFont="1" applyFill="1" applyBorder="1"/>
    <xf numFmtId="37" fontId="19" fillId="0" borderId="46" xfId="10545" applyNumberFormat="1" applyFont="1" applyFill="1" applyBorder="1"/>
    <xf numFmtId="37" fontId="270" fillId="0" borderId="46" xfId="10545" applyNumberFormat="1" applyFont="1" applyFill="1" applyBorder="1"/>
    <xf numFmtId="37" fontId="270" fillId="0" borderId="68" xfId="10545" applyNumberFormat="1" applyFont="1" applyFill="1" applyBorder="1"/>
    <xf numFmtId="173" fontId="19" fillId="0" borderId="0" xfId="10545" applyNumberFormat="1" applyFont="1" applyFill="1" applyBorder="1" applyAlignment="1">
      <alignment horizontal="right"/>
    </xf>
    <xf numFmtId="173" fontId="19" fillId="0" borderId="0" xfId="10545" applyNumberFormat="1" applyFont="1" applyFill="1" applyBorder="1" applyAlignment="1">
      <alignment horizontal="right" wrapText="1"/>
    </xf>
    <xf numFmtId="173" fontId="267" fillId="0" borderId="0" xfId="1977" applyNumberFormat="1" applyFont="1" applyFill="1" applyBorder="1" applyAlignment="1">
      <alignment horizontal="right"/>
    </xf>
    <xf numFmtId="173" fontId="12" fillId="0" borderId="0" xfId="10545" applyNumberFormat="1" applyFont="1" applyFill="1" applyBorder="1" applyAlignment="1">
      <alignment horizontal="right" wrapText="1"/>
    </xf>
    <xf numFmtId="173" fontId="267" fillId="0" borderId="0" xfId="10546" applyNumberFormat="1" applyFont="1" applyFill="1" applyBorder="1" applyAlignment="1">
      <alignment horizontal="right"/>
    </xf>
    <xf numFmtId="173" fontId="19" fillId="0" borderId="0" xfId="10545" applyNumberFormat="1" applyFont="1" applyFill="1" applyBorder="1"/>
    <xf numFmtId="173" fontId="12" fillId="0" borderId="0" xfId="10546" applyNumberFormat="1" applyFont="1" applyFill="1" applyBorder="1"/>
    <xf numFmtId="173" fontId="269" fillId="0" borderId="0" xfId="10545" applyNumberFormat="1" applyFont="1" applyBorder="1"/>
    <xf numFmtId="173" fontId="270" fillId="0" borderId="0" xfId="10545" applyNumberFormat="1" applyFont="1" applyFill="1" applyBorder="1" applyAlignment="1">
      <alignment horizontal="right"/>
    </xf>
    <xf numFmtId="173" fontId="270" fillId="0" borderId="0" xfId="10545" applyNumberFormat="1" applyFont="1" applyBorder="1"/>
    <xf numFmtId="173" fontId="269" fillId="0" borderId="0" xfId="10546" applyNumberFormat="1" applyFont="1" applyFill="1" applyBorder="1" applyAlignment="1">
      <alignment horizontal="right"/>
    </xf>
    <xf numFmtId="173" fontId="269" fillId="0" borderId="0" xfId="10545" applyNumberFormat="1" applyFont="1" applyFill="1" applyBorder="1" applyAlignment="1">
      <alignment horizontal="right" wrapText="1"/>
    </xf>
    <xf numFmtId="173" fontId="269" fillId="81" borderId="0" xfId="10545" applyNumberFormat="1" applyFont="1" applyFill="1" applyBorder="1"/>
    <xf numFmtId="173" fontId="270" fillId="0" borderId="0" xfId="10545" applyNumberFormat="1" applyFont="1" applyFill="1" applyBorder="1"/>
    <xf numFmtId="173" fontId="269" fillId="0" borderId="0" xfId="10546" applyNumberFormat="1" applyFont="1" applyFill="1" applyBorder="1"/>
    <xf numFmtId="173" fontId="269" fillId="0" borderId="0" xfId="10545" applyNumberFormat="1" applyFont="1" applyFill="1" applyBorder="1" applyAlignment="1">
      <alignment horizontal="right"/>
    </xf>
    <xf numFmtId="173" fontId="270" fillId="0" borderId="0" xfId="10545" applyNumberFormat="1" applyFont="1" applyFill="1" applyBorder="1" applyAlignment="1">
      <alignment horizontal="right" wrapText="1"/>
    </xf>
    <xf numFmtId="173" fontId="280" fillId="0" borderId="0" xfId="10545" applyNumberFormat="1" applyFont="1" applyFill="1" applyBorder="1" applyAlignment="1">
      <alignment horizontal="right" wrapText="1"/>
    </xf>
    <xf numFmtId="173" fontId="270" fillId="0" borderId="0" xfId="10545" applyNumberFormat="1" applyFont="1"/>
    <xf numFmtId="39" fontId="12" fillId="0" borderId="0" xfId="10545" applyNumberFormat="1" applyFont="1"/>
    <xf numFmtId="173" fontId="12" fillId="0" borderId="0" xfId="10547" applyNumberFormat="1" applyFont="1"/>
    <xf numFmtId="173" fontId="19" fillId="0" borderId="0" xfId="10545" applyNumberFormat="1" applyFont="1"/>
    <xf numFmtId="173" fontId="12" fillId="0" borderId="0" xfId="10545" applyNumberFormat="1" applyFont="1" applyAlignment="1"/>
    <xf numFmtId="173" fontId="12" fillId="0" borderId="0" xfId="10545" applyNumberFormat="1" applyFont="1" applyAlignment="1">
      <alignment horizontal="right"/>
    </xf>
    <xf numFmtId="173" fontId="280" fillId="0" borderId="0" xfId="10545" applyNumberFormat="1" applyFont="1" applyFill="1" applyBorder="1"/>
    <xf numFmtId="173" fontId="12" fillId="0" borderId="0" xfId="10545" applyNumberFormat="1" applyFont="1" applyFill="1" applyBorder="1"/>
    <xf numFmtId="173" fontId="12" fillId="0" borderId="0" xfId="10546" applyNumberFormat="1" applyFont="1" applyFill="1" applyBorder="1" applyAlignment="1">
      <alignment horizontal="right" wrapText="1"/>
    </xf>
    <xf numFmtId="172" fontId="19" fillId="0" borderId="0" xfId="2462" applyNumberFormat="1" applyFont="1" applyBorder="1" applyAlignment="1"/>
    <xf numFmtId="267" fontId="19" fillId="0" borderId="0" xfId="10545" applyNumberFormat="1" applyFont="1" applyFill="1" applyBorder="1"/>
    <xf numFmtId="187" fontId="19" fillId="0" borderId="0" xfId="10545" applyNumberFormat="1" applyFont="1" applyFill="1" applyBorder="1"/>
    <xf numFmtId="37" fontId="19" fillId="0" borderId="0" xfId="10545" applyNumberFormat="1" applyFont="1" applyFill="1" applyBorder="1"/>
    <xf numFmtId="171" fontId="12" fillId="0" borderId="9" xfId="1977" applyNumberFormat="1" applyFont="1" applyFill="1" applyBorder="1"/>
    <xf numFmtId="171" fontId="12" fillId="0" borderId="0" xfId="1977" applyNumberFormat="1" applyFont="1" applyFill="1" applyBorder="1" applyAlignment="1">
      <alignment horizontal="right"/>
    </xf>
    <xf numFmtId="171" fontId="12" fillId="0" borderId="0" xfId="10546" applyNumberFormat="1" applyFont="1" applyFill="1" applyBorder="1" applyAlignment="1">
      <alignment horizontal="center"/>
    </xf>
    <xf numFmtId="172" fontId="12" fillId="0" borderId="0" xfId="10550" applyNumberFormat="1" applyFont="1" applyAlignment="1">
      <alignment horizontal="left" indent="1"/>
    </xf>
    <xf numFmtId="171" fontId="269" fillId="0" borderId="0" xfId="1977" applyNumberFormat="1" applyFont="1" applyFill="1" applyBorder="1"/>
    <xf numFmtId="171" fontId="269" fillId="81" borderId="0" xfId="1977" applyNumberFormat="1" applyFont="1" applyFill="1" applyBorder="1"/>
    <xf numFmtId="171" fontId="269" fillId="0" borderId="0" xfId="1977" applyNumberFormat="1" applyFont="1" applyFill="1" applyBorder="1" applyAlignment="1">
      <alignment horizontal="right"/>
    </xf>
    <xf numFmtId="2" fontId="12" fillId="0" borderId="0" xfId="10545" applyNumberFormat="1" applyFont="1" applyBorder="1"/>
    <xf numFmtId="9" fontId="12" fillId="0" borderId="0" xfId="1977" applyFont="1" applyBorder="1"/>
    <xf numFmtId="173" fontId="12" fillId="0" borderId="0" xfId="10545" applyNumberFormat="1" applyFont="1" applyBorder="1"/>
    <xf numFmtId="173" fontId="19" fillId="0" borderId="0" xfId="10545" applyNumberFormat="1" applyFont="1" applyAlignment="1">
      <alignment horizontal="right"/>
    </xf>
    <xf numFmtId="1" fontId="269" fillId="0" borderId="0" xfId="10545" applyNumberFormat="1" applyFont="1" applyFill="1"/>
    <xf numFmtId="171" fontId="269" fillId="81" borderId="46" xfId="10546" applyNumberFormat="1" applyFont="1" applyFill="1" applyBorder="1"/>
    <xf numFmtId="0" fontId="269" fillId="0" borderId="0" xfId="10545" applyFont="1"/>
    <xf numFmtId="1" fontId="269" fillId="0" borderId="0" xfId="10545" applyNumberFormat="1" applyFont="1"/>
    <xf numFmtId="37" fontId="269" fillId="76" borderId="0" xfId="10545" applyNumberFormat="1" applyFont="1" applyFill="1" applyBorder="1"/>
    <xf numFmtId="37" fontId="269" fillId="0" borderId="0" xfId="10545" applyNumberFormat="1" applyFont="1" applyBorder="1"/>
    <xf numFmtId="1" fontId="269" fillId="0" borderId="0" xfId="10545" applyNumberFormat="1" applyFont="1" applyBorder="1"/>
    <xf numFmtId="9" fontId="269" fillId="81" borderId="46" xfId="10545" applyNumberFormat="1" applyFont="1" applyFill="1" applyBorder="1"/>
    <xf numFmtId="173" fontId="269" fillId="0" borderId="0" xfId="10545" applyNumberFormat="1" applyFont="1" applyFill="1" applyBorder="1"/>
    <xf numFmtId="173" fontId="269" fillId="0" borderId="0" xfId="10547" applyNumberFormat="1" applyFont="1"/>
    <xf numFmtId="173" fontId="269" fillId="0" borderId="0" xfId="10545" applyNumberFormat="1" applyFont="1"/>
    <xf numFmtId="37" fontId="269" fillId="0" borderId="0" xfId="10545" applyNumberFormat="1" applyFont="1" applyFill="1" applyBorder="1"/>
    <xf numFmtId="37" fontId="270" fillId="0" borderId="0" xfId="10545" applyNumberFormat="1" applyFont="1" applyFill="1" applyBorder="1"/>
    <xf numFmtId="267" fontId="270" fillId="0" borderId="0" xfId="10545" applyNumberFormat="1" applyFont="1" applyFill="1" applyBorder="1"/>
    <xf numFmtId="187" fontId="270" fillId="0" borderId="0" xfId="10545" applyNumberFormat="1" applyFont="1" applyFill="1" applyBorder="1"/>
    <xf numFmtId="0" fontId="270" fillId="0" borderId="9" xfId="10545" applyFont="1" applyBorder="1"/>
    <xf numFmtId="2" fontId="269" fillId="0" borderId="0" xfId="10546" applyNumberFormat="1" applyFont="1"/>
    <xf numFmtId="1" fontId="269" fillId="0" borderId="9" xfId="10545" applyNumberFormat="1" applyFont="1" applyBorder="1"/>
    <xf numFmtId="267" fontId="269" fillId="0" borderId="0" xfId="10545" applyNumberFormat="1" applyFont="1" applyFill="1" applyBorder="1"/>
    <xf numFmtId="37" fontId="19" fillId="0" borderId="0" xfId="10545" applyNumberFormat="1" applyFont="1" applyAlignment="1">
      <alignment horizontal="right"/>
    </xf>
    <xf numFmtId="9" fontId="12" fillId="0" borderId="0" xfId="1977" applyFont="1" applyFill="1" applyBorder="1"/>
    <xf numFmtId="9" fontId="269" fillId="0" borderId="0" xfId="1977" applyFont="1" applyFill="1" applyBorder="1"/>
    <xf numFmtId="0" fontId="12" fillId="0" borderId="69" xfId="10545" applyFont="1" applyBorder="1"/>
    <xf numFmtId="0" fontId="12" fillId="76" borderId="69" xfId="10545" applyFont="1" applyFill="1" applyBorder="1"/>
    <xf numFmtId="1" fontId="271" fillId="79" borderId="69" xfId="10545" applyNumberFormat="1" applyFont="1" applyFill="1" applyBorder="1" applyAlignment="1">
      <alignment horizontal="center" wrapText="1"/>
    </xf>
    <xf numFmtId="0" fontId="12" fillId="0" borderId="70" xfId="10545" applyFont="1" applyBorder="1"/>
    <xf numFmtId="37" fontId="269" fillId="0" borderId="69" xfId="1057" applyNumberFormat="1" applyFont="1" applyFill="1" applyBorder="1"/>
    <xf numFmtId="171" fontId="269" fillId="0" borderId="69" xfId="10546" applyNumberFormat="1" applyFont="1" applyFill="1" applyBorder="1"/>
    <xf numFmtId="187" fontId="269" fillId="0" borderId="69" xfId="10546" applyNumberFormat="1" applyFont="1" applyFill="1" applyBorder="1"/>
    <xf numFmtId="9" fontId="269" fillId="0" borderId="69" xfId="10546" applyNumberFormat="1" applyFont="1" applyFill="1" applyBorder="1"/>
    <xf numFmtId="171" fontId="269" fillId="0" borderId="69" xfId="10546" applyNumberFormat="1" applyFont="1" applyBorder="1"/>
    <xf numFmtId="171" fontId="270" fillId="81" borderId="69" xfId="10546" applyNumberFormat="1" applyFont="1" applyFill="1" applyBorder="1"/>
    <xf numFmtId="37" fontId="12" fillId="0" borderId="69" xfId="10545" applyNumberFormat="1" applyFont="1" applyBorder="1"/>
    <xf numFmtId="9" fontId="269" fillId="81" borderId="69" xfId="1977" applyFont="1" applyFill="1" applyBorder="1"/>
    <xf numFmtId="37" fontId="270" fillId="76" borderId="71" xfId="10545" applyNumberFormat="1" applyFont="1" applyFill="1" applyBorder="1"/>
    <xf numFmtId="37" fontId="269" fillId="81" borderId="69" xfId="1057" applyNumberFormat="1" applyFont="1" applyFill="1" applyBorder="1"/>
    <xf numFmtId="1" fontId="12" fillId="0" borderId="69" xfId="10545" applyNumberFormat="1" applyFont="1" applyBorder="1"/>
    <xf numFmtId="171" fontId="269" fillId="81" borderId="69" xfId="10546" applyNumberFormat="1" applyFont="1" applyFill="1" applyBorder="1"/>
    <xf numFmtId="187" fontId="269" fillId="81" borderId="69" xfId="10546" applyNumberFormat="1" applyFont="1" applyFill="1" applyBorder="1"/>
    <xf numFmtId="37" fontId="269" fillId="74" borderId="69" xfId="10545" applyNumberFormat="1" applyFont="1" applyFill="1" applyBorder="1"/>
    <xf numFmtId="1" fontId="271" fillId="79" borderId="69" xfId="10545" applyNumberFormat="1" applyFont="1" applyFill="1" applyBorder="1" applyAlignment="1">
      <alignment horizontal="right" wrapText="1"/>
    </xf>
    <xf numFmtId="171" fontId="269" fillId="74" borderId="69" xfId="1977" applyNumberFormat="1" applyFont="1" applyFill="1" applyBorder="1"/>
    <xf numFmtId="9" fontId="269" fillId="74" borderId="69" xfId="1977" applyNumberFormat="1" applyFont="1" applyFill="1" applyBorder="1"/>
    <xf numFmtId="171" fontId="269" fillId="74" borderId="69" xfId="1977" applyNumberFormat="1" applyFont="1" applyFill="1" applyBorder="1" applyAlignment="1">
      <alignment horizontal="right"/>
    </xf>
    <xf numFmtId="1" fontId="12" fillId="0" borderId="70" xfId="10545" applyNumberFormat="1" applyFont="1" applyBorder="1"/>
    <xf numFmtId="10" fontId="269" fillId="74" borderId="69" xfId="10546" applyNumberFormat="1" applyFont="1" applyFill="1" applyBorder="1" applyAlignment="1">
      <alignment horizontal="right"/>
    </xf>
    <xf numFmtId="291" fontId="12" fillId="0" borderId="69" xfId="10545" applyNumberFormat="1" applyFont="1" applyBorder="1"/>
    <xf numFmtId="9" fontId="12" fillId="0" borderId="69" xfId="1977" applyFont="1" applyBorder="1"/>
    <xf numFmtId="176" fontId="12" fillId="0" borderId="69" xfId="10545" applyNumberFormat="1" applyFont="1" applyBorder="1"/>
    <xf numFmtId="171" fontId="269" fillId="74" borderId="70" xfId="1977" applyNumberFormat="1" applyFont="1" applyFill="1" applyBorder="1"/>
    <xf numFmtId="176" fontId="19" fillId="0" borderId="69" xfId="10545" applyNumberFormat="1" applyFont="1" applyBorder="1"/>
    <xf numFmtId="1" fontId="271" fillId="0" borderId="69" xfId="10545" applyNumberFormat="1" applyFont="1" applyFill="1" applyBorder="1" applyAlignment="1">
      <alignment horizontal="right" wrapText="1"/>
    </xf>
    <xf numFmtId="188" fontId="270" fillId="0" borderId="69" xfId="0" applyNumberFormat="1" applyFont="1" applyBorder="1" applyAlignment="1">
      <alignment horizontal="right"/>
    </xf>
    <xf numFmtId="188" fontId="269" fillId="0" borderId="69" xfId="0" applyNumberFormat="1" applyFont="1" applyBorder="1" applyAlignment="1">
      <alignment horizontal="right"/>
    </xf>
    <xf numFmtId="188" fontId="280" fillId="0" borderId="69" xfId="10545" applyNumberFormat="1" applyFont="1" applyFill="1" applyBorder="1" applyAlignment="1">
      <alignment horizontal="right" wrapText="1"/>
    </xf>
    <xf numFmtId="3" fontId="271" fillId="82" borderId="69" xfId="0" applyNumberFormat="1" applyFont="1" applyFill="1" applyBorder="1" applyAlignment="1">
      <alignment horizontal="right"/>
    </xf>
    <xf numFmtId="188" fontId="0" fillId="0" borderId="69" xfId="0" applyNumberFormat="1" applyBorder="1" applyAlignment="1">
      <alignment horizontal="right"/>
    </xf>
    <xf numFmtId="188" fontId="280" fillId="0" borderId="69" xfId="0" applyNumberFormat="1" applyFont="1" applyBorder="1" applyAlignment="1">
      <alignment horizontal="right"/>
    </xf>
    <xf numFmtId="170" fontId="35" fillId="0" borderId="69" xfId="738" applyNumberFormat="1" applyFont="1" applyBorder="1" applyAlignment="1">
      <alignment horizontal="right"/>
    </xf>
    <xf numFmtId="2" fontId="12" fillId="0" borderId="69" xfId="10545" applyNumberFormat="1" applyFont="1" applyBorder="1"/>
    <xf numFmtId="1" fontId="269" fillId="0" borderId="70" xfId="10545" applyNumberFormat="1" applyFont="1" applyBorder="1"/>
    <xf numFmtId="37" fontId="269" fillId="0" borderId="69" xfId="10545" applyNumberFormat="1" applyFont="1" applyFill="1" applyBorder="1"/>
    <xf numFmtId="1" fontId="269" fillId="0" borderId="69" xfId="10545" applyNumberFormat="1" applyFont="1" applyBorder="1"/>
    <xf numFmtId="9" fontId="269" fillId="0" borderId="69" xfId="1977" applyFont="1" applyFill="1" applyBorder="1"/>
    <xf numFmtId="267" fontId="269" fillId="0" borderId="69" xfId="10545" applyNumberFormat="1" applyFont="1" applyFill="1" applyBorder="1"/>
    <xf numFmtId="1" fontId="278" fillId="75" borderId="69" xfId="10545" applyNumberFormat="1" applyFont="1" applyFill="1" applyBorder="1"/>
    <xf numFmtId="1" fontId="269" fillId="0" borderId="69" xfId="10545" applyNumberFormat="1" applyFont="1" applyFill="1" applyBorder="1"/>
    <xf numFmtId="171" fontId="269" fillId="81" borderId="71" xfId="10546" applyNumberFormat="1" applyFont="1" applyFill="1" applyBorder="1"/>
    <xf numFmtId="0" fontId="269" fillId="0" borderId="69" xfId="10545" applyFont="1" applyBorder="1"/>
    <xf numFmtId="37" fontId="269" fillId="81" borderId="69" xfId="10545" applyNumberFormat="1" applyFont="1" applyFill="1" applyBorder="1"/>
    <xf numFmtId="37" fontId="269" fillId="76" borderId="69" xfId="10545" applyNumberFormat="1" applyFont="1" applyFill="1" applyBorder="1"/>
    <xf numFmtId="37" fontId="269" fillId="0" borderId="69" xfId="10545" applyNumberFormat="1" applyFont="1" applyBorder="1"/>
    <xf numFmtId="37" fontId="270" fillId="0" borderId="71" xfId="10545" applyNumberFormat="1" applyFont="1" applyFill="1" applyBorder="1"/>
    <xf numFmtId="9" fontId="269" fillId="81" borderId="71" xfId="10545" applyNumberFormat="1" applyFont="1" applyFill="1" applyBorder="1"/>
    <xf numFmtId="173" fontId="269" fillId="0" borderId="69" xfId="10545" applyNumberFormat="1" applyFont="1" applyBorder="1"/>
    <xf numFmtId="173" fontId="270" fillId="0" borderId="69" xfId="10545" applyNumberFormat="1" applyFont="1" applyFill="1" applyBorder="1" applyAlignment="1">
      <alignment horizontal="right"/>
    </xf>
    <xf numFmtId="173" fontId="270" fillId="0" borderId="69" xfId="10545" applyNumberFormat="1" applyFont="1" applyBorder="1"/>
    <xf numFmtId="171" fontId="269" fillId="0" borderId="69" xfId="1977" applyNumberFormat="1" applyFont="1" applyFill="1" applyBorder="1" applyAlignment="1">
      <alignment horizontal="right"/>
    </xf>
    <xf numFmtId="173" fontId="269" fillId="0" borderId="69" xfId="10545" applyNumberFormat="1" applyFont="1" applyFill="1" applyBorder="1" applyAlignment="1">
      <alignment horizontal="right" wrapText="1"/>
    </xf>
    <xf numFmtId="173" fontId="269" fillId="0" borderId="69" xfId="10546" applyNumberFormat="1" applyFont="1" applyFill="1" applyBorder="1" applyAlignment="1">
      <alignment horizontal="right"/>
    </xf>
    <xf numFmtId="173" fontId="269" fillId="81" borderId="69" xfId="10545" applyNumberFormat="1" applyFont="1" applyFill="1" applyBorder="1"/>
    <xf numFmtId="171" fontId="269" fillId="81" borderId="69" xfId="1977" applyNumberFormat="1" applyFont="1" applyFill="1" applyBorder="1"/>
    <xf numFmtId="173" fontId="270" fillId="0" borderId="69" xfId="10545" applyNumberFormat="1" applyFont="1" applyFill="1" applyBorder="1"/>
    <xf numFmtId="171" fontId="269" fillId="0" borderId="69" xfId="1977" applyNumberFormat="1" applyFont="1" applyFill="1" applyBorder="1"/>
    <xf numFmtId="173" fontId="269" fillId="0" borderId="69" xfId="10545" applyNumberFormat="1" applyFont="1" applyFill="1" applyBorder="1" applyAlignment="1">
      <alignment horizontal="right"/>
    </xf>
    <xf numFmtId="173" fontId="270" fillId="0" borderId="69" xfId="10545" applyNumberFormat="1" applyFont="1" applyFill="1" applyBorder="1" applyAlignment="1">
      <alignment horizontal="right" wrapText="1"/>
    </xf>
    <xf numFmtId="173" fontId="280" fillId="0" borderId="69" xfId="10545" applyNumberFormat="1" applyFont="1" applyFill="1" applyBorder="1" applyAlignment="1">
      <alignment horizontal="right" wrapText="1"/>
    </xf>
    <xf numFmtId="171" fontId="269" fillId="81" borderId="69" xfId="10546" applyNumberFormat="1" applyFont="1" applyFill="1" applyBorder="1" applyAlignment="1">
      <alignment horizontal="right" wrapText="1"/>
    </xf>
    <xf numFmtId="37" fontId="271" fillId="80" borderId="69" xfId="10545" applyNumberFormat="1" applyFont="1" applyFill="1" applyBorder="1" applyAlignment="1">
      <alignment horizontal="right" wrapText="1"/>
    </xf>
    <xf numFmtId="37" fontId="269" fillId="0" borderId="69" xfId="10545" applyNumberFormat="1" applyFont="1" applyFill="1" applyBorder="1" applyAlignment="1">
      <alignment horizontal="right" wrapText="1"/>
    </xf>
    <xf numFmtId="37" fontId="12" fillId="0" borderId="69" xfId="10545" applyNumberFormat="1" applyFont="1" applyFill="1" applyBorder="1"/>
    <xf numFmtId="173" fontId="269" fillId="0" borderId="69" xfId="10545" applyNumberFormat="1" applyFont="1" applyFill="1" applyBorder="1"/>
    <xf numFmtId="173" fontId="269" fillId="0" borderId="69" xfId="10547" applyNumberFormat="1" applyFont="1" applyBorder="1"/>
    <xf numFmtId="173" fontId="12" fillId="0" borderId="69" xfId="10545" applyNumberFormat="1" applyFont="1" applyBorder="1" applyAlignment="1">
      <alignment horizontal="right"/>
    </xf>
    <xf numFmtId="292" fontId="12" fillId="0" borderId="70" xfId="10545" applyNumberFormat="1" applyFont="1" applyBorder="1"/>
    <xf numFmtId="37" fontId="270" fillId="0" borderId="69" xfId="10545" applyNumberFormat="1" applyFont="1" applyFill="1" applyBorder="1"/>
    <xf numFmtId="267" fontId="270" fillId="0" borderId="69" xfId="10545" applyNumberFormat="1" applyFont="1" applyFill="1" applyBorder="1"/>
    <xf numFmtId="187" fontId="270" fillId="0" borderId="69" xfId="10545" applyNumberFormat="1" applyFont="1" applyFill="1" applyBorder="1"/>
    <xf numFmtId="0" fontId="270" fillId="0" borderId="70" xfId="10545" applyFont="1" applyBorder="1"/>
    <xf numFmtId="2" fontId="269" fillId="0" borderId="69" xfId="10546" applyNumberFormat="1" applyFont="1" applyBorder="1"/>
    <xf numFmtId="0" fontId="282" fillId="0" borderId="0" xfId="10545" applyFont="1" applyFill="1" applyBorder="1"/>
    <xf numFmtId="9" fontId="12" fillId="0" borderId="0" xfId="1977" applyNumberFormat="1" applyFont="1" applyFill="1" applyBorder="1" applyAlignment="1">
      <alignment horizontal="right"/>
    </xf>
    <xf numFmtId="9" fontId="269" fillId="81" borderId="0" xfId="1977" applyNumberFormat="1" applyFont="1" applyFill="1" applyBorder="1"/>
    <xf numFmtId="267" fontId="12" fillId="0" borderId="0" xfId="1977" applyNumberFormat="1" applyFont="1" applyFill="1" applyBorder="1" applyAlignment="1">
      <alignment horizontal="right"/>
    </xf>
    <xf numFmtId="267" fontId="269" fillId="81" borderId="0" xfId="1977" applyNumberFormat="1" applyFont="1" applyFill="1" applyBorder="1" applyAlignment="1">
      <alignment horizontal="right"/>
    </xf>
    <xf numFmtId="10" fontId="19" fillId="0" borderId="63" xfId="10545" applyNumberFormat="1" applyFont="1" applyFill="1" applyBorder="1"/>
    <xf numFmtId="10" fontId="19" fillId="81" borderId="63" xfId="1977" applyNumberFormat="1" applyFont="1" applyFill="1" applyBorder="1"/>
    <xf numFmtId="37" fontId="270" fillId="0" borderId="0" xfId="10545" applyNumberFormat="1" applyFont="1" applyBorder="1"/>
    <xf numFmtId="9" fontId="19" fillId="81" borderId="73" xfId="10545" applyNumberFormat="1" applyFont="1" applyFill="1" applyBorder="1" applyAlignment="1">
      <alignment horizontal="center"/>
    </xf>
    <xf numFmtId="171" fontId="12" fillId="81" borderId="9" xfId="1977" applyNumberFormat="1" applyFont="1" applyFill="1" applyBorder="1"/>
    <xf numFmtId="171" fontId="269" fillId="81" borderId="9" xfId="10545" applyNumberFormat="1" applyFont="1" applyFill="1" applyBorder="1"/>
    <xf numFmtId="0" fontId="19" fillId="0" borderId="11" xfId="10545" applyFont="1" applyBorder="1"/>
    <xf numFmtId="37" fontId="19" fillId="0" borderId="11" xfId="10545" applyNumberFormat="1" applyFont="1" applyBorder="1"/>
    <xf numFmtId="37" fontId="19" fillId="0" borderId="11" xfId="10545" applyNumberFormat="1" applyFont="1" applyFill="1" applyBorder="1"/>
    <xf numFmtId="37" fontId="270" fillId="0" borderId="11" xfId="10545" applyNumberFormat="1" applyFont="1" applyBorder="1"/>
    <xf numFmtId="1" fontId="12" fillId="0" borderId="0" xfId="0" applyNumberFormat="1" applyFont="1"/>
    <xf numFmtId="9" fontId="12" fillId="0" borderId="0" xfId="1977" applyNumberFormat="1" applyFont="1" applyFill="1" applyBorder="1"/>
    <xf numFmtId="0" fontId="12" fillId="0" borderId="0" xfId="10545" applyFont="1" applyAlignment="1">
      <alignment horizontal="left" indent="1"/>
    </xf>
    <xf numFmtId="9" fontId="19" fillId="0" borderId="0" xfId="10545" applyNumberFormat="1" applyFont="1" applyFill="1" applyBorder="1" applyAlignment="1">
      <alignment horizontal="center"/>
    </xf>
    <xf numFmtId="171" fontId="269" fillId="74" borderId="0" xfId="1977" applyNumberFormat="1" applyFont="1" applyFill="1" applyBorder="1"/>
    <xf numFmtId="37" fontId="269" fillId="81" borderId="0" xfId="10545" applyNumberFormat="1" applyFont="1" applyFill="1"/>
    <xf numFmtId="37" fontId="12" fillId="0" borderId="0" xfId="10545" applyNumberFormat="1" applyFont="1" applyFill="1" applyBorder="1" applyAlignment="1">
      <alignment horizontal="center"/>
    </xf>
    <xf numFmtId="9" fontId="269" fillId="81" borderId="0" xfId="1977" applyFont="1" applyFill="1" applyBorder="1" applyAlignment="1">
      <alignment horizontal="right"/>
    </xf>
    <xf numFmtId="171" fontId="12" fillId="0" borderId="0" xfId="1977" applyNumberFormat="1" applyFont="1" applyBorder="1"/>
    <xf numFmtId="0" fontId="283" fillId="0" borderId="0" xfId="10545" applyFont="1" applyFill="1" applyBorder="1" applyAlignment="1">
      <alignment horizontal="left" indent="4"/>
    </xf>
    <xf numFmtId="173" fontId="283" fillId="0" borderId="0" xfId="10545" applyNumberFormat="1" applyFont="1" applyFill="1" applyBorder="1" applyAlignment="1">
      <alignment horizontal="right" wrapText="1"/>
    </xf>
    <xf numFmtId="171" fontId="283" fillId="0" borderId="0" xfId="1977" applyNumberFormat="1" applyFont="1" applyFill="1" applyBorder="1" applyAlignment="1">
      <alignment horizontal="right" wrapText="1"/>
    </xf>
    <xf numFmtId="171" fontId="269" fillId="81" borderId="0" xfId="1977" applyNumberFormat="1" applyFont="1" applyFill="1" applyBorder="1" applyAlignment="1">
      <alignment horizontal="right" wrapText="1"/>
    </xf>
    <xf numFmtId="173" fontId="269" fillId="81" borderId="0" xfId="10545" applyNumberFormat="1" applyFont="1" applyFill="1" applyBorder="1" applyAlignment="1">
      <alignment horizontal="right" wrapText="1"/>
    </xf>
    <xf numFmtId="43" fontId="12" fillId="0" borderId="0" xfId="738" applyFont="1" applyFill="1" applyBorder="1" applyAlignment="1">
      <alignment horizontal="right" wrapText="1"/>
    </xf>
    <xf numFmtId="0" fontId="12" fillId="0" borderId="0" xfId="10545" applyFont="1" applyAlignment="1">
      <alignment horizontal="left"/>
    </xf>
    <xf numFmtId="0" fontId="12" fillId="0" borderId="0" xfId="10545" applyFont="1" applyFill="1" applyAlignment="1">
      <alignment horizontal="left"/>
    </xf>
    <xf numFmtId="37" fontId="0" fillId="0" borderId="0" xfId="0" applyNumberFormat="1"/>
    <xf numFmtId="9" fontId="0" fillId="0" borderId="0" xfId="0" applyNumberFormat="1"/>
    <xf numFmtId="0" fontId="278" fillId="75" borderId="0" xfId="0" applyFont="1" applyFill="1"/>
    <xf numFmtId="0" fontId="271" fillId="75" borderId="0" xfId="0" applyFont="1" applyFill="1" applyAlignment="1">
      <alignment horizontal="center"/>
    </xf>
    <xf numFmtId="0" fontId="271" fillId="80" borderId="0" xfId="0" applyFont="1" applyFill="1" applyAlignment="1">
      <alignment horizontal="center"/>
    </xf>
    <xf numFmtId="0" fontId="278" fillId="0" borderId="0" xfId="0" applyFont="1" applyFill="1"/>
    <xf numFmtId="0" fontId="0" fillId="0" borderId="0" xfId="0" applyFill="1"/>
    <xf numFmtId="0" fontId="19" fillId="76" borderId="0" xfId="0" applyFont="1" applyFill="1"/>
    <xf numFmtId="0" fontId="19" fillId="76" borderId="0" xfId="10545" applyFont="1" applyFill="1" applyBorder="1" applyAlignment="1">
      <alignment horizontal="left"/>
    </xf>
    <xf numFmtId="0" fontId="19" fillId="76" borderId="0" xfId="10545" applyFont="1" applyFill="1" applyBorder="1"/>
    <xf numFmtId="0" fontId="0" fillId="76" borderId="0" xfId="0" applyFill="1"/>
    <xf numFmtId="0" fontId="19" fillId="0" borderId="0" xfId="10545" applyFont="1" applyFill="1"/>
    <xf numFmtId="0" fontId="271" fillId="80" borderId="0" xfId="0" applyFont="1" applyFill="1" applyAlignment="1"/>
    <xf numFmtId="293" fontId="271" fillId="75" borderId="0" xfId="0" applyNumberFormat="1" applyFont="1" applyFill="1" applyAlignment="1">
      <alignment horizontal="center"/>
    </xf>
    <xf numFmtId="0" fontId="271" fillId="0" borderId="0" xfId="0" applyFont="1" applyFill="1" applyAlignment="1">
      <alignment horizontal="center"/>
    </xf>
    <xf numFmtId="293" fontId="271" fillId="0" borderId="0" xfId="0" applyNumberFormat="1" applyFont="1" applyFill="1" applyAlignment="1">
      <alignment horizontal="center"/>
    </xf>
    <xf numFmtId="173" fontId="19" fillId="0" borderId="0" xfId="0" applyNumberFormat="1" applyFont="1" applyAlignment="1">
      <alignment horizontal="center"/>
    </xf>
    <xf numFmtId="173" fontId="0" fillId="0" borderId="0" xfId="0" applyNumberFormat="1" applyAlignment="1">
      <alignment horizontal="center"/>
    </xf>
    <xf numFmtId="173" fontId="19" fillId="76" borderId="0" xfId="0" applyNumberFormat="1" applyFont="1" applyFill="1" applyAlignment="1">
      <alignment horizontal="center"/>
    </xf>
    <xf numFmtId="173" fontId="12" fillId="0" borderId="0" xfId="0" applyNumberFormat="1" applyFont="1" applyFill="1" applyAlignment="1">
      <alignment horizontal="center"/>
    </xf>
    <xf numFmtId="267" fontId="19" fillId="76" borderId="0" xfId="10545" applyNumberFormat="1" applyFont="1" applyFill="1" applyBorder="1" applyAlignment="1">
      <alignment horizontal="center"/>
    </xf>
    <xf numFmtId="0" fontId="271" fillId="0" borderId="0" xfId="0" applyFont="1" applyFill="1" applyAlignment="1"/>
    <xf numFmtId="0" fontId="271" fillId="75" borderId="0" xfId="0" applyFont="1" applyFill="1"/>
    <xf numFmtId="0" fontId="30" fillId="0" borderId="0" xfId="0" applyFont="1" applyAlignment="1">
      <alignment horizontal="left" indent="1"/>
    </xf>
    <xf numFmtId="0" fontId="30" fillId="0" borderId="0" xfId="0" applyFont="1" applyAlignment="1">
      <alignment horizontal="center"/>
    </xf>
    <xf numFmtId="171" fontId="30" fillId="0" borderId="0" xfId="1977" applyNumberFormat="1" applyFont="1" applyAlignment="1">
      <alignment horizontal="center"/>
    </xf>
    <xf numFmtId="9" fontId="30" fillId="0" borderId="0" xfId="1977" applyFont="1" applyAlignment="1">
      <alignment horizontal="center"/>
    </xf>
    <xf numFmtId="0" fontId="30" fillId="0" borderId="0" xfId="0" applyFont="1"/>
    <xf numFmtId="9" fontId="30" fillId="0" borderId="0" xfId="1977" applyNumberFormat="1" applyFont="1" applyAlignment="1">
      <alignment horizontal="center"/>
    </xf>
    <xf numFmtId="9" fontId="30" fillId="0" borderId="0" xfId="0" applyNumberFormat="1" applyFont="1" applyAlignment="1">
      <alignment horizontal="center"/>
    </xf>
    <xf numFmtId="175" fontId="30" fillId="0" borderId="0" xfId="0" applyNumberFormat="1" applyFont="1" applyAlignment="1">
      <alignment horizontal="center"/>
    </xf>
    <xf numFmtId="293" fontId="271" fillId="75" borderId="69" xfId="0" applyNumberFormat="1" applyFont="1" applyFill="1" applyBorder="1" applyAlignment="1">
      <alignment horizontal="center"/>
    </xf>
    <xf numFmtId="293" fontId="271" fillId="0" borderId="69" xfId="0" applyNumberFormat="1" applyFont="1" applyFill="1" applyBorder="1" applyAlignment="1">
      <alignment horizontal="center"/>
    </xf>
    <xf numFmtId="0" fontId="271" fillId="80" borderId="69" xfId="0" applyFont="1" applyFill="1" applyBorder="1" applyAlignment="1">
      <alignment horizontal="center"/>
    </xf>
    <xf numFmtId="173" fontId="19" fillId="0" borderId="69" xfId="0" applyNumberFormat="1" applyFont="1" applyBorder="1" applyAlignment="1">
      <alignment horizontal="center"/>
    </xf>
    <xf numFmtId="171" fontId="30" fillId="0" borderId="69" xfId="1977" applyNumberFormat="1" applyFont="1" applyBorder="1" applyAlignment="1">
      <alignment horizontal="center"/>
    </xf>
    <xf numFmtId="173" fontId="0" fillId="0" borderId="69" xfId="0" applyNumberFormat="1" applyBorder="1" applyAlignment="1">
      <alignment horizontal="center"/>
    </xf>
    <xf numFmtId="9" fontId="30" fillId="0" borderId="69" xfId="1977" applyFont="1" applyBorder="1" applyAlignment="1">
      <alignment horizontal="center"/>
    </xf>
    <xf numFmtId="9" fontId="30" fillId="0" borderId="69" xfId="1977" applyNumberFormat="1" applyFont="1" applyBorder="1" applyAlignment="1">
      <alignment horizontal="center"/>
    </xf>
    <xf numFmtId="9" fontId="30" fillId="0" borderId="69" xfId="0" applyNumberFormat="1" applyFont="1" applyBorder="1" applyAlignment="1">
      <alignment horizontal="center"/>
    </xf>
    <xf numFmtId="173" fontId="19" fillId="76" borderId="69" xfId="0" applyNumberFormat="1" applyFont="1" applyFill="1" applyBorder="1" applyAlignment="1">
      <alignment horizontal="center"/>
    </xf>
    <xf numFmtId="173" fontId="12" fillId="0" borderId="69" xfId="0" applyNumberFormat="1" applyFont="1" applyFill="1" applyBorder="1" applyAlignment="1">
      <alignment horizontal="center"/>
    </xf>
    <xf numFmtId="267" fontId="19" fillId="76" borderId="69" xfId="10545" applyNumberFormat="1" applyFont="1" applyFill="1" applyBorder="1" applyAlignment="1">
      <alignment horizontal="center"/>
    </xf>
    <xf numFmtId="0" fontId="19" fillId="0" borderId="0" xfId="0" applyFont="1" applyFill="1"/>
    <xf numFmtId="173" fontId="19" fillId="0" borderId="0" xfId="0" applyNumberFormat="1" applyFont="1" applyFill="1" applyAlignment="1">
      <alignment horizontal="center"/>
    </xf>
    <xf numFmtId="0" fontId="0" fillId="0" borderId="69" xfId="0" applyBorder="1"/>
    <xf numFmtId="0" fontId="12" fillId="0" borderId="0" xfId="0" applyFont="1" applyBorder="1"/>
    <xf numFmtId="267" fontId="19" fillId="0" borderId="0" xfId="10545" applyNumberFormat="1" applyFont="1" applyFill="1" applyBorder="1" applyAlignment="1">
      <alignment horizontal="center"/>
    </xf>
    <xf numFmtId="0" fontId="30" fillId="0" borderId="0" xfId="0" applyFont="1" applyBorder="1"/>
    <xf numFmtId="171" fontId="30" fillId="0" borderId="0" xfId="1977" applyNumberFormat="1" applyFont="1" applyBorder="1" applyAlignment="1">
      <alignment horizontal="center"/>
    </xf>
    <xf numFmtId="187" fontId="30" fillId="0" borderId="0" xfId="10545" applyNumberFormat="1" applyFont="1" applyFill="1" applyBorder="1" applyAlignment="1">
      <alignment horizontal="center"/>
    </xf>
    <xf numFmtId="0" fontId="30" fillId="0" borderId="0" xfId="0" applyFont="1" applyFill="1" applyAlignment="1"/>
    <xf numFmtId="175" fontId="12" fillId="0" borderId="0" xfId="0" applyNumberFormat="1" applyFont="1" applyAlignment="1">
      <alignment horizontal="center"/>
    </xf>
    <xf numFmtId="37" fontId="12" fillId="0" borderId="0" xfId="0" applyNumberFormat="1" applyFont="1" applyFill="1" applyAlignment="1">
      <alignment horizontal="center"/>
    </xf>
    <xf numFmtId="37" fontId="0" fillId="0" borderId="0" xfId="0" applyNumberFormat="1" applyAlignment="1">
      <alignment horizontal="center"/>
    </xf>
    <xf numFmtId="170" fontId="21" fillId="62" borderId="7" xfId="2462" applyNumberFormat="1" applyFont="1" applyFill="1" applyBorder="1" applyAlignment="1">
      <alignment horizontal="center"/>
    </xf>
    <xf numFmtId="187" fontId="19" fillId="76" borderId="0" xfId="10545" applyNumberFormat="1" applyFont="1" applyFill="1" applyBorder="1" applyAlignment="1">
      <alignment horizontal="center"/>
    </xf>
    <xf numFmtId="187" fontId="19" fillId="76" borderId="69" xfId="10545" applyNumberFormat="1" applyFont="1" applyFill="1" applyBorder="1" applyAlignment="1">
      <alignment horizontal="center"/>
    </xf>
    <xf numFmtId="0" fontId="12" fillId="0" borderId="0" xfId="0" applyFont="1" applyFill="1"/>
    <xf numFmtId="187" fontId="30" fillId="0" borderId="69" xfId="10545" applyNumberFormat="1" applyFont="1" applyFill="1" applyBorder="1" applyAlignment="1">
      <alignment horizontal="center"/>
    </xf>
    <xf numFmtId="175" fontId="12" fillId="0" borderId="69" xfId="0" applyNumberFormat="1" applyFont="1" applyBorder="1" applyAlignment="1">
      <alignment horizontal="center"/>
    </xf>
    <xf numFmtId="37" fontId="12" fillId="0" borderId="69" xfId="0" applyNumberFormat="1" applyFont="1" applyFill="1" applyBorder="1" applyAlignment="1">
      <alignment horizontal="center"/>
    </xf>
    <xf numFmtId="37" fontId="0" fillId="0" borderId="69" xfId="0" applyNumberFormat="1" applyBorder="1" applyAlignment="1">
      <alignment horizontal="center"/>
    </xf>
    <xf numFmtId="267" fontId="19" fillId="0" borderId="69" xfId="10545" applyNumberFormat="1" applyFont="1" applyFill="1" applyBorder="1" applyAlignment="1">
      <alignment horizontal="center"/>
    </xf>
    <xf numFmtId="37" fontId="269" fillId="0" borderId="0" xfId="27139" applyNumberFormat="1" applyFont="1" applyFill="1" applyBorder="1"/>
    <xf numFmtId="187" fontId="19" fillId="0" borderId="46" xfId="18842" applyNumberFormat="1" applyFont="1" applyFill="1" applyBorder="1" applyAlignment="1">
      <alignment horizontal="center"/>
    </xf>
    <xf numFmtId="0" fontId="0" fillId="0" borderId="0" xfId="0"/>
    <xf numFmtId="0" fontId="19" fillId="0" borderId="0" xfId="0" applyFont="1"/>
    <xf numFmtId="0" fontId="12" fillId="0" borderId="0" xfId="0" applyFont="1"/>
    <xf numFmtId="0" fontId="12" fillId="0" borderId="0" xfId="18842" applyFont="1" applyFill="1" applyBorder="1" applyAlignment="1">
      <alignment horizontal="left"/>
    </xf>
    <xf numFmtId="0" fontId="19" fillId="0" borderId="46" xfId="18842" applyFont="1" applyFill="1" applyBorder="1"/>
    <xf numFmtId="0" fontId="0" fillId="76" borderId="46" xfId="0" applyFill="1" applyBorder="1"/>
    <xf numFmtId="0" fontId="19" fillId="76" borderId="46" xfId="18842" applyFont="1" applyFill="1" applyBorder="1" applyAlignment="1">
      <alignment horizontal="center"/>
    </xf>
    <xf numFmtId="293" fontId="19" fillId="76" borderId="46" xfId="18842" applyNumberFormat="1" applyFont="1" applyFill="1" applyBorder="1" applyAlignment="1">
      <alignment horizontal="center"/>
    </xf>
    <xf numFmtId="37" fontId="0" fillId="0" borderId="0" xfId="0" applyNumberFormat="1" applyAlignment="1">
      <alignment horizontal="center"/>
    </xf>
    <xf numFmtId="0" fontId="19" fillId="76" borderId="46" xfId="0" applyFont="1" applyFill="1" applyBorder="1"/>
    <xf numFmtId="0" fontId="0" fillId="0" borderId="46" xfId="0" applyBorder="1"/>
    <xf numFmtId="0" fontId="271" fillId="82" borderId="0" xfId="0" applyFont="1" applyFill="1" applyAlignment="1"/>
    <xf numFmtId="0" fontId="271" fillId="82" borderId="0" xfId="0" applyFont="1" applyFill="1" applyAlignment="1">
      <alignment horizontal="center"/>
    </xf>
    <xf numFmtId="0" fontId="271" fillId="82" borderId="69" xfId="0" applyFont="1" applyFill="1" applyBorder="1" applyAlignment="1">
      <alignment horizontal="center"/>
    </xf>
    <xf numFmtId="14" fontId="14" fillId="0" borderId="0" xfId="1911" applyNumberFormat="1" applyFont="1" applyFill="1" applyAlignment="1">
      <alignment horizontal="right" vertical="center"/>
    </xf>
    <xf numFmtId="0" fontId="19" fillId="0" borderId="0" xfId="0" applyFont="1" applyBorder="1"/>
    <xf numFmtId="0" fontId="12" fillId="74" borderId="67" xfId="0" applyFont="1" applyFill="1" applyBorder="1"/>
    <xf numFmtId="0" fontId="12" fillId="74" borderId="68" xfId="0" applyFont="1" applyFill="1" applyBorder="1"/>
    <xf numFmtId="0" fontId="12" fillId="0" borderId="8" xfId="0" applyFont="1" applyBorder="1"/>
    <xf numFmtId="0" fontId="12" fillId="0" borderId="10" xfId="0" applyFont="1" applyBorder="1"/>
    <xf numFmtId="0" fontId="19" fillId="0" borderId="0" xfId="0" quotePrefix="1" applyFont="1" applyBorder="1"/>
    <xf numFmtId="0" fontId="269" fillId="74" borderId="67" xfId="0" applyFont="1" applyFill="1" applyBorder="1"/>
    <xf numFmtId="0" fontId="269" fillId="0" borderId="47" xfId="0" applyFont="1" applyBorder="1"/>
    <xf numFmtId="0" fontId="12" fillId="0" borderId="66" xfId="0" applyFont="1" applyBorder="1"/>
    <xf numFmtId="37" fontId="269" fillId="0" borderId="0" xfId="10545" applyNumberFormat="1" applyFont="1" applyFill="1" applyBorder="1" applyAlignment="1">
      <alignment horizontal="right"/>
    </xf>
    <xf numFmtId="37" fontId="12" fillId="81" borderId="0" xfId="10545" applyNumberFormat="1" applyFont="1" applyFill="1" applyBorder="1" applyAlignment="1">
      <alignment horizontal="right"/>
    </xf>
    <xf numFmtId="173" fontId="12" fillId="81" borderId="0" xfId="10545" applyNumberFormat="1" applyFont="1" applyFill="1" applyBorder="1" applyAlignment="1">
      <alignment horizontal="right"/>
    </xf>
    <xf numFmtId="173" fontId="19" fillId="81" borderId="0" xfId="10545" applyNumberFormat="1" applyFont="1" applyFill="1" applyBorder="1" applyAlignment="1">
      <alignment horizontal="right"/>
    </xf>
    <xf numFmtId="173" fontId="12" fillId="81" borderId="0" xfId="10546" applyNumberFormat="1" applyFont="1" applyFill="1" applyBorder="1"/>
    <xf numFmtId="173" fontId="12" fillId="81" borderId="0" xfId="10545" applyNumberFormat="1" applyFont="1" applyFill="1" applyBorder="1" applyAlignment="1">
      <alignment horizontal="right" wrapText="1"/>
    </xf>
    <xf numFmtId="173" fontId="280" fillId="81" borderId="0" xfId="10545" applyNumberFormat="1" applyFont="1" applyFill="1" applyBorder="1" applyAlignment="1">
      <alignment horizontal="right" wrapText="1"/>
    </xf>
    <xf numFmtId="176" fontId="12" fillId="81" borderId="0" xfId="10545" applyNumberFormat="1" applyFont="1" applyFill="1"/>
    <xf numFmtId="176" fontId="12" fillId="81" borderId="0" xfId="10545" applyNumberFormat="1" applyFont="1" applyFill="1" applyBorder="1"/>
    <xf numFmtId="176" fontId="12" fillId="81" borderId="9" xfId="10545" applyNumberFormat="1" applyFont="1" applyFill="1" applyBorder="1"/>
    <xf numFmtId="291" fontId="269" fillId="0" borderId="0" xfId="10545" applyNumberFormat="1" applyFont="1" applyBorder="1"/>
    <xf numFmtId="9" fontId="269" fillId="0" borderId="0" xfId="1977" applyFont="1" applyBorder="1"/>
    <xf numFmtId="176" fontId="269" fillId="0" borderId="0" xfId="10545" applyNumberFormat="1" applyFont="1" applyBorder="1"/>
    <xf numFmtId="176" fontId="269" fillId="0" borderId="9" xfId="10545" applyNumberFormat="1" applyFont="1" applyBorder="1"/>
    <xf numFmtId="176" fontId="270" fillId="0" borderId="0" xfId="10545" applyNumberFormat="1" applyFont="1" applyBorder="1"/>
    <xf numFmtId="173" fontId="269" fillId="0" borderId="0" xfId="10545" applyNumberFormat="1" applyFont="1" applyAlignment="1">
      <alignment horizontal="right"/>
    </xf>
    <xf numFmtId="37" fontId="209" fillId="81" borderId="0" xfId="10545" applyNumberFormat="1" applyFont="1" applyFill="1" applyBorder="1"/>
    <xf numFmtId="10" fontId="269" fillId="0" borderId="0" xfId="1977" applyNumberFormat="1" applyFont="1" applyFill="1" applyBorder="1"/>
    <xf numFmtId="10" fontId="12" fillId="0" borderId="0" xfId="10545" applyNumberFormat="1" applyFont="1" applyFill="1" applyBorder="1" applyAlignment="1">
      <alignment horizontal="left"/>
    </xf>
    <xf numFmtId="37" fontId="270" fillId="0" borderId="11" xfId="10545" applyNumberFormat="1" applyFont="1" applyFill="1" applyBorder="1"/>
    <xf numFmtId="0" fontId="269" fillId="0" borderId="0" xfId="0" applyFont="1"/>
    <xf numFmtId="170" fontId="269" fillId="0" borderId="0" xfId="2462" applyNumberFormat="1" applyFont="1" applyFill="1" applyAlignment="1">
      <alignment horizontal="center"/>
    </xf>
    <xf numFmtId="170" fontId="269" fillId="0" borderId="0" xfId="2462" applyNumberFormat="1" applyFont="1" applyFill="1" applyAlignment="1"/>
    <xf numFmtId="170" fontId="269" fillId="0" borderId="0" xfId="2462" applyNumberFormat="1" applyFont="1" applyAlignment="1"/>
    <xf numFmtId="170" fontId="269" fillId="0" borderId="0" xfId="738" applyNumberFormat="1" applyFont="1" applyAlignment="1"/>
    <xf numFmtId="0" fontId="269" fillId="0" borderId="0" xfId="1661" applyFont="1" applyAlignment="1"/>
    <xf numFmtId="170" fontId="269" fillId="0" borderId="11" xfId="2462" applyNumberFormat="1" applyFont="1" applyFill="1" applyBorder="1" applyAlignment="1"/>
    <xf numFmtId="43" fontId="269" fillId="0" borderId="11" xfId="2462" applyNumberFormat="1" applyFont="1" applyFill="1" applyBorder="1" applyAlignment="1"/>
    <xf numFmtId="43" fontId="269" fillId="0" borderId="0" xfId="2462" applyNumberFormat="1" applyFont="1" applyFill="1" applyBorder="1" applyAlignment="1"/>
    <xf numFmtId="170" fontId="269" fillId="0" borderId="0" xfId="2462" applyNumberFormat="1" applyFont="1" applyFill="1" applyBorder="1" applyAlignment="1"/>
    <xf numFmtId="170" fontId="269" fillId="0" borderId="0" xfId="2462" applyNumberFormat="1" applyFont="1" applyBorder="1" applyAlignment="1"/>
    <xf numFmtId="172" fontId="270" fillId="0" borderId="0" xfId="2462" applyNumberFormat="1" applyFont="1" applyFill="1" applyBorder="1" applyAlignment="1"/>
    <xf numFmtId="10" fontId="269" fillId="0" borderId="0" xfId="1977" applyNumberFormat="1" applyFont="1" applyBorder="1" applyAlignment="1"/>
    <xf numFmtId="9" fontId="269" fillId="0" borderId="0" xfId="1977" applyNumberFormat="1" applyFont="1" applyBorder="1" applyAlignment="1"/>
    <xf numFmtId="37" fontId="269" fillId="0" borderId="11" xfId="10545" applyNumberFormat="1" applyFont="1" applyBorder="1"/>
    <xf numFmtId="37" fontId="269" fillId="0" borderId="72" xfId="10545" applyNumberFormat="1" applyFont="1" applyBorder="1"/>
    <xf numFmtId="37" fontId="269" fillId="0" borderId="65" xfId="10545" applyNumberFormat="1" applyFont="1" applyBorder="1"/>
    <xf numFmtId="37" fontId="269" fillId="0" borderId="10" xfId="10545" applyNumberFormat="1" applyFont="1" applyBorder="1"/>
    <xf numFmtId="171" fontId="269" fillId="0" borderId="0" xfId="10546" applyNumberFormat="1" applyFont="1" applyBorder="1"/>
    <xf numFmtId="171" fontId="269" fillId="0" borderId="10" xfId="10546" applyNumberFormat="1" applyFont="1" applyBorder="1"/>
    <xf numFmtId="37" fontId="269" fillId="74" borderId="9" xfId="10545" applyNumberFormat="1" applyFont="1" applyFill="1" applyBorder="1"/>
    <xf numFmtId="37" fontId="269" fillId="74" borderId="70" xfId="10545" applyNumberFormat="1" applyFont="1" applyFill="1" applyBorder="1"/>
    <xf numFmtId="37" fontId="269" fillId="74" borderId="66" xfId="10545" applyNumberFormat="1" applyFont="1" applyFill="1" applyBorder="1"/>
    <xf numFmtId="37" fontId="269" fillId="0" borderId="69" xfId="10545" applyNumberFormat="1" applyFont="1" applyFill="1" applyBorder="1" applyAlignment="1">
      <alignment horizontal="right"/>
    </xf>
    <xf numFmtId="9" fontId="269" fillId="0" borderId="69" xfId="10546" applyFont="1" applyFill="1" applyBorder="1" applyAlignment="1">
      <alignment horizontal="right"/>
    </xf>
    <xf numFmtId="9" fontId="269" fillId="0" borderId="0" xfId="10546" applyFont="1" applyFill="1" applyBorder="1" applyAlignment="1">
      <alignment horizontal="right"/>
    </xf>
    <xf numFmtId="37" fontId="270" fillId="0" borderId="69" xfId="10545" applyNumberFormat="1" applyFont="1" applyFill="1" applyBorder="1" applyAlignment="1">
      <alignment horizontal="right"/>
    </xf>
    <xf numFmtId="37" fontId="270" fillId="0" borderId="0" xfId="10545" applyNumberFormat="1" applyFont="1" applyFill="1" applyBorder="1" applyAlignment="1">
      <alignment horizontal="right"/>
    </xf>
    <xf numFmtId="171" fontId="269" fillId="0" borderId="69" xfId="10546" applyNumberFormat="1" applyFont="1" applyFill="1" applyBorder="1" applyAlignment="1">
      <alignment horizontal="right"/>
    </xf>
    <xf numFmtId="171" fontId="269" fillId="0" borderId="0" xfId="10546" applyNumberFormat="1" applyFont="1" applyFill="1" applyBorder="1" applyAlignment="1">
      <alignment horizontal="right"/>
    </xf>
    <xf numFmtId="37" fontId="269" fillId="74" borderId="69" xfId="10545" applyNumberFormat="1" applyFont="1" applyFill="1" applyBorder="1" applyAlignment="1">
      <alignment horizontal="right"/>
    </xf>
    <xf numFmtId="0" fontId="269" fillId="83" borderId="0" xfId="10549" applyFont="1" applyFill="1" applyAlignment="1">
      <alignment horizontal="left"/>
    </xf>
    <xf numFmtId="0" fontId="269" fillId="83" borderId="0" xfId="10549" applyFont="1" applyFill="1" applyAlignment="1">
      <alignment horizontal="center"/>
    </xf>
    <xf numFmtId="37" fontId="269" fillId="0" borderId="0" xfId="10545" applyNumberFormat="1" applyFont="1"/>
    <xf numFmtId="175" fontId="269" fillId="0" borderId="69" xfId="10545" applyNumberFormat="1" applyFont="1" applyBorder="1"/>
    <xf numFmtId="175" fontId="269" fillId="0" borderId="0" xfId="10545" applyNumberFormat="1" applyFont="1"/>
    <xf numFmtId="175" fontId="269" fillId="0" borderId="70" xfId="10545" applyNumberFormat="1" applyFont="1" applyBorder="1"/>
    <xf numFmtId="0" fontId="269" fillId="0" borderId="9" xfId="10545" applyFont="1" applyBorder="1"/>
    <xf numFmtId="0" fontId="269" fillId="0" borderId="70" xfId="10545" applyFont="1" applyBorder="1"/>
    <xf numFmtId="267" fontId="269" fillId="81" borderId="69" xfId="1977" applyNumberFormat="1" applyFont="1" applyFill="1" applyBorder="1" applyAlignment="1">
      <alignment horizontal="right"/>
    </xf>
    <xf numFmtId="9" fontId="269" fillId="81" borderId="69" xfId="1977" applyNumberFormat="1" applyFont="1" applyFill="1" applyBorder="1"/>
    <xf numFmtId="171" fontId="267" fillId="0" borderId="69" xfId="1977" applyNumberFormat="1" applyFont="1" applyFill="1" applyBorder="1" applyAlignment="1">
      <alignment horizontal="right"/>
    </xf>
    <xf numFmtId="173" fontId="269" fillId="0" borderId="69" xfId="10546" applyNumberFormat="1" applyFont="1" applyFill="1" applyBorder="1"/>
    <xf numFmtId="171" fontId="12" fillId="0" borderId="69" xfId="1977" applyNumberFormat="1" applyFont="1" applyFill="1" applyBorder="1" applyAlignment="1">
      <alignment horizontal="right"/>
    </xf>
    <xf numFmtId="9" fontId="269" fillId="81" borderId="69" xfId="1977" applyFont="1" applyFill="1" applyBorder="1" applyAlignment="1">
      <alignment horizontal="right"/>
    </xf>
    <xf numFmtId="291" fontId="269" fillId="0" borderId="69" xfId="10545" applyNumberFormat="1" applyFont="1" applyBorder="1"/>
    <xf numFmtId="9" fontId="269" fillId="0" borderId="69" xfId="1977" applyFont="1" applyBorder="1"/>
    <xf numFmtId="176" fontId="269" fillId="0" borderId="69" xfId="10545" applyNumberFormat="1" applyFont="1" applyBorder="1"/>
    <xf numFmtId="176" fontId="269" fillId="0" borderId="70" xfId="10545" applyNumberFormat="1" applyFont="1" applyBorder="1"/>
    <xf numFmtId="176" fontId="270" fillId="0" borderId="69" xfId="10545" applyNumberFormat="1" applyFont="1" applyBorder="1"/>
    <xf numFmtId="173" fontId="269" fillId="0" borderId="69" xfId="10545" applyNumberFormat="1" applyFont="1" applyFill="1" applyBorder="1" applyAlignment="1">
      <alignment horizontal="center" wrapText="1"/>
    </xf>
    <xf numFmtId="171" fontId="269" fillId="81" borderId="69" xfId="1977" applyNumberFormat="1" applyFont="1" applyFill="1" applyBorder="1" applyAlignment="1">
      <alignment horizontal="right" wrapText="1"/>
    </xf>
    <xf numFmtId="173" fontId="269" fillId="81" borderId="69" xfId="10545" applyNumberFormat="1" applyFont="1" applyFill="1" applyBorder="1" applyAlignment="1">
      <alignment horizontal="right" wrapText="1"/>
    </xf>
    <xf numFmtId="173" fontId="269" fillId="0" borderId="69" xfId="10545" applyNumberFormat="1" applyFont="1" applyBorder="1" applyAlignment="1">
      <alignment horizontal="right"/>
    </xf>
    <xf numFmtId="37" fontId="270" fillId="0" borderId="72" xfId="10545" applyNumberFormat="1" applyFont="1" applyBorder="1"/>
    <xf numFmtId="171" fontId="269" fillId="81" borderId="70" xfId="10545" applyNumberFormat="1" applyFont="1" applyFill="1" applyBorder="1"/>
    <xf numFmtId="37" fontId="270" fillId="0" borderId="69" xfId="10545" applyNumberFormat="1" applyFont="1" applyBorder="1"/>
    <xf numFmtId="37" fontId="270" fillId="0" borderId="72" xfId="10545" applyNumberFormat="1" applyFont="1" applyFill="1" applyBorder="1"/>
    <xf numFmtId="37" fontId="269" fillId="0" borderId="69" xfId="27139" applyNumberFormat="1" applyFont="1" applyFill="1" applyBorder="1"/>
    <xf numFmtId="0" fontId="269" fillId="0" borderId="69" xfId="0" applyFont="1" applyBorder="1"/>
    <xf numFmtId="171" fontId="12" fillId="0" borderId="0" xfId="1977" applyNumberFormat="1" applyFont="1"/>
    <xf numFmtId="266" fontId="269" fillId="0" borderId="0" xfId="10545" applyNumberFormat="1" applyFont="1"/>
    <xf numFmtId="175" fontId="269" fillId="0" borderId="9" xfId="10545" applyNumberFormat="1" applyFont="1" applyBorder="1"/>
    <xf numFmtId="0" fontId="254" fillId="75" borderId="61" xfId="3211" applyFont="1" applyFill="1" applyBorder="1" applyAlignment="1">
      <alignment horizontal="center"/>
    </xf>
    <xf numFmtId="0" fontId="254" fillId="75" borderId="44" xfId="3211" applyFont="1" applyFill="1" applyBorder="1" applyAlignment="1">
      <alignment horizontal="center"/>
    </xf>
  </cellXfs>
  <cellStyles count="27144">
    <cellStyle name="_x0013_" xfId="1"/>
    <cellStyle name="-" xfId="2"/>
    <cellStyle name="$" xfId="3"/>
    <cellStyle name="$ &amp; ¢" xfId="4"/>
    <cellStyle name="$ &amp; ¢ 2" xfId="5"/>
    <cellStyle name="$ 1 decimal" xfId="6"/>
    <cellStyle name="$ 10" xfId="7"/>
    <cellStyle name="$ 11" xfId="8"/>
    <cellStyle name="$ 12" xfId="9"/>
    <cellStyle name="$ 13" xfId="10"/>
    <cellStyle name="$ 14" xfId="11"/>
    <cellStyle name="$ 15" xfId="12"/>
    <cellStyle name="$ 16" xfId="13"/>
    <cellStyle name="$ 17" xfId="14"/>
    <cellStyle name="$ 18" xfId="15"/>
    <cellStyle name="$ 19" xfId="16"/>
    <cellStyle name="$ 2" xfId="17"/>
    <cellStyle name="$ 20" xfId="18"/>
    <cellStyle name="$ 21" xfId="19"/>
    <cellStyle name="$ 22" xfId="20"/>
    <cellStyle name="$ 23" xfId="21"/>
    <cellStyle name="$ 24" xfId="22"/>
    <cellStyle name="$ 25" xfId="23"/>
    <cellStyle name="$ 26" xfId="2685"/>
    <cellStyle name="$ 27" xfId="3216"/>
    <cellStyle name="$ 28" xfId="4260"/>
    <cellStyle name="$ 29" xfId="4826"/>
    <cellStyle name="$ 3" xfId="24"/>
    <cellStyle name="$ 30" xfId="6386"/>
    <cellStyle name="$ 31" xfId="6911"/>
    <cellStyle name="$ 32" xfId="18848"/>
    <cellStyle name="$ 33" xfId="10551"/>
    <cellStyle name="$ 4" xfId="25"/>
    <cellStyle name="$ 5" xfId="26"/>
    <cellStyle name="$ 6" xfId="27"/>
    <cellStyle name="$ 7" xfId="28"/>
    <cellStyle name="$ 8" xfId="29"/>
    <cellStyle name="$ 9" xfId="30"/>
    <cellStyle name="$norm" xfId="31"/>
    <cellStyle name="$normbold" xfId="32"/>
    <cellStyle name="%" xfId="33"/>
    <cellStyle name="% 2" xfId="34"/>
    <cellStyle name="% 2 2" xfId="35"/>
    <cellStyle name="% 3" xfId="36"/>
    <cellStyle name="% 3 2" xfId="37"/>
    <cellStyle name="% Growth" xfId="38"/>
    <cellStyle name="% of Revenues" xfId="39"/>
    <cellStyle name="%.00" xfId="40"/>
    <cellStyle name="%.00 2" xfId="41"/>
    <cellStyle name="%_AESA_WIP_ANAtest" xfId="42"/>
    <cellStyle name="%_Estacio_Oficial_ANA_outsource_test" xfId="43"/>
    <cellStyle name="%_Estacio_Oficial_ANA_outsource_test 2" xfId="44"/>
    <cellStyle name="%_Estacio_Oficial_ANA_outsource_test_2" xfId="45"/>
    <cellStyle name="%_Estacio_Oficial_ANA_outsource_test_2 2" xfId="46"/>
    <cellStyle name="%_WORKING_prjcsmg2007_new" xfId="47"/>
    <cellStyle name="%_WORKING_prjcsmg2007_new 2" xfId="48"/>
    <cellStyle name="??" xfId="49"/>
    <cellStyle name="?? [0.00]_HELPDESK" xfId="50"/>
    <cellStyle name="?? [0]_??" xfId="51"/>
    <cellStyle name="?? 10" xfId="52"/>
    <cellStyle name="?? 11" xfId="53"/>
    <cellStyle name="?? 12" xfId="54"/>
    <cellStyle name="?? 13" xfId="55"/>
    <cellStyle name="?? 14" xfId="56"/>
    <cellStyle name="?? 15" xfId="57"/>
    <cellStyle name="?? 16" xfId="58"/>
    <cellStyle name="?? 17" xfId="59"/>
    <cellStyle name="?? 18" xfId="60"/>
    <cellStyle name="?? 19" xfId="61"/>
    <cellStyle name="?? 2" xfId="62"/>
    <cellStyle name="?? 20" xfId="63"/>
    <cellStyle name="?? 21" xfId="64"/>
    <cellStyle name="?? 22" xfId="65"/>
    <cellStyle name="?? 23" xfId="66"/>
    <cellStyle name="?? 24" xfId="67"/>
    <cellStyle name="?? 25" xfId="68"/>
    <cellStyle name="?? 26" xfId="2686"/>
    <cellStyle name="?? 27" xfId="3217"/>
    <cellStyle name="?? 28" xfId="4261"/>
    <cellStyle name="?? 29" xfId="4824"/>
    <cellStyle name="?? 3" xfId="69"/>
    <cellStyle name="?? 30" xfId="6387"/>
    <cellStyle name="?? 31" xfId="6910"/>
    <cellStyle name="?? 32" xfId="18849"/>
    <cellStyle name="?? 33" xfId="10552"/>
    <cellStyle name="?? 4" xfId="70"/>
    <cellStyle name="?? 5" xfId="71"/>
    <cellStyle name="?? 6" xfId="72"/>
    <cellStyle name="?? 7" xfId="73"/>
    <cellStyle name="?? 8" xfId="74"/>
    <cellStyle name="?? 9" xfId="75"/>
    <cellStyle name="???? [0.00]_HELPDESK" xfId="76"/>
    <cellStyle name="?????_VERA" xfId="77"/>
    <cellStyle name="????_GTParentheet" xfId="78"/>
    <cellStyle name="??_?.????" xfId="79"/>
    <cellStyle name="?Q\?1@" xfId="80"/>
    <cellStyle name="_%(SignOnly)" xfId="81"/>
    <cellStyle name="_%(SignSpaceOnly)" xfId="82"/>
    <cellStyle name="_9952 formal model(070322)-1" xfId="83"/>
    <cellStyle name="_9952 formal model(070322)-1 2" xfId="84"/>
    <cellStyle name="_CFA10" xfId="85"/>
    <cellStyle name="_CFA10 2" xfId="86"/>
    <cellStyle name="_CFA4" xfId="87"/>
    <cellStyle name="_CFA4 2" xfId="88"/>
    <cellStyle name="_Comma" xfId="89"/>
    <cellStyle name="_Cremer Model" xfId="90"/>
    <cellStyle name="_Currency" xfId="91"/>
    <cellStyle name="_Currency_LCY Model jh (2)" xfId="92"/>
    <cellStyle name="_Currency_Sheet1" xfId="93"/>
    <cellStyle name="_Currency_UK Interest Rates" xfId="94"/>
    <cellStyle name="_Currency_UK Interest Rates 3" xfId="95"/>
    <cellStyle name="_CurrencySpace" xfId="96"/>
    <cellStyle name="_CurrencySpace 2" xfId="97"/>
    <cellStyle name="_DA" xfId="98"/>
    <cellStyle name="_Distribution" xfId="99"/>
    <cellStyle name="_DPA" xfId="100"/>
    <cellStyle name="_EPS" xfId="101"/>
    <cellStyle name="_EPS 2" xfId="102"/>
    <cellStyle name="_EPS1" xfId="103"/>
    <cellStyle name="_EPS1 2" xfId="104"/>
    <cellStyle name="_Euro" xfId="105"/>
    <cellStyle name="_FlxCxRod-V5" xfId="106"/>
    <cellStyle name="_FSA - ME - FINAL (2)1" xfId="107"/>
    <cellStyle name="_FSA - ME - FINAL (2)1 2" xfId="108"/>
    <cellStyle name="_Heading" xfId="109"/>
    <cellStyle name="_Highlight" xfId="110"/>
    <cellStyle name="_IV6" xfId="111"/>
    <cellStyle name="_IV6 2" xfId="112"/>
    <cellStyle name="_JapaneseCatalog" xfId="113"/>
    <cellStyle name="_Macrodata_Brasil" xfId="114"/>
    <cellStyle name="_Macrodata_Brasil 2" xfId="115"/>
    <cellStyle name="_Magnesita Model 2" xfId="116"/>
    <cellStyle name="_Magnesita Model 2 2" xfId="117"/>
    <cellStyle name="_Metrics1" xfId="118"/>
    <cellStyle name="_Metrics1 2" xfId="119"/>
    <cellStyle name="_Metrics11" xfId="120"/>
    <cellStyle name="_Metrics11 2" xfId="121"/>
    <cellStyle name="_Metrics13" xfId="122"/>
    <cellStyle name="_Metrics13 2" xfId="123"/>
    <cellStyle name="_Metrics3" xfId="124"/>
    <cellStyle name="_Metrics3 2" xfId="125"/>
    <cellStyle name="_Metrics5" xfId="126"/>
    <cellStyle name="_Metrics5 2" xfId="127"/>
    <cellStyle name="_Metrics7" xfId="128"/>
    <cellStyle name="_Metrics7 2" xfId="129"/>
    <cellStyle name="_Metrics9" xfId="130"/>
    <cellStyle name="_Metrics9 2" xfId="131"/>
    <cellStyle name="_Modelware" xfId="132"/>
    <cellStyle name="_Modelware 2" xfId="133"/>
    <cellStyle name="_Multiple" xfId="134"/>
    <cellStyle name="_Multiple_04 Edital Appendix 4 and 8 (3)" xfId="135"/>
    <cellStyle name="_MultipleSpace" xfId="136"/>
    <cellStyle name="_MultipleSpace_04 Edital Appendix 4 and 8 (3)" xfId="137"/>
    <cellStyle name="_MW FDS" xfId="138"/>
    <cellStyle name="_MW_CFA" xfId="139"/>
    <cellStyle name="_MW_CFA 2" xfId="140"/>
    <cellStyle name="_MWA RR" xfId="141"/>
    <cellStyle name="_MWAnalytics" xfId="142"/>
    <cellStyle name="_MWAnalytics 2" xfId="143"/>
    <cellStyle name="_MWAnalytics_1" xfId="144"/>
    <cellStyle name="_MWAnalytics_1_AESA_WIP_ANAtest" xfId="145"/>
    <cellStyle name="_MWAnalytics_1_Estacio_Oficial_ANA_outsource_test" xfId="146"/>
    <cellStyle name="_MWAnalytics_1_Estacio_Oficial_ANA_outsource_test_2" xfId="147"/>
    <cellStyle name="_MWAnalytics_1_WORKING_prjcsmg2007_new" xfId="148"/>
    <cellStyle name="_MWAnalytics_v2" xfId="149"/>
    <cellStyle name="_MWAnalytics_v2 2" xfId="150"/>
    <cellStyle name="_Pot_energia assegurada" xfId="151"/>
    <cellStyle name="_ROE2" xfId="152"/>
    <cellStyle name="_ROE2 2" xfId="153"/>
    <cellStyle name="_ROE4" xfId="154"/>
    <cellStyle name="_ROE4 2" xfId="155"/>
    <cellStyle name="_ROE8" xfId="156"/>
    <cellStyle name="_ROE8 2" xfId="157"/>
    <cellStyle name="_RRS1" xfId="158"/>
    <cellStyle name="_RRS1 2" xfId="159"/>
    <cellStyle name="_RRS10" xfId="160"/>
    <cellStyle name="_RRS10 2" xfId="161"/>
    <cellStyle name="_RRS10_1" xfId="162"/>
    <cellStyle name="_RRS11" xfId="163"/>
    <cellStyle name="_RRS11 2" xfId="164"/>
    <cellStyle name="_RRS12" xfId="165"/>
    <cellStyle name="_RRS12 2" xfId="166"/>
    <cellStyle name="_RRS13" xfId="167"/>
    <cellStyle name="_RRS14" xfId="168"/>
    <cellStyle name="_RRS14 2" xfId="169"/>
    <cellStyle name="_RRS16" xfId="170"/>
    <cellStyle name="_RRS16 2" xfId="171"/>
    <cellStyle name="_RRS17" xfId="172"/>
    <cellStyle name="_RRS17 2" xfId="173"/>
    <cellStyle name="_RRS21" xfId="174"/>
    <cellStyle name="_RRS21 2" xfId="175"/>
    <cellStyle name="_RRS25" xfId="176"/>
    <cellStyle name="_RRS25 2" xfId="177"/>
    <cellStyle name="_RRS33" xfId="178"/>
    <cellStyle name="_RRS33 2" xfId="179"/>
    <cellStyle name="_RRS38" xfId="180"/>
    <cellStyle name="_RRS38 2" xfId="181"/>
    <cellStyle name="_RRS4" xfId="182"/>
    <cellStyle name="_RRS4 2" xfId="183"/>
    <cellStyle name="_RRS5" xfId="184"/>
    <cellStyle name="_RRS5 2" xfId="185"/>
    <cellStyle name="_RRS6" xfId="186"/>
    <cellStyle name="_RRS6 2" xfId="187"/>
    <cellStyle name="_RRS7" xfId="188"/>
    <cellStyle name="_RRS7 2" xfId="189"/>
    <cellStyle name="_ShtReferance" xfId="190"/>
    <cellStyle name="_ShtReferance_AESA_WIP_ANAtest" xfId="191"/>
    <cellStyle name="_ShtReferance_Estacio_Oficial_ANA_outsource_test" xfId="192"/>
    <cellStyle name="_ShtReferance_Estacio_Oficial_ANA_outsource_test_2" xfId="193"/>
    <cellStyle name="_ShtReferance_WORKING_prjcsmg2007_new" xfId="194"/>
    <cellStyle name="_SubHeading" xfId="195"/>
    <cellStyle name="_Subo" xfId="196"/>
    <cellStyle name="_Subo_AESA_WIP_ANAtest" xfId="197"/>
    <cellStyle name="_Subo_Estacio_Oficial_ANA_outsource_test" xfId="198"/>
    <cellStyle name="_Subo_Estacio_Oficial_ANA_outsource_test_2" xfId="199"/>
    <cellStyle name="_Subo_Prjcmi2006" xfId="200"/>
    <cellStyle name="_Subo_Prjcmi2006_Estacio_Oficial_ANA_outsource_test" xfId="201"/>
    <cellStyle name="_Subo_Prjcmi2006_SEB_Oficial_ANA_outsource_test" xfId="202"/>
    <cellStyle name="_Subo_Prjcmi2006_SEB_Oficial_ANA_outsource_test 2" xfId="203"/>
    <cellStyle name="_Subo_Prjcmi2006_SEB_Oficial_ANA_outsource_test_Rossi Model - Official" xfId="204"/>
    <cellStyle name="_Subo_Prjcmi2007_SOTP_new" xfId="205"/>
    <cellStyle name="_Subo_Prjcmi2007_SOTP_new_Estacio_Oficial_ANA_outsource_test" xfId="206"/>
    <cellStyle name="_Subo_Prjcmi2007_SOTP_new_SEB_Oficial_ANA_outsource_test" xfId="207"/>
    <cellStyle name="_Subo_Prjcmi2007_SOTP_new_SEB_Oficial_ANA_outsource_test 2" xfId="208"/>
    <cellStyle name="_Subo_Prjcmi2007_SOTP_new_SEB_Oficial_ANA_outsource_test_Rossi Model - Official" xfId="209"/>
    <cellStyle name="_Subo_prjcpl2007_SOTP_new" xfId="210"/>
    <cellStyle name="_Subo_prjcpl2007_SOTP_new_Estacio_Oficial_ANA_outsource_test" xfId="211"/>
    <cellStyle name="_Subo_prjcpl2007_SOTP_new_SEB_Oficial_ANA_outsource_test" xfId="212"/>
    <cellStyle name="_Subo_prjcpl2007_SOTP_new_SEB_Oficial_ANA_outsource_test 2" xfId="213"/>
    <cellStyle name="_Subo_prjcpl2007_SOTP_new_SEB_Oficial_ANA_outsource_test_Rossi Model - Official" xfId="214"/>
    <cellStyle name="_Subo_prjele2007_new" xfId="215"/>
    <cellStyle name="_Subo_prjget2005" xfId="216"/>
    <cellStyle name="_Subo_prjget2007" xfId="217"/>
    <cellStyle name="_Subo_prjtbl2005" xfId="218"/>
    <cellStyle name="_Subo_SEB_Oficial_ANA_outsource_test" xfId="219"/>
    <cellStyle name="_Subo_SEB_Oficial_ANA_outsource_test 2" xfId="220"/>
    <cellStyle name="_Subo_SEB_Oficial_ANA_outsource_test_Rossi Model - Official" xfId="221"/>
    <cellStyle name="_Subo_WORKING Prjcmi2007_SOTP_new" xfId="222"/>
    <cellStyle name="_Subo_WORKING Prjcmi2007_SOTP_new_Estacio_Oficial_ANA_outsource_test" xfId="223"/>
    <cellStyle name="_Subo_WORKING Prjcmi2007_SOTP_new_SEB_Oficial_ANA_outsource_test" xfId="224"/>
    <cellStyle name="_Subo_WORKING Prjcmi2007_SOTP_new_SEB_Oficial_ANA_outsource_test 2" xfId="225"/>
    <cellStyle name="_Subo_WORKING Prjcmi2007_SOTP_new_SEB_Oficial_ANA_outsource_test_Rossi Model - Official" xfId="226"/>
    <cellStyle name="_Subo_WORKING prjcsp2007_new" xfId="227"/>
    <cellStyle name="_Subo_WORKING prjedp2007_new" xfId="228"/>
    <cellStyle name="_Subo_WORKING prjedp2007_new_Estacio_Oficial_ANA_outsource_test" xfId="229"/>
    <cellStyle name="_Subo_WORKING prjedp2007_new_SEB_Oficial_ANA_outsource_test" xfId="230"/>
    <cellStyle name="_Subo_WORKING prjedp2007_new_SEB_Oficial_ANA_outsource_test 2" xfId="231"/>
    <cellStyle name="_Subo_WORKING prjedp2007_new_SEB_Oficial_ANA_outsource_test_Rossi Model - Official" xfId="232"/>
    <cellStyle name="_Subo_WORKING PRJelp2007_new" xfId="233"/>
    <cellStyle name="_Subo_WORKING prjeqt2007_new" xfId="234"/>
    <cellStyle name="_Subo_WORKING prjget2007_new" xfId="235"/>
    <cellStyle name="_Subo_WORKING prjget42007_new" xfId="236"/>
    <cellStyle name="_Subo_WORKING prjtbl2007_new" xfId="237"/>
    <cellStyle name="_Subo_WORKING_prjcsmg2007_new" xfId="238"/>
    <cellStyle name="_SUMMARY " xfId="239"/>
    <cellStyle name="_SY Earnings(Labor cost)" xfId="240"/>
    <cellStyle name="_SY Earnings(Labor cost) 2" xfId="241"/>
    <cellStyle name="_Table" xfId="242"/>
    <cellStyle name="_Table_08 WPD Model" xfId="243"/>
    <cellStyle name="_Table_Simplified Cash Flow Template - 2" xfId="244"/>
    <cellStyle name="_TableHead" xfId="245"/>
    <cellStyle name="_TableHead_01 Egeo Analysis (3)" xfId="246"/>
    <cellStyle name="_TableHead_04 Edital Appendix 4 and 8 (3)" xfId="247"/>
    <cellStyle name="_TableHead_07 Model (FG)" xfId="248"/>
    <cellStyle name="_TableHead_08 WPD Model" xfId="249"/>
    <cellStyle name="_TableHead_Final Traffic and Revenue Growth" xfId="250"/>
    <cellStyle name="_TableHead_LCY Model jh (2)" xfId="251"/>
    <cellStyle name="_TableHead_Matador Equity Tabs" xfId="252"/>
    <cellStyle name="_TableHead_Rates Grid" xfId="253"/>
    <cellStyle name="_TableHead_Simplified Cash Flow Template - 2" xfId="254"/>
    <cellStyle name="_TableHead_Traffic sensitivities" xfId="255"/>
    <cellStyle name="_TableRowHead" xfId="256"/>
    <cellStyle name="_TableRowHead_07 Model (FG)" xfId="257"/>
    <cellStyle name="_TableSuperHead" xfId="258"/>
    <cellStyle name="_TableSuperHead_07 Model (FG)" xfId="259"/>
    <cellStyle name="_TemplateSheets" xfId="260"/>
    <cellStyle name="_TemplateSheets_AESA_WIP_ANAtest" xfId="261"/>
    <cellStyle name="_TemplateSheets_Estacio_Oficial_ANA_outsource_test" xfId="262"/>
    <cellStyle name="_TemplateSheets_Estacio_Oficial_ANA_outsource_test_2" xfId="263"/>
    <cellStyle name="_TemplateSheets_WORKING_prjcsmg2007_new" xfId="264"/>
    <cellStyle name="_WORKING prjget2007_new" xfId="265"/>
    <cellStyle name="_WORKING prjget2007_new 2" xfId="266"/>
    <cellStyle name="_WORKING_prjcsmg2007_new" xfId="267"/>
    <cellStyle name="_WORKINGseb_new_ANA" xfId="268"/>
    <cellStyle name="’Ê‰Ý [0.00]_COMPANY" xfId="269"/>
    <cellStyle name="’Ê‰Ý_COMPANY" xfId="270"/>
    <cellStyle name="“ú–{Œê" xfId="271"/>
    <cellStyle name="=C:\WINNT35\SYSTEM32\COMMAND.COM" xfId="272"/>
    <cellStyle name="£ BP" xfId="273"/>
    <cellStyle name="¥ JY" xfId="274"/>
    <cellStyle name="•W_EditLog" xfId="275"/>
    <cellStyle name="•W€_Comparables" xfId="276"/>
    <cellStyle name="0" xfId="277"/>
    <cellStyle name="0%" xfId="278"/>
    <cellStyle name="0.0" xfId="279"/>
    <cellStyle name="0.0%" xfId="280"/>
    <cellStyle name="0.0_40050504 (pension)" xfId="281"/>
    <cellStyle name="0.00" xfId="282"/>
    <cellStyle name="0.00%" xfId="283"/>
    <cellStyle name="0.00_40050504 (pension)" xfId="284"/>
    <cellStyle name="0_40050504 (pension)" xfId="285"/>
    <cellStyle name="0_40050504 (pension) 2" xfId="286"/>
    <cellStyle name="0_40050504 (pension)_Estacio_Oficial_ANA_outsource_test" xfId="287"/>
    <cellStyle name="0_40050504 (pension)_Estacio_Oficial_ANA_outsource_test 2" xfId="288"/>
    <cellStyle name="0_40050504 (pension)_Estacio_Oficial_ANA_outsource_test_Rossi Model - Official" xfId="289"/>
    <cellStyle name="0_40050504 (pension)_Rossi Model - Official" xfId="290"/>
    <cellStyle name="0_9952 formal model(070322)-1" xfId="291"/>
    <cellStyle name="0_9952 formal model(070322)-1 2" xfId="292"/>
    <cellStyle name="0_9952 formal model(070322)-1_Estacio_Oficial_ANA_outsource_test" xfId="293"/>
    <cellStyle name="0_9952 formal model(070322)-1_Estacio_Oficial_ANA_outsource_test 2" xfId="294"/>
    <cellStyle name="0_9952 formal model(070322)-1_Estacio_Oficial_ANA_outsource_test_Rossi Model - Official" xfId="295"/>
    <cellStyle name="0_9952 formal model(070322)-1_Rossi Model - Official" xfId="296"/>
    <cellStyle name="0_bs" xfId="297"/>
    <cellStyle name="0_bs_Estacio_Oficial_ANA_outsource_test" xfId="298"/>
    <cellStyle name="0_bs_SEB_Oficial_ANA_outsource_test" xfId="299"/>
    <cellStyle name="0_bs_SEB_Oficial_ANA_outsource_test 2" xfId="300"/>
    <cellStyle name="0_bs_SEB_Oficial_ANA_outsource_test_Rossi Model - Official" xfId="301"/>
    <cellStyle name="0_Capex &amp; Depreciation " xfId="302"/>
    <cellStyle name="0_ConsensusPanel_v20080325 (2)" xfId="303"/>
    <cellStyle name="0_Conso-inc" xfId="304"/>
    <cellStyle name="0_Conso-inc_Estacio_Oficial_ANA_outsource_test" xfId="305"/>
    <cellStyle name="0_Conso-inc_SEB_Oficial_ANA_outsource_test" xfId="306"/>
    <cellStyle name="0_Conso-inc_SEB_Oficial_ANA_outsource_test 2" xfId="307"/>
    <cellStyle name="0_Conso-inc_SEB_Oficial_ANA_outsource_test_Rossi Model - Official" xfId="308"/>
    <cellStyle name="0_Estacio_Oficial_ANA_outsource_test" xfId="309"/>
    <cellStyle name="0_external_link" xfId="310"/>
    <cellStyle name="0_external_link 2" xfId="311"/>
    <cellStyle name="0_external_link_Rossi Model - Official" xfId="312"/>
    <cellStyle name="0_FSA - ME - FINAL (2)1" xfId="313"/>
    <cellStyle name="0_geconsensusv1" xfId="314"/>
    <cellStyle name="0_IV2" xfId="315"/>
    <cellStyle name="0_IV2 2" xfId="316"/>
    <cellStyle name="0_IV2_Rossi Model - Official" xfId="317"/>
    <cellStyle name="0_IV6" xfId="318"/>
    <cellStyle name="0_IV6 2" xfId="319"/>
    <cellStyle name="0_IV6_Rossi Model - Official" xfId="320"/>
    <cellStyle name="0_Japan Pension Module Sumitomo Chemical" xfId="321"/>
    <cellStyle name="0_Japan Pension Module Sumitomo Chemical 2" xfId="322"/>
    <cellStyle name="0_Japan Pension Module Sumitomo Chemical_Estacio_Oficial_ANA_outsource_test" xfId="323"/>
    <cellStyle name="0_Japan Pension Module Sumitomo Chemical_Estacio_Oficial_ANA_outsource_test 2" xfId="324"/>
    <cellStyle name="0_Japan Pension Module Sumitomo Chemical_Estacio_Oficial_ANA_outsource_test_Rossi Model - Official" xfId="325"/>
    <cellStyle name="0_Japan Pension Module Sumitomo Chemical_Rossi Model - Official" xfId="326"/>
    <cellStyle name="0_JapaneseCatalog" xfId="327"/>
    <cellStyle name="0_Lonmin_request" xfId="328"/>
    <cellStyle name="0_Lonmin_request_Estacio_Oficial_ANA_outsource_test" xfId="329"/>
    <cellStyle name="0_Lonmin_request_SEB_Oficial_ANA_outsource_test" xfId="330"/>
    <cellStyle name="0_Lonmin_request_SEB_Oficial_ANA_outsource_test 2" xfId="331"/>
    <cellStyle name="0_Lonmin_request_SEB_Oficial_ANA_outsource_test_Rossi Model - Official" xfId="332"/>
    <cellStyle name="0_MW PEV Model" xfId="333"/>
    <cellStyle name="0_MWAnalytics" xfId="334"/>
    <cellStyle name="0_MWAnalytics_Estacio_Oficial_ANA_outsource_test" xfId="335"/>
    <cellStyle name="0_MWAnalytics_SEB_Oficial_ANA_outsource_test" xfId="336"/>
    <cellStyle name="0_MWAnalytics_SEB_Oficial_ANA_outsource_test 2" xfId="337"/>
    <cellStyle name="0_MWAnalytics_SEB_Oficial_ANA_outsource_test_Rossi Model - Official" xfId="338"/>
    <cellStyle name="0_MWAnalytics_v2" xfId="339"/>
    <cellStyle name="0_MWAnalytics_v2_Estacio_Oficial_ANA_outsource_test" xfId="340"/>
    <cellStyle name="0_MWAnalytics_v2_SEB_Oficial_ANA_outsource_test" xfId="341"/>
    <cellStyle name="0_MWAnalytics_v2_SEB_Oficial_ANA_outsource_test 2" xfId="342"/>
    <cellStyle name="0_MWAnalytics_v2_SEB_Oficial_ANA_outsource_test_Rossi Model - Official" xfId="343"/>
    <cellStyle name="0_Profarma Model 3Q08" xfId="344"/>
    <cellStyle name="0_Profarma Model 3Q08 2" xfId="345"/>
    <cellStyle name="0_Profarma Model 3Q08_Rossi Model - Official" xfId="346"/>
    <cellStyle name="0_Rio_main" xfId="347"/>
    <cellStyle name="0_Rio_main_Estacio_Oficial_ANA_outsource_test" xfId="348"/>
    <cellStyle name="0_Rio_main_SEB_Oficial_ANA_outsource_test" xfId="349"/>
    <cellStyle name="0_Rio_main_SEB_Oficial_ANA_outsource_test 2" xfId="350"/>
    <cellStyle name="0_Rio_main_SEB_Oficial_ANA_outsource_test_Rossi Model - Official" xfId="351"/>
    <cellStyle name="0_ROE2" xfId="352"/>
    <cellStyle name="0_ROE2 2" xfId="353"/>
    <cellStyle name="0_ROE2_Rossi Model - Official" xfId="354"/>
    <cellStyle name="0_ROE4" xfId="355"/>
    <cellStyle name="0_ROE4 2" xfId="356"/>
    <cellStyle name="0_ROE4_Rossi Model - Official" xfId="357"/>
    <cellStyle name="0_SEB_Oficial_ANA_outsource_test" xfId="358"/>
    <cellStyle name="0_SEB_Oficial_ANA_outsource_test 2" xfId="359"/>
    <cellStyle name="0_SEB_Oficial_ANA_outsource_test_Rossi Model - Official" xfId="360"/>
    <cellStyle name="0_ShtReferance" xfId="361"/>
    <cellStyle name="0_ShtReferance_Estacio_Oficial_ANA_outsource_test" xfId="362"/>
    <cellStyle name="0_ShtReferance_SEB_Oficial_ANA_outsource_test" xfId="363"/>
    <cellStyle name="0_ShtReferance_SEB_Oficial_ANA_outsource_test 2" xfId="364"/>
    <cellStyle name="0_ShtReferance_SEB_Oficial_ANA_outsource_test_Rossi Model - Official" xfId="365"/>
    <cellStyle name="0_SmartChart_C3800(1)" xfId="366"/>
    <cellStyle name="0_TemplateSheets" xfId="367"/>
    <cellStyle name="0_TemplateSheets_Estacio_Oficial_ANA_outsource_test" xfId="368"/>
    <cellStyle name="0_TemplateSheets_SEB_Oficial_ANA_outsource_test" xfId="369"/>
    <cellStyle name="0_TemplateSheets_SEB_Oficial_ANA_outsource_test 2" xfId="370"/>
    <cellStyle name="0_TemplateSheets_SEB_Oficial_ANA_outsource_test_Rossi Model - Official" xfId="371"/>
    <cellStyle name="0_Valuing BP " xfId="372"/>
    <cellStyle name="0_Yardstick2012" xfId="373"/>
    <cellStyle name="0_Yardstick2012 2" xfId="374"/>
    <cellStyle name="0_Yardstick2012_Rossi Model - Official" xfId="375"/>
    <cellStyle name="1" xfId="376"/>
    <cellStyle name="1,comma" xfId="377"/>
    <cellStyle name="20% - Accent1" xfId="378" builtinId="30" customBuiltin="1"/>
    <cellStyle name="20% - Accent1 2" xfId="379"/>
    <cellStyle name="20% - Accent1 2 2" xfId="380"/>
    <cellStyle name="20% - Accent1 2 2 2" xfId="381"/>
    <cellStyle name="20% - Accent1 2 2 2 2" xfId="2689"/>
    <cellStyle name="20% - Accent1 2 2 2 2 2" xfId="3740"/>
    <cellStyle name="20% - Accent1 2 2 2 2 2 2" xfId="5865"/>
    <cellStyle name="20% - Accent1 2 2 2 2 2 2 2" xfId="10021"/>
    <cellStyle name="20% - Accent1 2 2 2 2 2 2 2 2" xfId="26618"/>
    <cellStyle name="20% - Accent1 2 2 2 2 2 2 2 3" xfId="18321"/>
    <cellStyle name="20% - Accent1 2 2 2 2 2 2 3" xfId="22478"/>
    <cellStyle name="20% - Accent1 2 2 2 2 2 2 4" xfId="14181"/>
    <cellStyle name="20% - Accent1 2 2 2 2 2 3" xfId="7949"/>
    <cellStyle name="20% - Accent1 2 2 2 2 2 3 2" xfId="24546"/>
    <cellStyle name="20% - Accent1 2 2 2 2 2 3 3" xfId="16249"/>
    <cellStyle name="20% - Accent1 2 2 2 2 2 4" xfId="20406"/>
    <cellStyle name="20% - Accent1 2 2 2 2 2 5" xfId="12109"/>
    <cellStyle name="20% - Accent1 2 2 2 2 3" xfId="4831"/>
    <cellStyle name="20% - Accent1 2 2 2 2 3 2" xfId="8987"/>
    <cellStyle name="20% - Accent1 2 2 2 2 3 2 2" xfId="25584"/>
    <cellStyle name="20% - Accent1 2 2 2 2 3 2 3" xfId="17287"/>
    <cellStyle name="20% - Accent1 2 2 2 2 3 3" xfId="21444"/>
    <cellStyle name="20% - Accent1 2 2 2 2 3 4" xfId="13147"/>
    <cellStyle name="20% - Accent1 2 2 2 2 4" xfId="6915"/>
    <cellStyle name="20% - Accent1 2 2 2 2 4 2" xfId="23512"/>
    <cellStyle name="20% - Accent1 2 2 2 2 4 3" xfId="15215"/>
    <cellStyle name="20% - Accent1 2 2 2 2 5" xfId="19372"/>
    <cellStyle name="20% - Accent1 2 2 2 2 6" xfId="11075"/>
    <cellStyle name="20% - Accent1 2 2 2 3" xfId="3220"/>
    <cellStyle name="20% - Accent1 2 2 2 3 2" xfId="5350"/>
    <cellStyle name="20% - Accent1 2 2 2 3 2 2" xfId="9506"/>
    <cellStyle name="20% - Accent1 2 2 2 3 2 2 2" xfId="26103"/>
    <cellStyle name="20% - Accent1 2 2 2 3 2 2 3" xfId="17806"/>
    <cellStyle name="20% - Accent1 2 2 2 3 2 3" xfId="21963"/>
    <cellStyle name="20% - Accent1 2 2 2 3 2 4" xfId="13666"/>
    <cellStyle name="20% - Accent1 2 2 2 3 3" xfId="7434"/>
    <cellStyle name="20% - Accent1 2 2 2 3 3 2" xfId="24031"/>
    <cellStyle name="20% - Accent1 2 2 2 3 3 3" xfId="15734"/>
    <cellStyle name="20% - Accent1 2 2 2 3 4" xfId="19891"/>
    <cellStyle name="20% - Accent1 2 2 2 3 5" xfId="11594"/>
    <cellStyle name="20% - Accent1 2 2 2 4" xfId="4265"/>
    <cellStyle name="20% - Accent1 2 2 2 4 2" xfId="8470"/>
    <cellStyle name="20% - Accent1 2 2 2 4 2 2" xfId="25067"/>
    <cellStyle name="20% - Accent1 2 2 2 4 2 3" xfId="16770"/>
    <cellStyle name="20% - Accent1 2 2 2 4 3" xfId="20927"/>
    <cellStyle name="20% - Accent1 2 2 2 4 4" xfId="12630"/>
    <cellStyle name="20% - Accent1 2 2 2 5" xfId="6390"/>
    <cellStyle name="20% - Accent1 2 2 2 5 2" xfId="22997"/>
    <cellStyle name="20% - Accent1 2 2 2 5 3" xfId="14700"/>
    <cellStyle name="20% - Accent1 2 2 2 6" xfId="18852"/>
    <cellStyle name="20% - Accent1 2 2 2 7" xfId="10555"/>
    <cellStyle name="20% - Accent1 2 2 3" xfId="2688"/>
    <cellStyle name="20% - Accent1 2 2 3 2" xfId="3739"/>
    <cellStyle name="20% - Accent1 2 2 3 2 2" xfId="5864"/>
    <cellStyle name="20% - Accent1 2 2 3 2 2 2" xfId="10020"/>
    <cellStyle name="20% - Accent1 2 2 3 2 2 2 2" xfId="26617"/>
    <cellStyle name="20% - Accent1 2 2 3 2 2 2 3" xfId="18320"/>
    <cellStyle name="20% - Accent1 2 2 3 2 2 3" xfId="22477"/>
    <cellStyle name="20% - Accent1 2 2 3 2 2 4" xfId="14180"/>
    <cellStyle name="20% - Accent1 2 2 3 2 3" xfId="7948"/>
    <cellStyle name="20% - Accent1 2 2 3 2 3 2" xfId="24545"/>
    <cellStyle name="20% - Accent1 2 2 3 2 3 3" xfId="16248"/>
    <cellStyle name="20% - Accent1 2 2 3 2 4" xfId="20405"/>
    <cellStyle name="20% - Accent1 2 2 3 2 5" xfId="12108"/>
    <cellStyle name="20% - Accent1 2 2 3 3" xfId="4830"/>
    <cellStyle name="20% - Accent1 2 2 3 3 2" xfId="8986"/>
    <cellStyle name="20% - Accent1 2 2 3 3 2 2" xfId="25583"/>
    <cellStyle name="20% - Accent1 2 2 3 3 2 3" xfId="17286"/>
    <cellStyle name="20% - Accent1 2 2 3 3 3" xfId="21443"/>
    <cellStyle name="20% - Accent1 2 2 3 3 4" xfId="13146"/>
    <cellStyle name="20% - Accent1 2 2 3 4" xfId="6914"/>
    <cellStyle name="20% - Accent1 2 2 3 4 2" xfId="23511"/>
    <cellStyle name="20% - Accent1 2 2 3 4 3" xfId="15214"/>
    <cellStyle name="20% - Accent1 2 2 3 5" xfId="19371"/>
    <cellStyle name="20% - Accent1 2 2 3 6" xfId="11074"/>
    <cellStyle name="20% - Accent1 2 2 4" xfId="3219"/>
    <cellStyle name="20% - Accent1 2 2 4 2" xfId="5349"/>
    <cellStyle name="20% - Accent1 2 2 4 2 2" xfId="9505"/>
    <cellStyle name="20% - Accent1 2 2 4 2 2 2" xfId="26102"/>
    <cellStyle name="20% - Accent1 2 2 4 2 2 3" xfId="17805"/>
    <cellStyle name="20% - Accent1 2 2 4 2 3" xfId="21962"/>
    <cellStyle name="20% - Accent1 2 2 4 2 4" xfId="13665"/>
    <cellStyle name="20% - Accent1 2 2 4 3" xfId="7433"/>
    <cellStyle name="20% - Accent1 2 2 4 3 2" xfId="24030"/>
    <cellStyle name="20% - Accent1 2 2 4 3 3" xfId="15733"/>
    <cellStyle name="20% - Accent1 2 2 4 4" xfId="19890"/>
    <cellStyle name="20% - Accent1 2 2 4 5" xfId="11593"/>
    <cellStyle name="20% - Accent1 2 2 5" xfId="4264"/>
    <cellStyle name="20% - Accent1 2 2 5 2" xfId="8469"/>
    <cellStyle name="20% - Accent1 2 2 5 2 2" xfId="25066"/>
    <cellStyle name="20% - Accent1 2 2 5 2 3" xfId="16769"/>
    <cellStyle name="20% - Accent1 2 2 5 3" xfId="20926"/>
    <cellStyle name="20% - Accent1 2 2 5 4" xfId="12629"/>
    <cellStyle name="20% - Accent1 2 2 6" xfId="6389"/>
    <cellStyle name="20% - Accent1 2 2 6 2" xfId="22996"/>
    <cellStyle name="20% - Accent1 2 2 6 3" xfId="14699"/>
    <cellStyle name="20% - Accent1 2 2 7" xfId="18851"/>
    <cellStyle name="20% - Accent1 2 2 8" xfId="10554"/>
    <cellStyle name="20% - Accent1 2 3" xfId="382"/>
    <cellStyle name="20% - Accent1 2 3 2" xfId="2690"/>
    <cellStyle name="20% - Accent1 2 3 2 2" xfId="3741"/>
    <cellStyle name="20% - Accent1 2 3 2 2 2" xfId="5866"/>
    <cellStyle name="20% - Accent1 2 3 2 2 2 2" xfId="10022"/>
    <cellStyle name="20% - Accent1 2 3 2 2 2 2 2" xfId="26619"/>
    <cellStyle name="20% - Accent1 2 3 2 2 2 2 3" xfId="18322"/>
    <cellStyle name="20% - Accent1 2 3 2 2 2 3" xfId="22479"/>
    <cellStyle name="20% - Accent1 2 3 2 2 2 4" xfId="14182"/>
    <cellStyle name="20% - Accent1 2 3 2 2 3" xfId="7950"/>
    <cellStyle name="20% - Accent1 2 3 2 2 3 2" xfId="24547"/>
    <cellStyle name="20% - Accent1 2 3 2 2 3 3" xfId="16250"/>
    <cellStyle name="20% - Accent1 2 3 2 2 4" xfId="20407"/>
    <cellStyle name="20% - Accent1 2 3 2 2 5" xfId="12110"/>
    <cellStyle name="20% - Accent1 2 3 2 3" xfId="4832"/>
    <cellStyle name="20% - Accent1 2 3 2 3 2" xfId="8988"/>
    <cellStyle name="20% - Accent1 2 3 2 3 2 2" xfId="25585"/>
    <cellStyle name="20% - Accent1 2 3 2 3 2 3" xfId="17288"/>
    <cellStyle name="20% - Accent1 2 3 2 3 3" xfId="21445"/>
    <cellStyle name="20% - Accent1 2 3 2 3 4" xfId="13148"/>
    <cellStyle name="20% - Accent1 2 3 2 4" xfId="6916"/>
    <cellStyle name="20% - Accent1 2 3 2 4 2" xfId="23513"/>
    <cellStyle name="20% - Accent1 2 3 2 4 3" xfId="15216"/>
    <cellStyle name="20% - Accent1 2 3 2 5" xfId="19373"/>
    <cellStyle name="20% - Accent1 2 3 2 6" xfId="11076"/>
    <cellStyle name="20% - Accent1 2 3 3" xfId="3221"/>
    <cellStyle name="20% - Accent1 2 3 3 2" xfId="5351"/>
    <cellStyle name="20% - Accent1 2 3 3 2 2" xfId="9507"/>
    <cellStyle name="20% - Accent1 2 3 3 2 2 2" xfId="26104"/>
    <cellStyle name="20% - Accent1 2 3 3 2 2 3" xfId="17807"/>
    <cellStyle name="20% - Accent1 2 3 3 2 3" xfId="21964"/>
    <cellStyle name="20% - Accent1 2 3 3 2 4" xfId="13667"/>
    <cellStyle name="20% - Accent1 2 3 3 3" xfId="7435"/>
    <cellStyle name="20% - Accent1 2 3 3 3 2" xfId="24032"/>
    <cellStyle name="20% - Accent1 2 3 3 3 3" xfId="15735"/>
    <cellStyle name="20% - Accent1 2 3 3 4" xfId="19892"/>
    <cellStyle name="20% - Accent1 2 3 3 5" xfId="11595"/>
    <cellStyle name="20% - Accent1 2 3 4" xfId="4266"/>
    <cellStyle name="20% - Accent1 2 3 4 2" xfId="8471"/>
    <cellStyle name="20% - Accent1 2 3 4 2 2" xfId="25068"/>
    <cellStyle name="20% - Accent1 2 3 4 2 3" xfId="16771"/>
    <cellStyle name="20% - Accent1 2 3 4 3" xfId="20928"/>
    <cellStyle name="20% - Accent1 2 3 4 4" xfId="12631"/>
    <cellStyle name="20% - Accent1 2 3 5" xfId="6391"/>
    <cellStyle name="20% - Accent1 2 3 5 2" xfId="22998"/>
    <cellStyle name="20% - Accent1 2 3 5 3" xfId="14701"/>
    <cellStyle name="20% - Accent1 2 3 6" xfId="18853"/>
    <cellStyle name="20% - Accent1 2 3 7" xfId="10556"/>
    <cellStyle name="20% - Accent1 2 4" xfId="2687"/>
    <cellStyle name="20% - Accent1 2 4 2" xfId="3738"/>
    <cellStyle name="20% - Accent1 2 4 2 2" xfId="5863"/>
    <cellStyle name="20% - Accent1 2 4 2 2 2" xfId="10019"/>
    <cellStyle name="20% - Accent1 2 4 2 2 2 2" xfId="26616"/>
    <cellStyle name="20% - Accent1 2 4 2 2 2 3" xfId="18319"/>
    <cellStyle name="20% - Accent1 2 4 2 2 3" xfId="22476"/>
    <cellStyle name="20% - Accent1 2 4 2 2 4" xfId="14179"/>
    <cellStyle name="20% - Accent1 2 4 2 3" xfId="7947"/>
    <cellStyle name="20% - Accent1 2 4 2 3 2" xfId="24544"/>
    <cellStyle name="20% - Accent1 2 4 2 3 3" xfId="16247"/>
    <cellStyle name="20% - Accent1 2 4 2 4" xfId="20404"/>
    <cellStyle name="20% - Accent1 2 4 2 5" xfId="12107"/>
    <cellStyle name="20% - Accent1 2 4 3" xfId="4829"/>
    <cellStyle name="20% - Accent1 2 4 3 2" xfId="8985"/>
    <cellStyle name="20% - Accent1 2 4 3 2 2" xfId="25582"/>
    <cellStyle name="20% - Accent1 2 4 3 2 3" xfId="17285"/>
    <cellStyle name="20% - Accent1 2 4 3 3" xfId="21442"/>
    <cellStyle name="20% - Accent1 2 4 3 4" xfId="13145"/>
    <cellStyle name="20% - Accent1 2 4 4" xfId="6913"/>
    <cellStyle name="20% - Accent1 2 4 4 2" xfId="23510"/>
    <cellStyle name="20% - Accent1 2 4 4 3" xfId="15213"/>
    <cellStyle name="20% - Accent1 2 4 5" xfId="19370"/>
    <cellStyle name="20% - Accent1 2 4 6" xfId="11073"/>
    <cellStyle name="20% - Accent1 2 5" xfId="3218"/>
    <cellStyle name="20% - Accent1 2 5 2" xfId="5348"/>
    <cellStyle name="20% - Accent1 2 5 2 2" xfId="9504"/>
    <cellStyle name="20% - Accent1 2 5 2 2 2" xfId="26101"/>
    <cellStyle name="20% - Accent1 2 5 2 2 3" xfId="17804"/>
    <cellStyle name="20% - Accent1 2 5 2 3" xfId="21961"/>
    <cellStyle name="20% - Accent1 2 5 2 4" xfId="13664"/>
    <cellStyle name="20% - Accent1 2 5 3" xfId="7432"/>
    <cellStyle name="20% - Accent1 2 5 3 2" xfId="24029"/>
    <cellStyle name="20% - Accent1 2 5 3 3" xfId="15732"/>
    <cellStyle name="20% - Accent1 2 5 4" xfId="19889"/>
    <cellStyle name="20% - Accent1 2 5 5" xfId="11592"/>
    <cellStyle name="20% - Accent1 2 6" xfId="4263"/>
    <cellStyle name="20% - Accent1 2 6 2" xfId="8468"/>
    <cellStyle name="20% - Accent1 2 6 2 2" xfId="25065"/>
    <cellStyle name="20% - Accent1 2 6 2 3" xfId="16768"/>
    <cellStyle name="20% - Accent1 2 6 3" xfId="20925"/>
    <cellStyle name="20% - Accent1 2 6 4" xfId="12628"/>
    <cellStyle name="20% - Accent1 2 7" xfId="6388"/>
    <cellStyle name="20% - Accent1 2 7 2" xfId="22995"/>
    <cellStyle name="20% - Accent1 2 7 3" xfId="14698"/>
    <cellStyle name="20% - Accent1 2 8" xfId="18850"/>
    <cellStyle name="20% - Accent1 2 9" xfId="10553"/>
    <cellStyle name="20% - Accent1 3" xfId="383"/>
    <cellStyle name="20% - Accent1 3 2" xfId="384"/>
    <cellStyle name="20% - Accent1 4" xfId="385"/>
    <cellStyle name="20% - Accent1 4 2" xfId="386"/>
    <cellStyle name="20% - Accent1 5" xfId="387"/>
    <cellStyle name="20% - Accent1 6" xfId="4262"/>
    <cellStyle name="20% - Accent2" xfId="388" builtinId="34" customBuiltin="1"/>
    <cellStyle name="20% - Accent2 2" xfId="389"/>
    <cellStyle name="20% - Accent2 2 2" xfId="390"/>
    <cellStyle name="20% - Accent2 2 2 2" xfId="391"/>
    <cellStyle name="20% - Accent2 2 2 2 2" xfId="2693"/>
    <cellStyle name="20% - Accent2 2 2 2 2 2" xfId="3744"/>
    <cellStyle name="20% - Accent2 2 2 2 2 2 2" xfId="5869"/>
    <cellStyle name="20% - Accent2 2 2 2 2 2 2 2" xfId="10025"/>
    <cellStyle name="20% - Accent2 2 2 2 2 2 2 2 2" xfId="26622"/>
    <cellStyle name="20% - Accent2 2 2 2 2 2 2 2 3" xfId="18325"/>
    <cellStyle name="20% - Accent2 2 2 2 2 2 2 3" xfId="22482"/>
    <cellStyle name="20% - Accent2 2 2 2 2 2 2 4" xfId="14185"/>
    <cellStyle name="20% - Accent2 2 2 2 2 2 3" xfId="7953"/>
    <cellStyle name="20% - Accent2 2 2 2 2 2 3 2" xfId="24550"/>
    <cellStyle name="20% - Accent2 2 2 2 2 2 3 3" xfId="16253"/>
    <cellStyle name="20% - Accent2 2 2 2 2 2 4" xfId="20410"/>
    <cellStyle name="20% - Accent2 2 2 2 2 2 5" xfId="12113"/>
    <cellStyle name="20% - Accent2 2 2 2 2 3" xfId="4835"/>
    <cellStyle name="20% - Accent2 2 2 2 2 3 2" xfId="8991"/>
    <cellStyle name="20% - Accent2 2 2 2 2 3 2 2" xfId="25588"/>
    <cellStyle name="20% - Accent2 2 2 2 2 3 2 3" xfId="17291"/>
    <cellStyle name="20% - Accent2 2 2 2 2 3 3" xfId="21448"/>
    <cellStyle name="20% - Accent2 2 2 2 2 3 4" xfId="13151"/>
    <cellStyle name="20% - Accent2 2 2 2 2 4" xfId="6919"/>
    <cellStyle name="20% - Accent2 2 2 2 2 4 2" xfId="23516"/>
    <cellStyle name="20% - Accent2 2 2 2 2 4 3" xfId="15219"/>
    <cellStyle name="20% - Accent2 2 2 2 2 5" xfId="19376"/>
    <cellStyle name="20% - Accent2 2 2 2 2 6" xfId="11079"/>
    <cellStyle name="20% - Accent2 2 2 2 3" xfId="3224"/>
    <cellStyle name="20% - Accent2 2 2 2 3 2" xfId="5354"/>
    <cellStyle name="20% - Accent2 2 2 2 3 2 2" xfId="9510"/>
    <cellStyle name="20% - Accent2 2 2 2 3 2 2 2" xfId="26107"/>
    <cellStyle name="20% - Accent2 2 2 2 3 2 2 3" xfId="17810"/>
    <cellStyle name="20% - Accent2 2 2 2 3 2 3" xfId="21967"/>
    <cellStyle name="20% - Accent2 2 2 2 3 2 4" xfId="13670"/>
    <cellStyle name="20% - Accent2 2 2 2 3 3" xfId="7438"/>
    <cellStyle name="20% - Accent2 2 2 2 3 3 2" xfId="24035"/>
    <cellStyle name="20% - Accent2 2 2 2 3 3 3" xfId="15738"/>
    <cellStyle name="20% - Accent2 2 2 2 3 4" xfId="19895"/>
    <cellStyle name="20% - Accent2 2 2 2 3 5" xfId="11598"/>
    <cellStyle name="20% - Accent2 2 2 2 4" xfId="4270"/>
    <cellStyle name="20% - Accent2 2 2 2 4 2" xfId="8474"/>
    <cellStyle name="20% - Accent2 2 2 2 4 2 2" xfId="25071"/>
    <cellStyle name="20% - Accent2 2 2 2 4 2 3" xfId="16774"/>
    <cellStyle name="20% - Accent2 2 2 2 4 3" xfId="20931"/>
    <cellStyle name="20% - Accent2 2 2 2 4 4" xfId="12634"/>
    <cellStyle name="20% - Accent2 2 2 2 5" xfId="6394"/>
    <cellStyle name="20% - Accent2 2 2 2 5 2" xfId="23001"/>
    <cellStyle name="20% - Accent2 2 2 2 5 3" xfId="14704"/>
    <cellStyle name="20% - Accent2 2 2 2 6" xfId="18856"/>
    <cellStyle name="20% - Accent2 2 2 2 7" xfId="10559"/>
    <cellStyle name="20% - Accent2 2 2 3" xfId="2692"/>
    <cellStyle name="20% - Accent2 2 2 3 2" xfId="3743"/>
    <cellStyle name="20% - Accent2 2 2 3 2 2" xfId="5868"/>
    <cellStyle name="20% - Accent2 2 2 3 2 2 2" xfId="10024"/>
    <cellStyle name="20% - Accent2 2 2 3 2 2 2 2" xfId="26621"/>
    <cellStyle name="20% - Accent2 2 2 3 2 2 2 3" xfId="18324"/>
    <cellStyle name="20% - Accent2 2 2 3 2 2 3" xfId="22481"/>
    <cellStyle name="20% - Accent2 2 2 3 2 2 4" xfId="14184"/>
    <cellStyle name="20% - Accent2 2 2 3 2 3" xfId="7952"/>
    <cellStyle name="20% - Accent2 2 2 3 2 3 2" xfId="24549"/>
    <cellStyle name="20% - Accent2 2 2 3 2 3 3" xfId="16252"/>
    <cellStyle name="20% - Accent2 2 2 3 2 4" xfId="20409"/>
    <cellStyle name="20% - Accent2 2 2 3 2 5" xfId="12112"/>
    <cellStyle name="20% - Accent2 2 2 3 3" xfId="4834"/>
    <cellStyle name="20% - Accent2 2 2 3 3 2" xfId="8990"/>
    <cellStyle name="20% - Accent2 2 2 3 3 2 2" xfId="25587"/>
    <cellStyle name="20% - Accent2 2 2 3 3 2 3" xfId="17290"/>
    <cellStyle name="20% - Accent2 2 2 3 3 3" xfId="21447"/>
    <cellStyle name="20% - Accent2 2 2 3 3 4" xfId="13150"/>
    <cellStyle name="20% - Accent2 2 2 3 4" xfId="6918"/>
    <cellStyle name="20% - Accent2 2 2 3 4 2" xfId="23515"/>
    <cellStyle name="20% - Accent2 2 2 3 4 3" xfId="15218"/>
    <cellStyle name="20% - Accent2 2 2 3 5" xfId="19375"/>
    <cellStyle name="20% - Accent2 2 2 3 6" xfId="11078"/>
    <cellStyle name="20% - Accent2 2 2 4" xfId="3223"/>
    <cellStyle name="20% - Accent2 2 2 4 2" xfId="5353"/>
    <cellStyle name="20% - Accent2 2 2 4 2 2" xfId="9509"/>
    <cellStyle name="20% - Accent2 2 2 4 2 2 2" xfId="26106"/>
    <cellStyle name="20% - Accent2 2 2 4 2 2 3" xfId="17809"/>
    <cellStyle name="20% - Accent2 2 2 4 2 3" xfId="21966"/>
    <cellStyle name="20% - Accent2 2 2 4 2 4" xfId="13669"/>
    <cellStyle name="20% - Accent2 2 2 4 3" xfId="7437"/>
    <cellStyle name="20% - Accent2 2 2 4 3 2" xfId="24034"/>
    <cellStyle name="20% - Accent2 2 2 4 3 3" xfId="15737"/>
    <cellStyle name="20% - Accent2 2 2 4 4" xfId="19894"/>
    <cellStyle name="20% - Accent2 2 2 4 5" xfId="11597"/>
    <cellStyle name="20% - Accent2 2 2 5" xfId="4269"/>
    <cellStyle name="20% - Accent2 2 2 5 2" xfId="8473"/>
    <cellStyle name="20% - Accent2 2 2 5 2 2" xfId="25070"/>
    <cellStyle name="20% - Accent2 2 2 5 2 3" xfId="16773"/>
    <cellStyle name="20% - Accent2 2 2 5 3" xfId="20930"/>
    <cellStyle name="20% - Accent2 2 2 5 4" xfId="12633"/>
    <cellStyle name="20% - Accent2 2 2 6" xfId="6393"/>
    <cellStyle name="20% - Accent2 2 2 6 2" xfId="23000"/>
    <cellStyle name="20% - Accent2 2 2 6 3" xfId="14703"/>
    <cellStyle name="20% - Accent2 2 2 7" xfId="18855"/>
    <cellStyle name="20% - Accent2 2 2 8" xfId="10558"/>
    <cellStyle name="20% - Accent2 2 3" xfId="392"/>
    <cellStyle name="20% - Accent2 2 3 2" xfId="2694"/>
    <cellStyle name="20% - Accent2 2 3 2 2" xfId="3745"/>
    <cellStyle name="20% - Accent2 2 3 2 2 2" xfId="5870"/>
    <cellStyle name="20% - Accent2 2 3 2 2 2 2" xfId="10026"/>
    <cellStyle name="20% - Accent2 2 3 2 2 2 2 2" xfId="26623"/>
    <cellStyle name="20% - Accent2 2 3 2 2 2 2 3" xfId="18326"/>
    <cellStyle name="20% - Accent2 2 3 2 2 2 3" xfId="22483"/>
    <cellStyle name="20% - Accent2 2 3 2 2 2 4" xfId="14186"/>
    <cellStyle name="20% - Accent2 2 3 2 2 3" xfId="7954"/>
    <cellStyle name="20% - Accent2 2 3 2 2 3 2" xfId="24551"/>
    <cellStyle name="20% - Accent2 2 3 2 2 3 3" xfId="16254"/>
    <cellStyle name="20% - Accent2 2 3 2 2 4" xfId="20411"/>
    <cellStyle name="20% - Accent2 2 3 2 2 5" xfId="12114"/>
    <cellStyle name="20% - Accent2 2 3 2 3" xfId="4836"/>
    <cellStyle name="20% - Accent2 2 3 2 3 2" xfId="8992"/>
    <cellStyle name="20% - Accent2 2 3 2 3 2 2" xfId="25589"/>
    <cellStyle name="20% - Accent2 2 3 2 3 2 3" xfId="17292"/>
    <cellStyle name="20% - Accent2 2 3 2 3 3" xfId="21449"/>
    <cellStyle name="20% - Accent2 2 3 2 3 4" xfId="13152"/>
    <cellStyle name="20% - Accent2 2 3 2 4" xfId="6920"/>
    <cellStyle name="20% - Accent2 2 3 2 4 2" xfId="23517"/>
    <cellStyle name="20% - Accent2 2 3 2 4 3" xfId="15220"/>
    <cellStyle name="20% - Accent2 2 3 2 5" xfId="19377"/>
    <cellStyle name="20% - Accent2 2 3 2 6" xfId="11080"/>
    <cellStyle name="20% - Accent2 2 3 3" xfId="3225"/>
    <cellStyle name="20% - Accent2 2 3 3 2" xfId="5355"/>
    <cellStyle name="20% - Accent2 2 3 3 2 2" xfId="9511"/>
    <cellStyle name="20% - Accent2 2 3 3 2 2 2" xfId="26108"/>
    <cellStyle name="20% - Accent2 2 3 3 2 2 3" xfId="17811"/>
    <cellStyle name="20% - Accent2 2 3 3 2 3" xfId="21968"/>
    <cellStyle name="20% - Accent2 2 3 3 2 4" xfId="13671"/>
    <cellStyle name="20% - Accent2 2 3 3 3" xfId="7439"/>
    <cellStyle name="20% - Accent2 2 3 3 3 2" xfId="24036"/>
    <cellStyle name="20% - Accent2 2 3 3 3 3" xfId="15739"/>
    <cellStyle name="20% - Accent2 2 3 3 4" xfId="19896"/>
    <cellStyle name="20% - Accent2 2 3 3 5" xfId="11599"/>
    <cellStyle name="20% - Accent2 2 3 4" xfId="4271"/>
    <cellStyle name="20% - Accent2 2 3 4 2" xfId="8475"/>
    <cellStyle name="20% - Accent2 2 3 4 2 2" xfId="25072"/>
    <cellStyle name="20% - Accent2 2 3 4 2 3" xfId="16775"/>
    <cellStyle name="20% - Accent2 2 3 4 3" xfId="20932"/>
    <cellStyle name="20% - Accent2 2 3 4 4" xfId="12635"/>
    <cellStyle name="20% - Accent2 2 3 5" xfId="6395"/>
    <cellStyle name="20% - Accent2 2 3 5 2" xfId="23002"/>
    <cellStyle name="20% - Accent2 2 3 5 3" xfId="14705"/>
    <cellStyle name="20% - Accent2 2 3 6" xfId="18857"/>
    <cellStyle name="20% - Accent2 2 3 7" xfId="10560"/>
    <cellStyle name="20% - Accent2 2 4" xfId="2691"/>
    <cellStyle name="20% - Accent2 2 4 2" xfId="3742"/>
    <cellStyle name="20% - Accent2 2 4 2 2" xfId="5867"/>
    <cellStyle name="20% - Accent2 2 4 2 2 2" xfId="10023"/>
    <cellStyle name="20% - Accent2 2 4 2 2 2 2" xfId="26620"/>
    <cellStyle name="20% - Accent2 2 4 2 2 2 3" xfId="18323"/>
    <cellStyle name="20% - Accent2 2 4 2 2 3" xfId="22480"/>
    <cellStyle name="20% - Accent2 2 4 2 2 4" xfId="14183"/>
    <cellStyle name="20% - Accent2 2 4 2 3" xfId="7951"/>
    <cellStyle name="20% - Accent2 2 4 2 3 2" xfId="24548"/>
    <cellStyle name="20% - Accent2 2 4 2 3 3" xfId="16251"/>
    <cellStyle name="20% - Accent2 2 4 2 4" xfId="20408"/>
    <cellStyle name="20% - Accent2 2 4 2 5" xfId="12111"/>
    <cellStyle name="20% - Accent2 2 4 3" xfId="4833"/>
    <cellStyle name="20% - Accent2 2 4 3 2" xfId="8989"/>
    <cellStyle name="20% - Accent2 2 4 3 2 2" xfId="25586"/>
    <cellStyle name="20% - Accent2 2 4 3 2 3" xfId="17289"/>
    <cellStyle name="20% - Accent2 2 4 3 3" xfId="21446"/>
    <cellStyle name="20% - Accent2 2 4 3 4" xfId="13149"/>
    <cellStyle name="20% - Accent2 2 4 4" xfId="6917"/>
    <cellStyle name="20% - Accent2 2 4 4 2" xfId="23514"/>
    <cellStyle name="20% - Accent2 2 4 4 3" xfId="15217"/>
    <cellStyle name="20% - Accent2 2 4 5" xfId="19374"/>
    <cellStyle name="20% - Accent2 2 4 6" xfId="11077"/>
    <cellStyle name="20% - Accent2 2 5" xfId="3222"/>
    <cellStyle name="20% - Accent2 2 5 2" xfId="5352"/>
    <cellStyle name="20% - Accent2 2 5 2 2" xfId="9508"/>
    <cellStyle name="20% - Accent2 2 5 2 2 2" xfId="26105"/>
    <cellStyle name="20% - Accent2 2 5 2 2 3" xfId="17808"/>
    <cellStyle name="20% - Accent2 2 5 2 3" xfId="21965"/>
    <cellStyle name="20% - Accent2 2 5 2 4" xfId="13668"/>
    <cellStyle name="20% - Accent2 2 5 3" xfId="7436"/>
    <cellStyle name="20% - Accent2 2 5 3 2" xfId="24033"/>
    <cellStyle name="20% - Accent2 2 5 3 3" xfId="15736"/>
    <cellStyle name="20% - Accent2 2 5 4" xfId="19893"/>
    <cellStyle name="20% - Accent2 2 5 5" xfId="11596"/>
    <cellStyle name="20% - Accent2 2 6" xfId="4268"/>
    <cellStyle name="20% - Accent2 2 6 2" xfId="8472"/>
    <cellStyle name="20% - Accent2 2 6 2 2" xfId="25069"/>
    <cellStyle name="20% - Accent2 2 6 2 3" xfId="16772"/>
    <cellStyle name="20% - Accent2 2 6 3" xfId="20929"/>
    <cellStyle name="20% - Accent2 2 6 4" xfId="12632"/>
    <cellStyle name="20% - Accent2 2 7" xfId="6392"/>
    <cellStyle name="20% - Accent2 2 7 2" xfId="22999"/>
    <cellStyle name="20% - Accent2 2 7 3" xfId="14702"/>
    <cellStyle name="20% - Accent2 2 8" xfId="18854"/>
    <cellStyle name="20% - Accent2 2 9" xfId="10557"/>
    <cellStyle name="20% - Accent2 3" xfId="393"/>
    <cellStyle name="20% - Accent2 3 2" xfId="394"/>
    <cellStyle name="20% - Accent2 4" xfId="395"/>
    <cellStyle name="20% - Accent2 4 2" xfId="396"/>
    <cellStyle name="20% - Accent2 5" xfId="397"/>
    <cellStyle name="20% - Accent2 6" xfId="4267"/>
    <cellStyle name="20% - Accent3" xfId="398" builtinId="38" customBuiltin="1"/>
    <cellStyle name="20% - Accent3 2" xfId="399"/>
    <cellStyle name="20% - Accent3 2 2" xfId="400"/>
    <cellStyle name="20% - Accent3 2 2 2" xfId="401"/>
    <cellStyle name="20% - Accent3 2 2 2 2" xfId="2697"/>
    <cellStyle name="20% - Accent3 2 2 2 2 2" xfId="3748"/>
    <cellStyle name="20% - Accent3 2 2 2 2 2 2" xfId="5873"/>
    <cellStyle name="20% - Accent3 2 2 2 2 2 2 2" xfId="10029"/>
    <cellStyle name="20% - Accent3 2 2 2 2 2 2 2 2" xfId="26626"/>
    <cellStyle name="20% - Accent3 2 2 2 2 2 2 2 3" xfId="18329"/>
    <cellStyle name="20% - Accent3 2 2 2 2 2 2 3" xfId="22486"/>
    <cellStyle name="20% - Accent3 2 2 2 2 2 2 4" xfId="14189"/>
    <cellStyle name="20% - Accent3 2 2 2 2 2 3" xfId="7957"/>
    <cellStyle name="20% - Accent3 2 2 2 2 2 3 2" xfId="24554"/>
    <cellStyle name="20% - Accent3 2 2 2 2 2 3 3" xfId="16257"/>
    <cellStyle name="20% - Accent3 2 2 2 2 2 4" xfId="20414"/>
    <cellStyle name="20% - Accent3 2 2 2 2 2 5" xfId="12117"/>
    <cellStyle name="20% - Accent3 2 2 2 2 3" xfId="4839"/>
    <cellStyle name="20% - Accent3 2 2 2 2 3 2" xfId="8995"/>
    <cellStyle name="20% - Accent3 2 2 2 2 3 2 2" xfId="25592"/>
    <cellStyle name="20% - Accent3 2 2 2 2 3 2 3" xfId="17295"/>
    <cellStyle name="20% - Accent3 2 2 2 2 3 3" xfId="21452"/>
    <cellStyle name="20% - Accent3 2 2 2 2 3 4" xfId="13155"/>
    <cellStyle name="20% - Accent3 2 2 2 2 4" xfId="6923"/>
    <cellStyle name="20% - Accent3 2 2 2 2 4 2" xfId="23520"/>
    <cellStyle name="20% - Accent3 2 2 2 2 4 3" xfId="15223"/>
    <cellStyle name="20% - Accent3 2 2 2 2 5" xfId="19380"/>
    <cellStyle name="20% - Accent3 2 2 2 2 6" xfId="11083"/>
    <cellStyle name="20% - Accent3 2 2 2 3" xfId="3228"/>
    <cellStyle name="20% - Accent3 2 2 2 3 2" xfId="5358"/>
    <cellStyle name="20% - Accent3 2 2 2 3 2 2" xfId="9514"/>
    <cellStyle name="20% - Accent3 2 2 2 3 2 2 2" xfId="26111"/>
    <cellStyle name="20% - Accent3 2 2 2 3 2 2 3" xfId="17814"/>
    <cellStyle name="20% - Accent3 2 2 2 3 2 3" xfId="21971"/>
    <cellStyle name="20% - Accent3 2 2 2 3 2 4" xfId="13674"/>
    <cellStyle name="20% - Accent3 2 2 2 3 3" xfId="7442"/>
    <cellStyle name="20% - Accent3 2 2 2 3 3 2" xfId="24039"/>
    <cellStyle name="20% - Accent3 2 2 2 3 3 3" xfId="15742"/>
    <cellStyle name="20% - Accent3 2 2 2 3 4" xfId="19899"/>
    <cellStyle name="20% - Accent3 2 2 2 3 5" xfId="11602"/>
    <cellStyle name="20% - Accent3 2 2 2 4" xfId="4275"/>
    <cellStyle name="20% - Accent3 2 2 2 4 2" xfId="8478"/>
    <cellStyle name="20% - Accent3 2 2 2 4 2 2" xfId="25075"/>
    <cellStyle name="20% - Accent3 2 2 2 4 2 3" xfId="16778"/>
    <cellStyle name="20% - Accent3 2 2 2 4 3" xfId="20935"/>
    <cellStyle name="20% - Accent3 2 2 2 4 4" xfId="12638"/>
    <cellStyle name="20% - Accent3 2 2 2 5" xfId="6398"/>
    <cellStyle name="20% - Accent3 2 2 2 5 2" xfId="23005"/>
    <cellStyle name="20% - Accent3 2 2 2 5 3" xfId="14708"/>
    <cellStyle name="20% - Accent3 2 2 2 6" xfId="18860"/>
    <cellStyle name="20% - Accent3 2 2 2 7" xfId="10563"/>
    <cellStyle name="20% - Accent3 2 2 3" xfId="2696"/>
    <cellStyle name="20% - Accent3 2 2 3 2" xfId="3747"/>
    <cellStyle name="20% - Accent3 2 2 3 2 2" xfId="5872"/>
    <cellStyle name="20% - Accent3 2 2 3 2 2 2" xfId="10028"/>
    <cellStyle name="20% - Accent3 2 2 3 2 2 2 2" xfId="26625"/>
    <cellStyle name="20% - Accent3 2 2 3 2 2 2 3" xfId="18328"/>
    <cellStyle name="20% - Accent3 2 2 3 2 2 3" xfId="22485"/>
    <cellStyle name="20% - Accent3 2 2 3 2 2 4" xfId="14188"/>
    <cellStyle name="20% - Accent3 2 2 3 2 3" xfId="7956"/>
    <cellStyle name="20% - Accent3 2 2 3 2 3 2" xfId="24553"/>
    <cellStyle name="20% - Accent3 2 2 3 2 3 3" xfId="16256"/>
    <cellStyle name="20% - Accent3 2 2 3 2 4" xfId="20413"/>
    <cellStyle name="20% - Accent3 2 2 3 2 5" xfId="12116"/>
    <cellStyle name="20% - Accent3 2 2 3 3" xfId="4838"/>
    <cellStyle name="20% - Accent3 2 2 3 3 2" xfId="8994"/>
    <cellStyle name="20% - Accent3 2 2 3 3 2 2" xfId="25591"/>
    <cellStyle name="20% - Accent3 2 2 3 3 2 3" xfId="17294"/>
    <cellStyle name="20% - Accent3 2 2 3 3 3" xfId="21451"/>
    <cellStyle name="20% - Accent3 2 2 3 3 4" xfId="13154"/>
    <cellStyle name="20% - Accent3 2 2 3 4" xfId="6922"/>
    <cellStyle name="20% - Accent3 2 2 3 4 2" xfId="23519"/>
    <cellStyle name="20% - Accent3 2 2 3 4 3" xfId="15222"/>
    <cellStyle name="20% - Accent3 2 2 3 5" xfId="19379"/>
    <cellStyle name="20% - Accent3 2 2 3 6" xfId="11082"/>
    <cellStyle name="20% - Accent3 2 2 4" xfId="3227"/>
    <cellStyle name="20% - Accent3 2 2 4 2" xfId="5357"/>
    <cellStyle name="20% - Accent3 2 2 4 2 2" xfId="9513"/>
    <cellStyle name="20% - Accent3 2 2 4 2 2 2" xfId="26110"/>
    <cellStyle name="20% - Accent3 2 2 4 2 2 3" xfId="17813"/>
    <cellStyle name="20% - Accent3 2 2 4 2 3" xfId="21970"/>
    <cellStyle name="20% - Accent3 2 2 4 2 4" xfId="13673"/>
    <cellStyle name="20% - Accent3 2 2 4 3" xfId="7441"/>
    <cellStyle name="20% - Accent3 2 2 4 3 2" xfId="24038"/>
    <cellStyle name="20% - Accent3 2 2 4 3 3" xfId="15741"/>
    <cellStyle name="20% - Accent3 2 2 4 4" xfId="19898"/>
    <cellStyle name="20% - Accent3 2 2 4 5" xfId="11601"/>
    <cellStyle name="20% - Accent3 2 2 5" xfId="4274"/>
    <cellStyle name="20% - Accent3 2 2 5 2" xfId="8477"/>
    <cellStyle name="20% - Accent3 2 2 5 2 2" xfId="25074"/>
    <cellStyle name="20% - Accent3 2 2 5 2 3" xfId="16777"/>
    <cellStyle name="20% - Accent3 2 2 5 3" xfId="20934"/>
    <cellStyle name="20% - Accent3 2 2 5 4" xfId="12637"/>
    <cellStyle name="20% - Accent3 2 2 6" xfId="6397"/>
    <cellStyle name="20% - Accent3 2 2 6 2" xfId="23004"/>
    <cellStyle name="20% - Accent3 2 2 6 3" xfId="14707"/>
    <cellStyle name="20% - Accent3 2 2 7" xfId="18859"/>
    <cellStyle name="20% - Accent3 2 2 8" xfId="10562"/>
    <cellStyle name="20% - Accent3 2 3" xfId="402"/>
    <cellStyle name="20% - Accent3 2 3 2" xfId="2698"/>
    <cellStyle name="20% - Accent3 2 3 2 2" xfId="3749"/>
    <cellStyle name="20% - Accent3 2 3 2 2 2" xfId="5874"/>
    <cellStyle name="20% - Accent3 2 3 2 2 2 2" xfId="10030"/>
    <cellStyle name="20% - Accent3 2 3 2 2 2 2 2" xfId="26627"/>
    <cellStyle name="20% - Accent3 2 3 2 2 2 2 3" xfId="18330"/>
    <cellStyle name="20% - Accent3 2 3 2 2 2 3" xfId="22487"/>
    <cellStyle name="20% - Accent3 2 3 2 2 2 4" xfId="14190"/>
    <cellStyle name="20% - Accent3 2 3 2 2 3" xfId="7958"/>
    <cellStyle name="20% - Accent3 2 3 2 2 3 2" xfId="24555"/>
    <cellStyle name="20% - Accent3 2 3 2 2 3 3" xfId="16258"/>
    <cellStyle name="20% - Accent3 2 3 2 2 4" xfId="20415"/>
    <cellStyle name="20% - Accent3 2 3 2 2 5" xfId="12118"/>
    <cellStyle name="20% - Accent3 2 3 2 3" xfId="4840"/>
    <cellStyle name="20% - Accent3 2 3 2 3 2" xfId="8996"/>
    <cellStyle name="20% - Accent3 2 3 2 3 2 2" xfId="25593"/>
    <cellStyle name="20% - Accent3 2 3 2 3 2 3" xfId="17296"/>
    <cellStyle name="20% - Accent3 2 3 2 3 3" xfId="21453"/>
    <cellStyle name="20% - Accent3 2 3 2 3 4" xfId="13156"/>
    <cellStyle name="20% - Accent3 2 3 2 4" xfId="6924"/>
    <cellStyle name="20% - Accent3 2 3 2 4 2" xfId="23521"/>
    <cellStyle name="20% - Accent3 2 3 2 4 3" xfId="15224"/>
    <cellStyle name="20% - Accent3 2 3 2 5" xfId="19381"/>
    <cellStyle name="20% - Accent3 2 3 2 6" xfId="11084"/>
    <cellStyle name="20% - Accent3 2 3 3" xfId="3229"/>
    <cellStyle name="20% - Accent3 2 3 3 2" xfId="5359"/>
    <cellStyle name="20% - Accent3 2 3 3 2 2" xfId="9515"/>
    <cellStyle name="20% - Accent3 2 3 3 2 2 2" xfId="26112"/>
    <cellStyle name="20% - Accent3 2 3 3 2 2 3" xfId="17815"/>
    <cellStyle name="20% - Accent3 2 3 3 2 3" xfId="21972"/>
    <cellStyle name="20% - Accent3 2 3 3 2 4" xfId="13675"/>
    <cellStyle name="20% - Accent3 2 3 3 3" xfId="7443"/>
    <cellStyle name="20% - Accent3 2 3 3 3 2" xfId="24040"/>
    <cellStyle name="20% - Accent3 2 3 3 3 3" xfId="15743"/>
    <cellStyle name="20% - Accent3 2 3 3 4" xfId="19900"/>
    <cellStyle name="20% - Accent3 2 3 3 5" xfId="11603"/>
    <cellStyle name="20% - Accent3 2 3 4" xfId="4276"/>
    <cellStyle name="20% - Accent3 2 3 4 2" xfId="8479"/>
    <cellStyle name="20% - Accent3 2 3 4 2 2" xfId="25076"/>
    <cellStyle name="20% - Accent3 2 3 4 2 3" xfId="16779"/>
    <cellStyle name="20% - Accent3 2 3 4 3" xfId="20936"/>
    <cellStyle name="20% - Accent3 2 3 4 4" xfId="12639"/>
    <cellStyle name="20% - Accent3 2 3 5" xfId="6399"/>
    <cellStyle name="20% - Accent3 2 3 5 2" xfId="23006"/>
    <cellStyle name="20% - Accent3 2 3 5 3" xfId="14709"/>
    <cellStyle name="20% - Accent3 2 3 6" xfId="18861"/>
    <cellStyle name="20% - Accent3 2 3 7" xfId="10564"/>
    <cellStyle name="20% - Accent3 2 4" xfId="2695"/>
    <cellStyle name="20% - Accent3 2 4 2" xfId="3746"/>
    <cellStyle name="20% - Accent3 2 4 2 2" xfId="5871"/>
    <cellStyle name="20% - Accent3 2 4 2 2 2" xfId="10027"/>
    <cellStyle name="20% - Accent3 2 4 2 2 2 2" xfId="26624"/>
    <cellStyle name="20% - Accent3 2 4 2 2 2 3" xfId="18327"/>
    <cellStyle name="20% - Accent3 2 4 2 2 3" xfId="22484"/>
    <cellStyle name="20% - Accent3 2 4 2 2 4" xfId="14187"/>
    <cellStyle name="20% - Accent3 2 4 2 3" xfId="7955"/>
    <cellStyle name="20% - Accent3 2 4 2 3 2" xfId="24552"/>
    <cellStyle name="20% - Accent3 2 4 2 3 3" xfId="16255"/>
    <cellStyle name="20% - Accent3 2 4 2 4" xfId="20412"/>
    <cellStyle name="20% - Accent3 2 4 2 5" xfId="12115"/>
    <cellStyle name="20% - Accent3 2 4 3" xfId="4837"/>
    <cellStyle name="20% - Accent3 2 4 3 2" xfId="8993"/>
    <cellStyle name="20% - Accent3 2 4 3 2 2" xfId="25590"/>
    <cellStyle name="20% - Accent3 2 4 3 2 3" xfId="17293"/>
    <cellStyle name="20% - Accent3 2 4 3 3" xfId="21450"/>
    <cellStyle name="20% - Accent3 2 4 3 4" xfId="13153"/>
    <cellStyle name="20% - Accent3 2 4 4" xfId="6921"/>
    <cellStyle name="20% - Accent3 2 4 4 2" xfId="23518"/>
    <cellStyle name="20% - Accent3 2 4 4 3" xfId="15221"/>
    <cellStyle name="20% - Accent3 2 4 5" xfId="19378"/>
    <cellStyle name="20% - Accent3 2 4 6" xfId="11081"/>
    <cellStyle name="20% - Accent3 2 5" xfId="3226"/>
    <cellStyle name="20% - Accent3 2 5 2" xfId="5356"/>
    <cellStyle name="20% - Accent3 2 5 2 2" xfId="9512"/>
    <cellStyle name="20% - Accent3 2 5 2 2 2" xfId="26109"/>
    <cellStyle name="20% - Accent3 2 5 2 2 3" xfId="17812"/>
    <cellStyle name="20% - Accent3 2 5 2 3" xfId="21969"/>
    <cellStyle name="20% - Accent3 2 5 2 4" xfId="13672"/>
    <cellStyle name="20% - Accent3 2 5 3" xfId="7440"/>
    <cellStyle name="20% - Accent3 2 5 3 2" xfId="24037"/>
    <cellStyle name="20% - Accent3 2 5 3 3" xfId="15740"/>
    <cellStyle name="20% - Accent3 2 5 4" xfId="19897"/>
    <cellStyle name="20% - Accent3 2 5 5" xfId="11600"/>
    <cellStyle name="20% - Accent3 2 6" xfId="4273"/>
    <cellStyle name="20% - Accent3 2 6 2" xfId="8476"/>
    <cellStyle name="20% - Accent3 2 6 2 2" xfId="25073"/>
    <cellStyle name="20% - Accent3 2 6 2 3" xfId="16776"/>
    <cellStyle name="20% - Accent3 2 6 3" xfId="20933"/>
    <cellStyle name="20% - Accent3 2 6 4" xfId="12636"/>
    <cellStyle name="20% - Accent3 2 7" xfId="6396"/>
    <cellStyle name="20% - Accent3 2 7 2" xfId="23003"/>
    <cellStyle name="20% - Accent3 2 7 3" xfId="14706"/>
    <cellStyle name="20% - Accent3 2 8" xfId="18858"/>
    <cellStyle name="20% - Accent3 2 9" xfId="10561"/>
    <cellStyle name="20% - Accent3 3" xfId="403"/>
    <cellStyle name="20% - Accent3 3 2" xfId="404"/>
    <cellStyle name="20% - Accent3 4" xfId="405"/>
    <cellStyle name="20% - Accent3 4 2" xfId="406"/>
    <cellStyle name="20% - Accent3 5" xfId="407"/>
    <cellStyle name="20% - Accent3 6" xfId="4272"/>
    <cellStyle name="20% - Accent4" xfId="408" builtinId="42" customBuiltin="1"/>
    <cellStyle name="20% - Accent4 2" xfId="409"/>
    <cellStyle name="20% - Accent4 2 2" xfId="410"/>
    <cellStyle name="20% - Accent4 2 2 2" xfId="411"/>
    <cellStyle name="20% - Accent4 2 2 2 2" xfId="2701"/>
    <cellStyle name="20% - Accent4 2 2 2 2 2" xfId="3752"/>
    <cellStyle name="20% - Accent4 2 2 2 2 2 2" xfId="5877"/>
    <cellStyle name="20% - Accent4 2 2 2 2 2 2 2" xfId="10033"/>
    <cellStyle name="20% - Accent4 2 2 2 2 2 2 2 2" xfId="26630"/>
    <cellStyle name="20% - Accent4 2 2 2 2 2 2 2 3" xfId="18333"/>
    <cellStyle name="20% - Accent4 2 2 2 2 2 2 3" xfId="22490"/>
    <cellStyle name="20% - Accent4 2 2 2 2 2 2 4" xfId="14193"/>
    <cellStyle name="20% - Accent4 2 2 2 2 2 3" xfId="7961"/>
    <cellStyle name="20% - Accent4 2 2 2 2 2 3 2" xfId="24558"/>
    <cellStyle name="20% - Accent4 2 2 2 2 2 3 3" xfId="16261"/>
    <cellStyle name="20% - Accent4 2 2 2 2 2 4" xfId="20418"/>
    <cellStyle name="20% - Accent4 2 2 2 2 2 5" xfId="12121"/>
    <cellStyle name="20% - Accent4 2 2 2 2 3" xfId="4843"/>
    <cellStyle name="20% - Accent4 2 2 2 2 3 2" xfId="8999"/>
    <cellStyle name="20% - Accent4 2 2 2 2 3 2 2" xfId="25596"/>
    <cellStyle name="20% - Accent4 2 2 2 2 3 2 3" xfId="17299"/>
    <cellStyle name="20% - Accent4 2 2 2 2 3 3" xfId="21456"/>
    <cellStyle name="20% - Accent4 2 2 2 2 3 4" xfId="13159"/>
    <cellStyle name="20% - Accent4 2 2 2 2 4" xfId="6927"/>
    <cellStyle name="20% - Accent4 2 2 2 2 4 2" xfId="23524"/>
    <cellStyle name="20% - Accent4 2 2 2 2 4 3" xfId="15227"/>
    <cellStyle name="20% - Accent4 2 2 2 2 5" xfId="19384"/>
    <cellStyle name="20% - Accent4 2 2 2 2 6" xfId="11087"/>
    <cellStyle name="20% - Accent4 2 2 2 3" xfId="3232"/>
    <cellStyle name="20% - Accent4 2 2 2 3 2" xfId="5362"/>
    <cellStyle name="20% - Accent4 2 2 2 3 2 2" xfId="9518"/>
    <cellStyle name="20% - Accent4 2 2 2 3 2 2 2" xfId="26115"/>
    <cellStyle name="20% - Accent4 2 2 2 3 2 2 3" xfId="17818"/>
    <cellStyle name="20% - Accent4 2 2 2 3 2 3" xfId="21975"/>
    <cellStyle name="20% - Accent4 2 2 2 3 2 4" xfId="13678"/>
    <cellStyle name="20% - Accent4 2 2 2 3 3" xfId="7446"/>
    <cellStyle name="20% - Accent4 2 2 2 3 3 2" xfId="24043"/>
    <cellStyle name="20% - Accent4 2 2 2 3 3 3" xfId="15746"/>
    <cellStyle name="20% - Accent4 2 2 2 3 4" xfId="19903"/>
    <cellStyle name="20% - Accent4 2 2 2 3 5" xfId="11606"/>
    <cellStyle name="20% - Accent4 2 2 2 4" xfId="4280"/>
    <cellStyle name="20% - Accent4 2 2 2 4 2" xfId="8482"/>
    <cellStyle name="20% - Accent4 2 2 2 4 2 2" xfId="25079"/>
    <cellStyle name="20% - Accent4 2 2 2 4 2 3" xfId="16782"/>
    <cellStyle name="20% - Accent4 2 2 2 4 3" xfId="20939"/>
    <cellStyle name="20% - Accent4 2 2 2 4 4" xfId="12642"/>
    <cellStyle name="20% - Accent4 2 2 2 5" xfId="6402"/>
    <cellStyle name="20% - Accent4 2 2 2 5 2" xfId="23009"/>
    <cellStyle name="20% - Accent4 2 2 2 5 3" xfId="14712"/>
    <cellStyle name="20% - Accent4 2 2 2 6" xfId="18864"/>
    <cellStyle name="20% - Accent4 2 2 2 7" xfId="10567"/>
    <cellStyle name="20% - Accent4 2 2 3" xfId="2700"/>
    <cellStyle name="20% - Accent4 2 2 3 2" xfId="3751"/>
    <cellStyle name="20% - Accent4 2 2 3 2 2" xfId="5876"/>
    <cellStyle name="20% - Accent4 2 2 3 2 2 2" xfId="10032"/>
    <cellStyle name="20% - Accent4 2 2 3 2 2 2 2" xfId="26629"/>
    <cellStyle name="20% - Accent4 2 2 3 2 2 2 3" xfId="18332"/>
    <cellStyle name="20% - Accent4 2 2 3 2 2 3" xfId="22489"/>
    <cellStyle name="20% - Accent4 2 2 3 2 2 4" xfId="14192"/>
    <cellStyle name="20% - Accent4 2 2 3 2 3" xfId="7960"/>
    <cellStyle name="20% - Accent4 2 2 3 2 3 2" xfId="24557"/>
    <cellStyle name="20% - Accent4 2 2 3 2 3 3" xfId="16260"/>
    <cellStyle name="20% - Accent4 2 2 3 2 4" xfId="20417"/>
    <cellStyle name="20% - Accent4 2 2 3 2 5" xfId="12120"/>
    <cellStyle name="20% - Accent4 2 2 3 3" xfId="4842"/>
    <cellStyle name="20% - Accent4 2 2 3 3 2" xfId="8998"/>
    <cellStyle name="20% - Accent4 2 2 3 3 2 2" xfId="25595"/>
    <cellStyle name="20% - Accent4 2 2 3 3 2 3" xfId="17298"/>
    <cellStyle name="20% - Accent4 2 2 3 3 3" xfId="21455"/>
    <cellStyle name="20% - Accent4 2 2 3 3 4" xfId="13158"/>
    <cellStyle name="20% - Accent4 2 2 3 4" xfId="6926"/>
    <cellStyle name="20% - Accent4 2 2 3 4 2" xfId="23523"/>
    <cellStyle name="20% - Accent4 2 2 3 4 3" xfId="15226"/>
    <cellStyle name="20% - Accent4 2 2 3 5" xfId="19383"/>
    <cellStyle name="20% - Accent4 2 2 3 6" xfId="11086"/>
    <cellStyle name="20% - Accent4 2 2 4" xfId="3231"/>
    <cellStyle name="20% - Accent4 2 2 4 2" xfId="5361"/>
    <cellStyle name="20% - Accent4 2 2 4 2 2" xfId="9517"/>
    <cellStyle name="20% - Accent4 2 2 4 2 2 2" xfId="26114"/>
    <cellStyle name="20% - Accent4 2 2 4 2 2 3" xfId="17817"/>
    <cellStyle name="20% - Accent4 2 2 4 2 3" xfId="21974"/>
    <cellStyle name="20% - Accent4 2 2 4 2 4" xfId="13677"/>
    <cellStyle name="20% - Accent4 2 2 4 3" xfId="7445"/>
    <cellStyle name="20% - Accent4 2 2 4 3 2" xfId="24042"/>
    <cellStyle name="20% - Accent4 2 2 4 3 3" xfId="15745"/>
    <cellStyle name="20% - Accent4 2 2 4 4" xfId="19902"/>
    <cellStyle name="20% - Accent4 2 2 4 5" xfId="11605"/>
    <cellStyle name="20% - Accent4 2 2 5" xfId="4279"/>
    <cellStyle name="20% - Accent4 2 2 5 2" xfId="8481"/>
    <cellStyle name="20% - Accent4 2 2 5 2 2" xfId="25078"/>
    <cellStyle name="20% - Accent4 2 2 5 2 3" xfId="16781"/>
    <cellStyle name="20% - Accent4 2 2 5 3" xfId="20938"/>
    <cellStyle name="20% - Accent4 2 2 5 4" xfId="12641"/>
    <cellStyle name="20% - Accent4 2 2 6" xfId="6401"/>
    <cellStyle name="20% - Accent4 2 2 6 2" xfId="23008"/>
    <cellStyle name="20% - Accent4 2 2 6 3" xfId="14711"/>
    <cellStyle name="20% - Accent4 2 2 7" xfId="18863"/>
    <cellStyle name="20% - Accent4 2 2 8" xfId="10566"/>
    <cellStyle name="20% - Accent4 2 3" xfId="412"/>
    <cellStyle name="20% - Accent4 2 3 2" xfId="2702"/>
    <cellStyle name="20% - Accent4 2 3 2 2" xfId="3753"/>
    <cellStyle name="20% - Accent4 2 3 2 2 2" xfId="5878"/>
    <cellStyle name="20% - Accent4 2 3 2 2 2 2" xfId="10034"/>
    <cellStyle name="20% - Accent4 2 3 2 2 2 2 2" xfId="26631"/>
    <cellStyle name="20% - Accent4 2 3 2 2 2 2 3" xfId="18334"/>
    <cellStyle name="20% - Accent4 2 3 2 2 2 3" xfId="22491"/>
    <cellStyle name="20% - Accent4 2 3 2 2 2 4" xfId="14194"/>
    <cellStyle name="20% - Accent4 2 3 2 2 3" xfId="7962"/>
    <cellStyle name="20% - Accent4 2 3 2 2 3 2" xfId="24559"/>
    <cellStyle name="20% - Accent4 2 3 2 2 3 3" xfId="16262"/>
    <cellStyle name="20% - Accent4 2 3 2 2 4" xfId="20419"/>
    <cellStyle name="20% - Accent4 2 3 2 2 5" xfId="12122"/>
    <cellStyle name="20% - Accent4 2 3 2 3" xfId="4844"/>
    <cellStyle name="20% - Accent4 2 3 2 3 2" xfId="9000"/>
    <cellStyle name="20% - Accent4 2 3 2 3 2 2" xfId="25597"/>
    <cellStyle name="20% - Accent4 2 3 2 3 2 3" xfId="17300"/>
    <cellStyle name="20% - Accent4 2 3 2 3 3" xfId="21457"/>
    <cellStyle name="20% - Accent4 2 3 2 3 4" xfId="13160"/>
    <cellStyle name="20% - Accent4 2 3 2 4" xfId="6928"/>
    <cellStyle name="20% - Accent4 2 3 2 4 2" xfId="23525"/>
    <cellStyle name="20% - Accent4 2 3 2 4 3" xfId="15228"/>
    <cellStyle name="20% - Accent4 2 3 2 5" xfId="19385"/>
    <cellStyle name="20% - Accent4 2 3 2 6" xfId="11088"/>
    <cellStyle name="20% - Accent4 2 3 3" xfId="3233"/>
    <cellStyle name="20% - Accent4 2 3 3 2" xfId="5363"/>
    <cellStyle name="20% - Accent4 2 3 3 2 2" xfId="9519"/>
    <cellStyle name="20% - Accent4 2 3 3 2 2 2" xfId="26116"/>
    <cellStyle name="20% - Accent4 2 3 3 2 2 3" xfId="17819"/>
    <cellStyle name="20% - Accent4 2 3 3 2 3" xfId="21976"/>
    <cellStyle name="20% - Accent4 2 3 3 2 4" xfId="13679"/>
    <cellStyle name="20% - Accent4 2 3 3 3" xfId="7447"/>
    <cellStyle name="20% - Accent4 2 3 3 3 2" xfId="24044"/>
    <cellStyle name="20% - Accent4 2 3 3 3 3" xfId="15747"/>
    <cellStyle name="20% - Accent4 2 3 3 4" xfId="19904"/>
    <cellStyle name="20% - Accent4 2 3 3 5" xfId="11607"/>
    <cellStyle name="20% - Accent4 2 3 4" xfId="4281"/>
    <cellStyle name="20% - Accent4 2 3 4 2" xfId="8483"/>
    <cellStyle name="20% - Accent4 2 3 4 2 2" xfId="25080"/>
    <cellStyle name="20% - Accent4 2 3 4 2 3" xfId="16783"/>
    <cellStyle name="20% - Accent4 2 3 4 3" xfId="20940"/>
    <cellStyle name="20% - Accent4 2 3 4 4" xfId="12643"/>
    <cellStyle name="20% - Accent4 2 3 5" xfId="6403"/>
    <cellStyle name="20% - Accent4 2 3 5 2" xfId="23010"/>
    <cellStyle name="20% - Accent4 2 3 5 3" xfId="14713"/>
    <cellStyle name="20% - Accent4 2 3 6" xfId="18865"/>
    <cellStyle name="20% - Accent4 2 3 7" xfId="10568"/>
    <cellStyle name="20% - Accent4 2 4" xfId="2699"/>
    <cellStyle name="20% - Accent4 2 4 2" xfId="3750"/>
    <cellStyle name="20% - Accent4 2 4 2 2" xfId="5875"/>
    <cellStyle name="20% - Accent4 2 4 2 2 2" xfId="10031"/>
    <cellStyle name="20% - Accent4 2 4 2 2 2 2" xfId="26628"/>
    <cellStyle name="20% - Accent4 2 4 2 2 2 3" xfId="18331"/>
    <cellStyle name="20% - Accent4 2 4 2 2 3" xfId="22488"/>
    <cellStyle name="20% - Accent4 2 4 2 2 4" xfId="14191"/>
    <cellStyle name="20% - Accent4 2 4 2 3" xfId="7959"/>
    <cellStyle name="20% - Accent4 2 4 2 3 2" xfId="24556"/>
    <cellStyle name="20% - Accent4 2 4 2 3 3" xfId="16259"/>
    <cellStyle name="20% - Accent4 2 4 2 4" xfId="20416"/>
    <cellStyle name="20% - Accent4 2 4 2 5" xfId="12119"/>
    <cellStyle name="20% - Accent4 2 4 3" xfId="4841"/>
    <cellStyle name="20% - Accent4 2 4 3 2" xfId="8997"/>
    <cellStyle name="20% - Accent4 2 4 3 2 2" xfId="25594"/>
    <cellStyle name="20% - Accent4 2 4 3 2 3" xfId="17297"/>
    <cellStyle name="20% - Accent4 2 4 3 3" xfId="21454"/>
    <cellStyle name="20% - Accent4 2 4 3 4" xfId="13157"/>
    <cellStyle name="20% - Accent4 2 4 4" xfId="6925"/>
    <cellStyle name="20% - Accent4 2 4 4 2" xfId="23522"/>
    <cellStyle name="20% - Accent4 2 4 4 3" xfId="15225"/>
    <cellStyle name="20% - Accent4 2 4 5" xfId="19382"/>
    <cellStyle name="20% - Accent4 2 4 6" xfId="11085"/>
    <cellStyle name="20% - Accent4 2 5" xfId="3230"/>
    <cellStyle name="20% - Accent4 2 5 2" xfId="5360"/>
    <cellStyle name="20% - Accent4 2 5 2 2" xfId="9516"/>
    <cellStyle name="20% - Accent4 2 5 2 2 2" xfId="26113"/>
    <cellStyle name="20% - Accent4 2 5 2 2 3" xfId="17816"/>
    <cellStyle name="20% - Accent4 2 5 2 3" xfId="21973"/>
    <cellStyle name="20% - Accent4 2 5 2 4" xfId="13676"/>
    <cellStyle name="20% - Accent4 2 5 3" xfId="7444"/>
    <cellStyle name="20% - Accent4 2 5 3 2" xfId="24041"/>
    <cellStyle name="20% - Accent4 2 5 3 3" xfId="15744"/>
    <cellStyle name="20% - Accent4 2 5 4" xfId="19901"/>
    <cellStyle name="20% - Accent4 2 5 5" xfId="11604"/>
    <cellStyle name="20% - Accent4 2 6" xfId="4278"/>
    <cellStyle name="20% - Accent4 2 6 2" xfId="8480"/>
    <cellStyle name="20% - Accent4 2 6 2 2" xfId="25077"/>
    <cellStyle name="20% - Accent4 2 6 2 3" xfId="16780"/>
    <cellStyle name="20% - Accent4 2 6 3" xfId="20937"/>
    <cellStyle name="20% - Accent4 2 6 4" xfId="12640"/>
    <cellStyle name="20% - Accent4 2 7" xfId="6400"/>
    <cellStyle name="20% - Accent4 2 7 2" xfId="23007"/>
    <cellStyle name="20% - Accent4 2 7 3" xfId="14710"/>
    <cellStyle name="20% - Accent4 2 8" xfId="18862"/>
    <cellStyle name="20% - Accent4 2 9" xfId="10565"/>
    <cellStyle name="20% - Accent4 3" xfId="413"/>
    <cellStyle name="20% - Accent4 3 2" xfId="414"/>
    <cellStyle name="20% - Accent4 4" xfId="415"/>
    <cellStyle name="20% - Accent4 4 2" xfId="416"/>
    <cellStyle name="20% - Accent4 5" xfId="417"/>
    <cellStyle name="20% - Accent4 6" xfId="4277"/>
    <cellStyle name="20% - Accent5" xfId="418" builtinId="46" customBuiltin="1"/>
    <cellStyle name="20% - Accent5 2" xfId="419"/>
    <cellStyle name="20% - Accent5 2 2" xfId="420"/>
    <cellStyle name="20% - Accent5 2 2 2" xfId="2704"/>
    <cellStyle name="20% - Accent5 2 2 2 2" xfId="3755"/>
    <cellStyle name="20% - Accent5 2 2 2 2 2" xfId="5880"/>
    <cellStyle name="20% - Accent5 2 2 2 2 2 2" xfId="10036"/>
    <cellStyle name="20% - Accent5 2 2 2 2 2 2 2" xfId="26633"/>
    <cellStyle name="20% - Accent5 2 2 2 2 2 2 3" xfId="18336"/>
    <cellStyle name="20% - Accent5 2 2 2 2 2 3" xfId="22493"/>
    <cellStyle name="20% - Accent5 2 2 2 2 2 4" xfId="14196"/>
    <cellStyle name="20% - Accent5 2 2 2 2 3" xfId="7964"/>
    <cellStyle name="20% - Accent5 2 2 2 2 3 2" xfId="24561"/>
    <cellStyle name="20% - Accent5 2 2 2 2 3 3" xfId="16264"/>
    <cellStyle name="20% - Accent5 2 2 2 2 4" xfId="20421"/>
    <cellStyle name="20% - Accent5 2 2 2 2 5" xfId="12124"/>
    <cellStyle name="20% - Accent5 2 2 2 3" xfId="4846"/>
    <cellStyle name="20% - Accent5 2 2 2 3 2" xfId="9002"/>
    <cellStyle name="20% - Accent5 2 2 2 3 2 2" xfId="25599"/>
    <cellStyle name="20% - Accent5 2 2 2 3 2 3" xfId="17302"/>
    <cellStyle name="20% - Accent5 2 2 2 3 3" xfId="21459"/>
    <cellStyle name="20% - Accent5 2 2 2 3 4" xfId="13162"/>
    <cellStyle name="20% - Accent5 2 2 2 4" xfId="6930"/>
    <cellStyle name="20% - Accent5 2 2 2 4 2" xfId="23527"/>
    <cellStyle name="20% - Accent5 2 2 2 4 3" xfId="15230"/>
    <cellStyle name="20% - Accent5 2 2 2 5" xfId="19387"/>
    <cellStyle name="20% - Accent5 2 2 2 6" xfId="11090"/>
    <cellStyle name="20% - Accent5 2 2 3" xfId="3235"/>
    <cellStyle name="20% - Accent5 2 2 3 2" xfId="5365"/>
    <cellStyle name="20% - Accent5 2 2 3 2 2" xfId="9521"/>
    <cellStyle name="20% - Accent5 2 2 3 2 2 2" xfId="26118"/>
    <cellStyle name="20% - Accent5 2 2 3 2 2 3" xfId="17821"/>
    <cellStyle name="20% - Accent5 2 2 3 2 3" xfId="21978"/>
    <cellStyle name="20% - Accent5 2 2 3 2 4" xfId="13681"/>
    <cellStyle name="20% - Accent5 2 2 3 3" xfId="7449"/>
    <cellStyle name="20% - Accent5 2 2 3 3 2" xfId="24046"/>
    <cellStyle name="20% - Accent5 2 2 3 3 3" xfId="15749"/>
    <cellStyle name="20% - Accent5 2 2 3 4" xfId="19906"/>
    <cellStyle name="20% - Accent5 2 2 3 5" xfId="11609"/>
    <cellStyle name="20% - Accent5 2 2 4" xfId="4284"/>
    <cellStyle name="20% - Accent5 2 2 4 2" xfId="8485"/>
    <cellStyle name="20% - Accent5 2 2 4 2 2" xfId="25082"/>
    <cellStyle name="20% - Accent5 2 2 4 2 3" xfId="16785"/>
    <cellStyle name="20% - Accent5 2 2 4 3" xfId="20942"/>
    <cellStyle name="20% - Accent5 2 2 4 4" xfId="12645"/>
    <cellStyle name="20% - Accent5 2 2 5" xfId="6405"/>
    <cellStyle name="20% - Accent5 2 2 5 2" xfId="23012"/>
    <cellStyle name="20% - Accent5 2 2 5 3" xfId="14715"/>
    <cellStyle name="20% - Accent5 2 2 6" xfId="18867"/>
    <cellStyle name="20% - Accent5 2 2 7" xfId="10570"/>
    <cellStyle name="20% - Accent5 2 3" xfId="2703"/>
    <cellStyle name="20% - Accent5 2 3 2" xfId="3754"/>
    <cellStyle name="20% - Accent5 2 3 2 2" xfId="5879"/>
    <cellStyle name="20% - Accent5 2 3 2 2 2" xfId="10035"/>
    <cellStyle name="20% - Accent5 2 3 2 2 2 2" xfId="26632"/>
    <cellStyle name="20% - Accent5 2 3 2 2 2 3" xfId="18335"/>
    <cellStyle name="20% - Accent5 2 3 2 2 3" xfId="22492"/>
    <cellStyle name="20% - Accent5 2 3 2 2 4" xfId="14195"/>
    <cellStyle name="20% - Accent5 2 3 2 3" xfId="7963"/>
    <cellStyle name="20% - Accent5 2 3 2 3 2" xfId="24560"/>
    <cellStyle name="20% - Accent5 2 3 2 3 3" xfId="16263"/>
    <cellStyle name="20% - Accent5 2 3 2 4" xfId="20420"/>
    <cellStyle name="20% - Accent5 2 3 2 5" xfId="12123"/>
    <cellStyle name="20% - Accent5 2 3 3" xfId="4845"/>
    <cellStyle name="20% - Accent5 2 3 3 2" xfId="9001"/>
    <cellStyle name="20% - Accent5 2 3 3 2 2" xfId="25598"/>
    <cellStyle name="20% - Accent5 2 3 3 2 3" xfId="17301"/>
    <cellStyle name="20% - Accent5 2 3 3 3" xfId="21458"/>
    <cellStyle name="20% - Accent5 2 3 3 4" xfId="13161"/>
    <cellStyle name="20% - Accent5 2 3 4" xfId="6929"/>
    <cellStyle name="20% - Accent5 2 3 4 2" xfId="23526"/>
    <cellStyle name="20% - Accent5 2 3 4 3" xfId="15229"/>
    <cellStyle name="20% - Accent5 2 3 5" xfId="19386"/>
    <cellStyle name="20% - Accent5 2 3 6" xfId="11089"/>
    <cellStyle name="20% - Accent5 2 4" xfId="3234"/>
    <cellStyle name="20% - Accent5 2 4 2" xfId="5364"/>
    <cellStyle name="20% - Accent5 2 4 2 2" xfId="9520"/>
    <cellStyle name="20% - Accent5 2 4 2 2 2" xfId="26117"/>
    <cellStyle name="20% - Accent5 2 4 2 2 3" xfId="17820"/>
    <cellStyle name="20% - Accent5 2 4 2 3" xfId="21977"/>
    <cellStyle name="20% - Accent5 2 4 2 4" xfId="13680"/>
    <cellStyle name="20% - Accent5 2 4 3" xfId="7448"/>
    <cellStyle name="20% - Accent5 2 4 3 2" xfId="24045"/>
    <cellStyle name="20% - Accent5 2 4 3 3" xfId="15748"/>
    <cellStyle name="20% - Accent5 2 4 4" xfId="19905"/>
    <cellStyle name="20% - Accent5 2 4 5" xfId="11608"/>
    <cellStyle name="20% - Accent5 2 5" xfId="4283"/>
    <cellStyle name="20% - Accent5 2 5 2" xfId="8484"/>
    <cellStyle name="20% - Accent5 2 5 2 2" xfId="25081"/>
    <cellStyle name="20% - Accent5 2 5 2 3" xfId="16784"/>
    <cellStyle name="20% - Accent5 2 5 3" xfId="20941"/>
    <cellStyle name="20% - Accent5 2 5 4" xfId="12644"/>
    <cellStyle name="20% - Accent5 2 6" xfId="6404"/>
    <cellStyle name="20% - Accent5 2 6 2" xfId="23011"/>
    <cellStyle name="20% - Accent5 2 6 3" xfId="14714"/>
    <cellStyle name="20% - Accent5 2 7" xfId="18866"/>
    <cellStyle name="20% - Accent5 2 8" xfId="10569"/>
    <cellStyle name="20% - Accent5 3" xfId="421"/>
    <cellStyle name="20% - Accent5 3 2" xfId="422"/>
    <cellStyle name="20% - Accent5 4" xfId="423"/>
    <cellStyle name="20% - Accent5 4 2" xfId="424"/>
    <cellStyle name="20% - Accent5 5" xfId="425"/>
    <cellStyle name="20% - Accent5 6" xfId="4282"/>
    <cellStyle name="20% - Accent6" xfId="426" builtinId="50" customBuiltin="1"/>
    <cellStyle name="20% - Accent6 2" xfId="427"/>
    <cellStyle name="20% - Accent6 2 2" xfId="428"/>
    <cellStyle name="20% - Accent6 2 2 2" xfId="429"/>
    <cellStyle name="20% - Accent6 2 2 2 2" xfId="2707"/>
    <cellStyle name="20% - Accent6 2 2 2 2 2" xfId="3758"/>
    <cellStyle name="20% - Accent6 2 2 2 2 2 2" xfId="5883"/>
    <cellStyle name="20% - Accent6 2 2 2 2 2 2 2" xfId="10039"/>
    <cellStyle name="20% - Accent6 2 2 2 2 2 2 2 2" xfId="26636"/>
    <cellStyle name="20% - Accent6 2 2 2 2 2 2 2 3" xfId="18339"/>
    <cellStyle name="20% - Accent6 2 2 2 2 2 2 3" xfId="22496"/>
    <cellStyle name="20% - Accent6 2 2 2 2 2 2 4" xfId="14199"/>
    <cellStyle name="20% - Accent6 2 2 2 2 2 3" xfId="7967"/>
    <cellStyle name="20% - Accent6 2 2 2 2 2 3 2" xfId="24564"/>
    <cellStyle name="20% - Accent6 2 2 2 2 2 3 3" xfId="16267"/>
    <cellStyle name="20% - Accent6 2 2 2 2 2 4" xfId="20424"/>
    <cellStyle name="20% - Accent6 2 2 2 2 2 5" xfId="12127"/>
    <cellStyle name="20% - Accent6 2 2 2 2 3" xfId="4849"/>
    <cellStyle name="20% - Accent6 2 2 2 2 3 2" xfId="9005"/>
    <cellStyle name="20% - Accent6 2 2 2 2 3 2 2" xfId="25602"/>
    <cellStyle name="20% - Accent6 2 2 2 2 3 2 3" xfId="17305"/>
    <cellStyle name="20% - Accent6 2 2 2 2 3 3" xfId="21462"/>
    <cellStyle name="20% - Accent6 2 2 2 2 3 4" xfId="13165"/>
    <cellStyle name="20% - Accent6 2 2 2 2 4" xfId="6933"/>
    <cellStyle name="20% - Accent6 2 2 2 2 4 2" xfId="23530"/>
    <cellStyle name="20% - Accent6 2 2 2 2 4 3" xfId="15233"/>
    <cellStyle name="20% - Accent6 2 2 2 2 5" xfId="19390"/>
    <cellStyle name="20% - Accent6 2 2 2 2 6" xfId="11093"/>
    <cellStyle name="20% - Accent6 2 2 2 3" xfId="3238"/>
    <cellStyle name="20% - Accent6 2 2 2 3 2" xfId="5368"/>
    <cellStyle name="20% - Accent6 2 2 2 3 2 2" xfId="9524"/>
    <cellStyle name="20% - Accent6 2 2 2 3 2 2 2" xfId="26121"/>
    <cellStyle name="20% - Accent6 2 2 2 3 2 2 3" xfId="17824"/>
    <cellStyle name="20% - Accent6 2 2 2 3 2 3" xfId="21981"/>
    <cellStyle name="20% - Accent6 2 2 2 3 2 4" xfId="13684"/>
    <cellStyle name="20% - Accent6 2 2 2 3 3" xfId="7452"/>
    <cellStyle name="20% - Accent6 2 2 2 3 3 2" xfId="24049"/>
    <cellStyle name="20% - Accent6 2 2 2 3 3 3" xfId="15752"/>
    <cellStyle name="20% - Accent6 2 2 2 3 4" xfId="19909"/>
    <cellStyle name="20% - Accent6 2 2 2 3 5" xfId="11612"/>
    <cellStyle name="20% - Accent6 2 2 2 4" xfId="4288"/>
    <cellStyle name="20% - Accent6 2 2 2 4 2" xfId="8488"/>
    <cellStyle name="20% - Accent6 2 2 2 4 2 2" xfId="25085"/>
    <cellStyle name="20% - Accent6 2 2 2 4 2 3" xfId="16788"/>
    <cellStyle name="20% - Accent6 2 2 2 4 3" xfId="20945"/>
    <cellStyle name="20% - Accent6 2 2 2 4 4" xfId="12648"/>
    <cellStyle name="20% - Accent6 2 2 2 5" xfId="6408"/>
    <cellStyle name="20% - Accent6 2 2 2 5 2" xfId="23015"/>
    <cellStyle name="20% - Accent6 2 2 2 5 3" xfId="14718"/>
    <cellStyle name="20% - Accent6 2 2 2 6" xfId="18870"/>
    <cellStyle name="20% - Accent6 2 2 2 7" xfId="10573"/>
    <cellStyle name="20% - Accent6 2 2 3" xfId="2706"/>
    <cellStyle name="20% - Accent6 2 2 3 2" xfId="3757"/>
    <cellStyle name="20% - Accent6 2 2 3 2 2" xfId="5882"/>
    <cellStyle name="20% - Accent6 2 2 3 2 2 2" xfId="10038"/>
    <cellStyle name="20% - Accent6 2 2 3 2 2 2 2" xfId="26635"/>
    <cellStyle name="20% - Accent6 2 2 3 2 2 2 3" xfId="18338"/>
    <cellStyle name="20% - Accent6 2 2 3 2 2 3" xfId="22495"/>
    <cellStyle name="20% - Accent6 2 2 3 2 2 4" xfId="14198"/>
    <cellStyle name="20% - Accent6 2 2 3 2 3" xfId="7966"/>
    <cellStyle name="20% - Accent6 2 2 3 2 3 2" xfId="24563"/>
    <cellStyle name="20% - Accent6 2 2 3 2 3 3" xfId="16266"/>
    <cellStyle name="20% - Accent6 2 2 3 2 4" xfId="20423"/>
    <cellStyle name="20% - Accent6 2 2 3 2 5" xfId="12126"/>
    <cellStyle name="20% - Accent6 2 2 3 3" xfId="4848"/>
    <cellStyle name="20% - Accent6 2 2 3 3 2" xfId="9004"/>
    <cellStyle name="20% - Accent6 2 2 3 3 2 2" xfId="25601"/>
    <cellStyle name="20% - Accent6 2 2 3 3 2 3" xfId="17304"/>
    <cellStyle name="20% - Accent6 2 2 3 3 3" xfId="21461"/>
    <cellStyle name="20% - Accent6 2 2 3 3 4" xfId="13164"/>
    <cellStyle name="20% - Accent6 2 2 3 4" xfId="6932"/>
    <cellStyle name="20% - Accent6 2 2 3 4 2" xfId="23529"/>
    <cellStyle name="20% - Accent6 2 2 3 4 3" xfId="15232"/>
    <cellStyle name="20% - Accent6 2 2 3 5" xfId="19389"/>
    <cellStyle name="20% - Accent6 2 2 3 6" xfId="11092"/>
    <cellStyle name="20% - Accent6 2 2 4" xfId="3237"/>
    <cellStyle name="20% - Accent6 2 2 4 2" xfId="5367"/>
    <cellStyle name="20% - Accent6 2 2 4 2 2" xfId="9523"/>
    <cellStyle name="20% - Accent6 2 2 4 2 2 2" xfId="26120"/>
    <cellStyle name="20% - Accent6 2 2 4 2 2 3" xfId="17823"/>
    <cellStyle name="20% - Accent6 2 2 4 2 3" xfId="21980"/>
    <cellStyle name="20% - Accent6 2 2 4 2 4" xfId="13683"/>
    <cellStyle name="20% - Accent6 2 2 4 3" xfId="7451"/>
    <cellStyle name="20% - Accent6 2 2 4 3 2" xfId="24048"/>
    <cellStyle name="20% - Accent6 2 2 4 3 3" xfId="15751"/>
    <cellStyle name="20% - Accent6 2 2 4 4" xfId="19908"/>
    <cellStyle name="20% - Accent6 2 2 4 5" xfId="11611"/>
    <cellStyle name="20% - Accent6 2 2 5" xfId="4287"/>
    <cellStyle name="20% - Accent6 2 2 5 2" xfId="8487"/>
    <cellStyle name="20% - Accent6 2 2 5 2 2" xfId="25084"/>
    <cellStyle name="20% - Accent6 2 2 5 2 3" xfId="16787"/>
    <cellStyle name="20% - Accent6 2 2 5 3" xfId="20944"/>
    <cellStyle name="20% - Accent6 2 2 5 4" xfId="12647"/>
    <cellStyle name="20% - Accent6 2 2 6" xfId="6407"/>
    <cellStyle name="20% - Accent6 2 2 6 2" xfId="23014"/>
    <cellStyle name="20% - Accent6 2 2 6 3" xfId="14717"/>
    <cellStyle name="20% - Accent6 2 2 7" xfId="18869"/>
    <cellStyle name="20% - Accent6 2 2 8" xfId="10572"/>
    <cellStyle name="20% - Accent6 2 3" xfId="430"/>
    <cellStyle name="20% - Accent6 2 3 2" xfId="2708"/>
    <cellStyle name="20% - Accent6 2 3 2 2" xfId="3759"/>
    <cellStyle name="20% - Accent6 2 3 2 2 2" xfId="5884"/>
    <cellStyle name="20% - Accent6 2 3 2 2 2 2" xfId="10040"/>
    <cellStyle name="20% - Accent6 2 3 2 2 2 2 2" xfId="26637"/>
    <cellStyle name="20% - Accent6 2 3 2 2 2 2 3" xfId="18340"/>
    <cellStyle name="20% - Accent6 2 3 2 2 2 3" xfId="22497"/>
    <cellStyle name="20% - Accent6 2 3 2 2 2 4" xfId="14200"/>
    <cellStyle name="20% - Accent6 2 3 2 2 3" xfId="7968"/>
    <cellStyle name="20% - Accent6 2 3 2 2 3 2" xfId="24565"/>
    <cellStyle name="20% - Accent6 2 3 2 2 3 3" xfId="16268"/>
    <cellStyle name="20% - Accent6 2 3 2 2 4" xfId="20425"/>
    <cellStyle name="20% - Accent6 2 3 2 2 5" xfId="12128"/>
    <cellStyle name="20% - Accent6 2 3 2 3" xfId="4850"/>
    <cellStyle name="20% - Accent6 2 3 2 3 2" xfId="9006"/>
    <cellStyle name="20% - Accent6 2 3 2 3 2 2" xfId="25603"/>
    <cellStyle name="20% - Accent6 2 3 2 3 2 3" xfId="17306"/>
    <cellStyle name="20% - Accent6 2 3 2 3 3" xfId="21463"/>
    <cellStyle name="20% - Accent6 2 3 2 3 4" xfId="13166"/>
    <cellStyle name="20% - Accent6 2 3 2 4" xfId="6934"/>
    <cellStyle name="20% - Accent6 2 3 2 4 2" xfId="23531"/>
    <cellStyle name="20% - Accent6 2 3 2 4 3" xfId="15234"/>
    <cellStyle name="20% - Accent6 2 3 2 5" xfId="19391"/>
    <cellStyle name="20% - Accent6 2 3 2 6" xfId="11094"/>
    <cellStyle name="20% - Accent6 2 3 3" xfId="3239"/>
    <cellStyle name="20% - Accent6 2 3 3 2" xfId="5369"/>
    <cellStyle name="20% - Accent6 2 3 3 2 2" xfId="9525"/>
    <cellStyle name="20% - Accent6 2 3 3 2 2 2" xfId="26122"/>
    <cellStyle name="20% - Accent6 2 3 3 2 2 3" xfId="17825"/>
    <cellStyle name="20% - Accent6 2 3 3 2 3" xfId="21982"/>
    <cellStyle name="20% - Accent6 2 3 3 2 4" xfId="13685"/>
    <cellStyle name="20% - Accent6 2 3 3 3" xfId="7453"/>
    <cellStyle name="20% - Accent6 2 3 3 3 2" xfId="24050"/>
    <cellStyle name="20% - Accent6 2 3 3 3 3" xfId="15753"/>
    <cellStyle name="20% - Accent6 2 3 3 4" xfId="19910"/>
    <cellStyle name="20% - Accent6 2 3 3 5" xfId="11613"/>
    <cellStyle name="20% - Accent6 2 3 4" xfId="4289"/>
    <cellStyle name="20% - Accent6 2 3 4 2" xfId="8489"/>
    <cellStyle name="20% - Accent6 2 3 4 2 2" xfId="25086"/>
    <cellStyle name="20% - Accent6 2 3 4 2 3" xfId="16789"/>
    <cellStyle name="20% - Accent6 2 3 4 3" xfId="20946"/>
    <cellStyle name="20% - Accent6 2 3 4 4" xfId="12649"/>
    <cellStyle name="20% - Accent6 2 3 5" xfId="6409"/>
    <cellStyle name="20% - Accent6 2 3 5 2" xfId="23016"/>
    <cellStyle name="20% - Accent6 2 3 5 3" xfId="14719"/>
    <cellStyle name="20% - Accent6 2 3 6" xfId="18871"/>
    <cellStyle name="20% - Accent6 2 3 7" xfId="10574"/>
    <cellStyle name="20% - Accent6 2 4" xfId="2705"/>
    <cellStyle name="20% - Accent6 2 4 2" xfId="3756"/>
    <cellStyle name="20% - Accent6 2 4 2 2" xfId="5881"/>
    <cellStyle name="20% - Accent6 2 4 2 2 2" xfId="10037"/>
    <cellStyle name="20% - Accent6 2 4 2 2 2 2" xfId="26634"/>
    <cellStyle name="20% - Accent6 2 4 2 2 2 3" xfId="18337"/>
    <cellStyle name="20% - Accent6 2 4 2 2 3" xfId="22494"/>
    <cellStyle name="20% - Accent6 2 4 2 2 4" xfId="14197"/>
    <cellStyle name="20% - Accent6 2 4 2 3" xfId="7965"/>
    <cellStyle name="20% - Accent6 2 4 2 3 2" xfId="24562"/>
    <cellStyle name="20% - Accent6 2 4 2 3 3" xfId="16265"/>
    <cellStyle name="20% - Accent6 2 4 2 4" xfId="20422"/>
    <cellStyle name="20% - Accent6 2 4 2 5" xfId="12125"/>
    <cellStyle name="20% - Accent6 2 4 3" xfId="4847"/>
    <cellStyle name="20% - Accent6 2 4 3 2" xfId="9003"/>
    <cellStyle name="20% - Accent6 2 4 3 2 2" xfId="25600"/>
    <cellStyle name="20% - Accent6 2 4 3 2 3" xfId="17303"/>
    <cellStyle name="20% - Accent6 2 4 3 3" xfId="21460"/>
    <cellStyle name="20% - Accent6 2 4 3 4" xfId="13163"/>
    <cellStyle name="20% - Accent6 2 4 4" xfId="6931"/>
    <cellStyle name="20% - Accent6 2 4 4 2" xfId="23528"/>
    <cellStyle name="20% - Accent6 2 4 4 3" xfId="15231"/>
    <cellStyle name="20% - Accent6 2 4 5" xfId="19388"/>
    <cellStyle name="20% - Accent6 2 4 6" xfId="11091"/>
    <cellStyle name="20% - Accent6 2 5" xfId="3236"/>
    <cellStyle name="20% - Accent6 2 5 2" xfId="5366"/>
    <cellStyle name="20% - Accent6 2 5 2 2" xfId="9522"/>
    <cellStyle name="20% - Accent6 2 5 2 2 2" xfId="26119"/>
    <cellStyle name="20% - Accent6 2 5 2 2 3" xfId="17822"/>
    <cellStyle name="20% - Accent6 2 5 2 3" xfId="21979"/>
    <cellStyle name="20% - Accent6 2 5 2 4" xfId="13682"/>
    <cellStyle name="20% - Accent6 2 5 3" xfId="7450"/>
    <cellStyle name="20% - Accent6 2 5 3 2" xfId="24047"/>
    <cellStyle name="20% - Accent6 2 5 3 3" xfId="15750"/>
    <cellStyle name="20% - Accent6 2 5 4" xfId="19907"/>
    <cellStyle name="20% - Accent6 2 5 5" xfId="11610"/>
    <cellStyle name="20% - Accent6 2 6" xfId="4286"/>
    <cellStyle name="20% - Accent6 2 6 2" xfId="8486"/>
    <cellStyle name="20% - Accent6 2 6 2 2" xfId="25083"/>
    <cellStyle name="20% - Accent6 2 6 2 3" xfId="16786"/>
    <cellStyle name="20% - Accent6 2 6 3" xfId="20943"/>
    <cellStyle name="20% - Accent6 2 6 4" xfId="12646"/>
    <cellStyle name="20% - Accent6 2 7" xfId="6406"/>
    <cellStyle name="20% - Accent6 2 7 2" xfId="23013"/>
    <cellStyle name="20% - Accent6 2 7 3" xfId="14716"/>
    <cellStyle name="20% - Accent6 2 8" xfId="18868"/>
    <cellStyle name="20% - Accent6 2 9" xfId="10571"/>
    <cellStyle name="20% - Accent6 3" xfId="431"/>
    <cellStyle name="20% - Accent6 3 2" xfId="432"/>
    <cellStyle name="20% - Accent6 4" xfId="433"/>
    <cellStyle name="20% - Accent6 4 2" xfId="434"/>
    <cellStyle name="20% - Accent6 5" xfId="435"/>
    <cellStyle name="20% - Accent6 6" xfId="4285"/>
    <cellStyle name="20% - Ênfase1" xfId="436"/>
    <cellStyle name="20% - Ênfase1 2" xfId="437"/>
    <cellStyle name="20% - Ênfase1 2 2" xfId="438"/>
    <cellStyle name="20% - Ênfase1 3" xfId="439"/>
    <cellStyle name="20% - Ênfase2" xfId="440"/>
    <cellStyle name="20% - Ênfase2 2" xfId="441"/>
    <cellStyle name="20% - Ênfase2 2 2" xfId="442"/>
    <cellStyle name="20% - Ênfase2 3" xfId="443"/>
    <cellStyle name="20% - Ênfase3" xfId="444"/>
    <cellStyle name="20% - Ênfase3 2" xfId="445"/>
    <cellStyle name="20% - Ênfase3 2 2" xfId="446"/>
    <cellStyle name="20% - Ênfase3 3" xfId="447"/>
    <cellStyle name="20% - Ênfase4" xfId="448"/>
    <cellStyle name="20% - Ênfase4 2" xfId="449"/>
    <cellStyle name="20% - Ênfase4 2 2" xfId="450"/>
    <cellStyle name="20% - Ênfase4 3" xfId="451"/>
    <cellStyle name="20% - Ênfase5" xfId="452"/>
    <cellStyle name="20% - Ênfase5 2" xfId="453"/>
    <cellStyle name="20% - Ênfase5 2 2" xfId="454"/>
    <cellStyle name="20% - Ênfase5 3" xfId="455"/>
    <cellStyle name="20% - Ênfase6" xfId="456"/>
    <cellStyle name="20% - Ênfase6 2" xfId="457"/>
    <cellStyle name="20% - Ênfase6 2 2" xfId="458"/>
    <cellStyle name="20% - Ênfase6 3" xfId="459"/>
    <cellStyle name="40% - Accent1" xfId="460" builtinId="31" customBuiltin="1"/>
    <cellStyle name="40% - Accent1 2" xfId="461"/>
    <cellStyle name="40% - Accent1 2 2" xfId="462"/>
    <cellStyle name="40% - Accent1 2 2 2" xfId="463"/>
    <cellStyle name="40% - Accent1 2 2 2 2" xfId="2711"/>
    <cellStyle name="40% - Accent1 2 2 2 2 2" xfId="3762"/>
    <cellStyle name="40% - Accent1 2 2 2 2 2 2" xfId="5887"/>
    <cellStyle name="40% - Accent1 2 2 2 2 2 2 2" xfId="10043"/>
    <cellStyle name="40% - Accent1 2 2 2 2 2 2 2 2" xfId="26640"/>
    <cellStyle name="40% - Accent1 2 2 2 2 2 2 2 3" xfId="18343"/>
    <cellStyle name="40% - Accent1 2 2 2 2 2 2 3" xfId="22500"/>
    <cellStyle name="40% - Accent1 2 2 2 2 2 2 4" xfId="14203"/>
    <cellStyle name="40% - Accent1 2 2 2 2 2 3" xfId="7971"/>
    <cellStyle name="40% - Accent1 2 2 2 2 2 3 2" xfId="24568"/>
    <cellStyle name="40% - Accent1 2 2 2 2 2 3 3" xfId="16271"/>
    <cellStyle name="40% - Accent1 2 2 2 2 2 4" xfId="20428"/>
    <cellStyle name="40% - Accent1 2 2 2 2 2 5" xfId="12131"/>
    <cellStyle name="40% - Accent1 2 2 2 2 3" xfId="4853"/>
    <cellStyle name="40% - Accent1 2 2 2 2 3 2" xfId="9009"/>
    <cellStyle name="40% - Accent1 2 2 2 2 3 2 2" xfId="25606"/>
    <cellStyle name="40% - Accent1 2 2 2 2 3 2 3" xfId="17309"/>
    <cellStyle name="40% - Accent1 2 2 2 2 3 3" xfId="21466"/>
    <cellStyle name="40% - Accent1 2 2 2 2 3 4" xfId="13169"/>
    <cellStyle name="40% - Accent1 2 2 2 2 4" xfId="6937"/>
    <cellStyle name="40% - Accent1 2 2 2 2 4 2" xfId="23534"/>
    <cellStyle name="40% - Accent1 2 2 2 2 4 3" xfId="15237"/>
    <cellStyle name="40% - Accent1 2 2 2 2 5" xfId="19394"/>
    <cellStyle name="40% - Accent1 2 2 2 2 6" xfId="11097"/>
    <cellStyle name="40% - Accent1 2 2 2 3" xfId="3242"/>
    <cellStyle name="40% - Accent1 2 2 2 3 2" xfId="5372"/>
    <cellStyle name="40% - Accent1 2 2 2 3 2 2" xfId="9528"/>
    <cellStyle name="40% - Accent1 2 2 2 3 2 2 2" xfId="26125"/>
    <cellStyle name="40% - Accent1 2 2 2 3 2 2 3" xfId="17828"/>
    <cellStyle name="40% - Accent1 2 2 2 3 2 3" xfId="21985"/>
    <cellStyle name="40% - Accent1 2 2 2 3 2 4" xfId="13688"/>
    <cellStyle name="40% - Accent1 2 2 2 3 3" xfId="7456"/>
    <cellStyle name="40% - Accent1 2 2 2 3 3 2" xfId="24053"/>
    <cellStyle name="40% - Accent1 2 2 2 3 3 3" xfId="15756"/>
    <cellStyle name="40% - Accent1 2 2 2 3 4" xfId="19913"/>
    <cellStyle name="40% - Accent1 2 2 2 3 5" xfId="11616"/>
    <cellStyle name="40% - Accent1 2 2 2 4" xfId="4293"/>
    <cellStyle name="40% - Accent1 2 2 2 4 2" xfId="8492"/>
    <cellStyle name="40% - Accent1 2 2 2 4 2 2" xfId="25089"/>
    <cellStyle name="40% - Accent1 2 2 2 4 2 3" xfId="16792"/>
    <cellStyle name="40% - Accent1 2 2 2 4 3" xfId="20949"/>
    <cellStyle name="40% - Accent1 2 2 2 4 4" xfId="12652"/>
    <cellStyle name="40% - Accent1 2 2 2 5" xfId="6412"/>
    <cellStyle name="40% - Accent1 2 2 2 5 2" xfId="23019"/>
    <cellStyle name="40% - Accent1 2 2 2 5 3" xfId="14722"/>
    <cellStyle name="40% - Accent1 2 2 2 6" xfId="18874"/>
    <cellStyle name="40% - Accent1 2 2 2 7" xfId="10577"/>
    <cellStyle name="40% - Accent1 2 2 3" xfId="2710"/>
    <cellStyle name="40% - Accent1 2 2 3 2" xfId="3761"/>
    <cellStyle name="40% - Accent1 2 2 3 2 2" xfId="5886"/>
    <cellStyle name="40% - Accent1 2 2 3 2 2 2" xfId="10042"/>
    <cellStyle name="40% - Accent1 2 2 3 2 2 2 2" xfId="26639"/>
    <cellStyle name="40% - Accent1 2 2 3 2 2 2 3" xfId="18342"/>
    <cellStyle name="40% - Accent1 2 2 3 2 2 3" xfId="22499"/>
    <cellStyle name="40% - Accent1 2 2 3 2 2 4" xfId="14202"/>
    <cellStyle name="40% - Accent1 2 2 3 2 3" xfId="7970"/>
    <cellStyle name="40% - Accent1 2 2 3 2 3 2" xfId="24567"/>
    <cellStyle name="40% - Accent1 2 2 3 2 3 3" xfId="16270"/>
    <cellStyle name="40% - Accent1 2 2 3 2 4" xfId="20427"/>
    <cellStyle name="40% - Accent1 2 2 3 2 5" xfId="12130"/>
    <cellStyle name="40% - Accent1 2 2 3 3" xfId="4852"/>
    <cellStyle name="40% - Accent1 2 2 3 3 2" xfId="9008"/>
    <cellStyle name="40% - Accent1 2 2 3 3 2 2" xfId="25605"/>
    <cellStyle name="40% - Accent1 2 2 3 3 2 3" xfId="17308"/>
    <cellStyle name="40% - Accent1 2 2 3 3 3" xfId="21465"/>
    <cellStyle name="40% - Accent1 2 2 3 3 4" xfId="13168"/>
    <cellStyle name="40% - Accent1 2 2 3 4" xfId="6936"/>
    <cellStyle name="40% - Accent1 2 2 3 4 2" xfId="23533"/>
    <cellStyle name="40% - Accent1 2 2 3 4 3" xfId="15236"/>
    <cellStyle name="40% - Accent1 2 2 3 5" xfId="19393"/>
    <cellStyle name="40% - Accent1 2 2 3 6" xfId="11096"/>
    <cellStyle name="40% - Accent1 2 2 4" xfId="3241"/>
    <cellStyle name="40% - Accent1 2 2 4 2" xfId="5371"/>
    <cellStyle name="40% - Accent1 2 2 4 2 2" xfId="9527"/>
    <cellStyle name="40% - Accent1 2 2 4 2 2 2" xfId="26124"/>
    <cellStyle name="40% - Accent1 2 2 4 2 2 3" xfId="17827"/>
    <cellStyle name="40% - Accent1 2 2 4 2 3" xfId="21984"/>
    <cellStyle name="40% - Accent1 2 2 4 2 4" xfId="13687"/>
    <cellStyle name="40% - Accent1 2 2 4 3" xfId="7455"/>
    <cellStyle name="40% - Accent1 2 2 4 3 2" xfId="24052"/>
    <cellStyle name="40% - Accent1 2 2 4 3 3" xfId="15755"/>
    <cellStyle name="40% - Accent1 2 2 4 4" xfId="19912"/>
    <cellStyle name="40% - Accent1 2 2 4 5" xfId="11615"/>
    <cellStyle name="40% - Accent1 2 2 5" xfId="4292"/>
    <cellStyle name="40% - Accent1 2 2 5 2" xfId="8491"/>
    <cellStyle name="40% - Accent1 2 2 5 2 2" xfId="25088"/>
    <cellStyle name="40% - Accent1 2 2 5 2 3" xfId="16791"/>
    <cellStyle name="40% - Accent1 2 2 5 3" xfId="20948"/>
    <cellStyle name="40% - Accent1 2 2 5 4" xfId="12651"/>
    <cellStyle name="40% - Accent1 2 2 6" xfId="6411"/>
    <cellStyle name="40% - Accent1 2 2 6 2" xfId="23018"/>
    <cellStyle name="40% - Accent1 2 2 6 3" xfId="14721"/>
    <cellStyle name="40% - Accent1 2 2 7" xfId="18873"/>
    <cellStyle name="40% - Accent1 2 2 8" xfId="10576"/>
    <cellStyle name="40% - Accent1 2 3" xfId="464"/>
    <cellStyle name="40% - Accent1 2 3 2" xfId="2712"/>
    <cellStyle name="40% - Accent1 2 3 2 2" xfId="3763"/>
    <cellStyle name="40% - Accent1 2 3 2 2 2" xfId="5888"/>
    <cellStyle name="40% - Accent1 2 3 2 2 2 2" xfId="10044"/>
    <cellStyle name="40% - Accent1 2 3 2 2 2 2 2" xfId="26641"/>
    <cellStyle name="40% - Accent1 2 3 2 2 2 2 3" xfId="18344"/>
    <cellStyle name="40% - Accent1 2 3 2 2 2 3" xfId="22501"/>
    <cellStyle name="40% - Accent1 2 3 2 2 2 4" xfId="14204"/>
    <cellStyle name="40% - Accent1 2 3 2 2 3" xfId="7972"/>
    <cellStyle name="40% - Accent1 2 3 2 2 3 2" xfId="24569"/>
    <cellStyle name="40% - Accent1 2 3 2 2 3 3" xfId="16272"/>
    <cellStyle name="40% - Accent1 2 3 2 2 4" xfId="20429"/>
    <cellStyle name="40% - Accent1 2 3 2 2 5" xfId="12132"/>
    <cellStyle name="40% - Accent1 2 3 2 3" xfId="4854"/>
    <cellStyle name="40% - Accent1 2 3 2 3 2" xfId="9010"/>
    <cellStyle name="40% - Accent1 2 3 2 3 2 2" xfId="25607"/>
    <cellStyle name="40% - Accent1 2 3 2 3 2 3" xfId="17310"/>
    <cellStyle name="40% - Accent1 2 3 2 3 3" xfId="21467"/>
    <cellStyle name="40% - Accent1 2 3 2 3 4" xfId="13170"/>
    <cellStyle name="40% - Accent1 2 3 2 4" xfId="6938"/>
    <cellStyle name="40% - Accent1 2 3 2 4 2" xfId="23535"/>
    <cellStyle name="40% - Accent1 2 3 2 4 3" xfId="15238"/>
    <cellStyle name="40% - Accent1 2 3 2 5" xfId="19395"/>
    <cellStyle name="40% - Accent1 2 3 2 6" xfId="11098"/>
    <cellStyle name="40% - Accent1 2 3 3" xfId="3243"/>
    <cellStyle name="40% - Accent1 2 3 3 2" xfId="5373"/>
    <cellStyle name="40% - Accent1 2 3 3 2 2" xfId="9529"/>
    <cellStyle name="40% - Accent1 2 3 3 2 2 2" xfId="26126"/>
    <cellStyle name="40% - Accent1 2 3 3 2 2 3" xfId="17829"/>
    <cellStyle name="40% - Accent1 2 3 3 2 3" xfId="21986"/>
    <cellStyle name="40% - Accent1 2 3 3 2 4" xfId="13689"/>
    <cellStyle name="40% - Accent1 2 3 3 3" xfId="7457"/>
    <cellStyle name="40% - Accent1 2 3 3 3 2" xfId="24054"/>
    <cellStyle name="40% - Accent1 2 3 3 3 3" xfId="15757"/>
    <cellStyle name="40% - Accent1 2 3 3 4" xfId="19914"/>
    <cellStyle name="40% - Accent1 2 3 3 5" xfId="11617"/>
    <cellStyle name="40% - Accent1 2 3 4" xfId="4294"/>
    <cellStyle name="40% - Accent1 2 3 4 2" xfId="8493"/>
    <cellStyle name="40% - Accent1 2 3 4 2 2" xfId="25090"/>
    <cellStyle name="40% - Accent1 2 3 4 2 3" xfId="16793"/>
    <cellStyle name="40% - Accent1 2 3 4 3" xfId="20950"/>
    <cellStyle name="40% - Accent1 2 3 4 4" xfId="12653"/>
    <cellStyle name="40% - Accent1 2 3 5" xfId="6413"/>
    <cellStyle name="40% - Accent1 2 3 5 2" xfId="23020"/>
    <cellStyle name="40% - Accent1 2 3 5 3" xfId="14723"/>
    <cellStyle name="40% - Accent1 2 3 6" xfId="18875"/>
    <cellStyle name="40% - Accent1 2 3 7" xfId="10578"/>
    <cellStyle name="40% - Accent1 2 4" xfId="2709"/>
    <cellStyle name="40% - Accent1 2 4 2" xfId="3760"/>
    <cellStyle name="40% - Accent1 2 4 2 2" xfId="5885"/>
    <cellStyle name="40% - Accent1 2 4 2 2 2" xfId="10041"/>
    <cellStyle name="40% - Accent1 2 4 2 2 2 2" xfId="26638"/>
    <cellStyle name="40% - Accent1 2 4 2 2 2 3" xfId="18341"/>
    <cellStyle name="40% - Accent1 2 4 2 2 3" xfId="22498"/>
    <cellStyle name="40% - Accent1 2 4 2 2 4" xfId="14201"/>
    <cellStyle name="40% - Accent1 2 4 2 3" xfId="7969"/>
    <cellStyle name="40% - Accent1 2 4 2 3 2" xfId="24566"/>
    <cellStyle name="40% - Accent1 2 4 2 3 3" xfId="16269"/>
    <cellStyle name="40% - Accent1 2 4 2 4" xfId="20426"/>
    <cellStyle name="40% - Accent1 2 4 2 5" xfId="12129"/>
    <cellStyle name="40% - Accent1 2 4 3" xfId="4851"/>
    <cellStyle name="40% - Accent1 2 4 3 2" xfId="9007"/>
    <cellStyle name="40% - Accent1 2 4 3 2 2" xfId="25604"/>
    <cellStyle name="40% - Accent1 2 4 3 2 3" xfId="17307"/>
    <cellStyle name="40% - Accent1 2 4 3 3" xfId="21464"/>
    <cellStyle name="40% - Accent1 2 4 3 4" xfId="13167"/>
    <cellStyle name="40% - Accent1 2 4 4" xfId="6935"/>
    <cellStyle name="40% - Accent1 2 4 4 2" xfId="23532"/>
    <cellStyle name="40% - Accent1 2 4 4 3" xfId="15235"/>
    <cellStyle name="40% - Accent1 2 4 5" xfId="19392"/>
    <cellStyle name="40% - Accent1 2 4 6" xfId="11095"/>
    <cellStyle name="40% - Accent1 2 5" xfId="3240"/>
    <cellStyle name="40% - Accent1 2 5 2" xfId="5370"/>
    <cellStyle name="40% - Accent1 2 5 2 2" xfId="9526"/>
    <cellStyle name="40% - Accent1 2 5 2 2 2" xfId="26123"/>
    <cellStyle name="40% - Accent1 2 5 2 2 3" xfId="17826"/>
    <cellStyle name="40% - Accent1 2 5 2 3" xfId="21983"/>
    <cellStyle name="40% - Accent1 2 5 2 4" xfId="13686"/>
    <cellStyle name="40% - Accent1 2 5 3" xfId="7454"/>
    <cellStyle name="40% - Accent1 2 5 3 2" xfId="24051"/>
    <cellStyle name="40% - Accent1 2 5 3 3" xfId="15754"/>
    <cellStyle name="40% - Accent1 2 5 4" xfId="19911"/>
    <cellStyle name="40% - Accent1 2 5 5" xfId="11614"/>
    <cellStyle name="40% - Accent1 2 6" xfId="4291"/>
    <cellStyle name="40% - Accent1 2 6 2" xfId="8490"/>
    <cellStyle name="40% - Accent1 2 6 2 2" xfId="25087"/>
    <cellStyle name="40% - Accent1 2 6 2 3" xfId="16790"/>
    <cellStyle name="40% - Accent1 2 6 3" xfId="20947"/>
    <cellStyle name="40% - Accent1 2 6 4" xfId="12650"/>
    <cellStyle name="40% - Accent1 2 7" xfId="6410"/>
    <cellStyle name="40% - Accent1 2 7 2" xfId="23017"/>
    <cellStyle name="40% - Accent1 2 7 3" xfId="14720"/>
    <cellStyle name="40% - Accent1 2 8" xfId="18872"/>
    <cellStyle name="40% - Accent1 2 9" xfId="10575"/>
    <cellStyle name="40% - Accent1 3" xfId="465"/>
    <cellStyle name="40% - Accent1 3 2" xfId="466"/>
    <cellStyle name="40% - Accent1 4" xfId="467"/>
    <cellStyle name="40% - Accent1 4 2" xfId="468"/>
    <cellStyle name="40% - Accent1 5" xfId="469"/>
    <cellStyle name="40% - Accent1 6" xfId="4290"/>
    <cellStyle name="40% - Accent2" xfId="470" builtinId="35" customBuiltin="1"/>
    <cellStyle name="40% - Accent2 2" xfId="471"/>
    <cellStyle name="40% - Accent2 2 2" xfId="472"/>
    <cellStyle name="40% - Accent2 2 2 2" xfId="2714"/>
    <cellStyle name="40% - Accent2 2 2 2 2" xfId="3765"/>
    <cellStyle name="40% - Accent2 2 2 2 2 2" xfId="5890"/>
    <cellStyle name="40% - Accent2 2 2 2 2 2 2" xfId="10046"/>
    <cellStyle name="40% - Accent2 2 2 2 2 2 2 2" xfId="26643"/>
    <cellStyle name="40% - Accent2 2 2 2 2 2 2 3" xfId="18346"/>
    <cellStyle name="40% - Accent2 2 2 2 2 2 3" xfId="22503"/>
    <cellStyle name="40% - Accent2 2 2 2 2 2 4" xfId="14206"/>
    <cellStyle name="40% - Accent2 2 2 2 2 3" xfId="7974"/>
    <cellStyle name="40% - Accent2 2 2 2 2 3 2" xfId="24571"/>
    <cellStyle name="40% - Accent2 2 2 2 2 3 3" xfId="16274"/>
    <cellStyle name="40% - Accent2 2 2 2 2 4" xfId="20431"/>
    <cellStyle name="40% - Accent2 2 2 2 2 5" xfId="12134"/>
    <cellStyle name="40% - Accent2 2 2 2 3" xfId="4856"/>
    <cellStyle name="40% - Accent2 2 2 2 3 2" xfId="9012"/>
    <cellStyle name="40% - Accent2 2 2 2 3 2 2" xfId="25609"/>
    <cellStyle name="40% - Accent2 2 2 2 3 2 3" xfId="17312"/>
    <cellStyle name="40% - Accent2 2 2 2 3 3" xfId="21469"/>
    <cellStyle name="40% - Accent2 2 2 2 3 4" xfId="13172"/>
    <cellStyle name="40% - Accent2 2 2 2 4" xfId="6940"/>
    <cellStyle name="40% - Accent2 2 2 2 4 2" xfId="23537"/>
    <cellStyle name="40% - Accent2 2 2 2 4 3" xfId="15240"/>
    <cellStyle name="40% - Accent2 2 2 2 5" xfId="19397"/>
    <cellStyle name="40% - Accent2 2 2 2 6" xfId="11100"/>
    <cellStyle name="40% - Accent2 2 2 3" xfId="3245"/>
    <cellStyle name="40% - Accent2 2 2 3 2" xfId="5375"/>
    <cellStyle name="40% - Accent2 2 2 3 2 2" xfId="9531"/>
    <cellStyle name="40% - Accent2 2 2 3 2 2 2" xfId="26128"/>
    <cellStyle name="40% - Accent2 2 2 3 2 2 3" xfId="17831"/>
    <cellStyle name="40% - Accent2 2 2 3 2 3" xfId="21988"/>
    <cellStyle name="40% - Accent2 2 2 3 2 4" xfId="13691"/>
    <cellStyle name="40% - Accent2 2 2 3 3" xfId="7459"/>
    <cellStyle name="40% - Accent2 2 2 3 3 2" xfId="24056"/>
    <cellStyle name="40% - Accent2 2 2 3 3 3" xfId="15759"/>
    <cellStyle name="40% - Accent2 2 2 3 4" xfId="19916"/>
    <cellStyle name="40% - Accent2 2 2 3 5" xfId="11619"/>
    <cellStyle name="40% - Accent2 2 2 4" xfId="4297"/>
    <cellStyle name="40% - Accent2 2 2 4 2" xfId="8495"/>
    <cellStyle name="40% - Accent2 2 2 4 2 2" xfId="25092"/>
    <cellStyle name="40% - Accent2 2 2 4 2 3" xfId="16795"/>
    <cellStyle name="40% - Accent2 2 2 4 3" xfId="20952"/>
    <cellStyle name="40% - Accent2 2 2 4 4" xfId="12655"/>
    <cellStyle name="40% - Accent2 2 2 5" xfId="6415"/>
    <cellStyle name="40% - Accent2 2 2 5 2" xfId="23022"/>
    <cellStyle name="40% - Accent2 2 2 5 3" xfId="14725"/>
    <cellStyle name="40% - Accent2 2 2 6" xfId="18877"/>
    <cellStyle name="40% - Accent2 2 2 7" xfId="10580"/>
    <cellStyle name="40% - Accent2 2 3" xfId="2713"/>
    <cellStyle name="40% - Accent2 2 3 2" xfId="3764"/>
    <cellStyle name="40% - Accent2 2 3 2 2" xfId="5889"/>
    <cellStyle name="40% - Accent2 2 3 2 2 2" xfId="10045"/>
    <cellStyle name="40% - Accent2 2 3 2 2 2 2" xfId="26642"/>
    <cellStyle name="40% - Accent2 2 3 2 2 2 3" xfId="18345"/>
    <cellStyle name="40% - Accent2 2 3 2 2 3" xfId="22502"/>
    <cellStyle name="40% - Accent2 2 3 2 2 4" xfId="14205"/>
    <cellStyle name="40% - Accent2 2 3 2 3" xfId="7973"/>
    <cellStyle name="40% - Accent2 2 3 2 3 2" xfId="24570"/>
    <cellStyle name="40% - Accent2 2 3 2 3 3" xfId="16273"/>
    <cellStyle name="40% - Accent2 2 3 2 4" xfId="20430"/>
    <cellStyle name="40% - Accent2 2 3 2 5" xfId="12133"/>
    <cellStyle name="40% - Accent2 2 3 3" xfId="4855"/>
    <cellStyle name="40% - Accent2 2 3 3 2" xfId="9011"/>
    <cellStyle name="40% - Accent2 2 3 3 2 2" xfId="25608"/>
    <cellStyle name="40% - Accent2 2 3 3 2 3" xfId="17311"/>
    <cellStyle name="40% - Accent2 2 3 3 3" xfId="21468"/>
    <cellStyle name="40% - Accent2 2 3 3 4" xfId="13171"/>
    <cellStyle name="40% - Accent2 2 3 4" xfId="6939"/>
    <cellStyle name="40% - Accent2 2 3 4 2" xfId="23536"/>
    <cellStyle name="40% - Accent2 2 3 4 3" xfId="15239"/>
    <cellStyle name="40% - Accent2 2 3 5" xfId="19396"/>
    <cellStyle name="40% - Accent2 2 3 6" xfId="11099"/>
    <cellStyle name="40% - Accent2 2 4" xfId="3244"/>
    <cellStyle name="40% - Accent2 2 4 2" xfId="5374"/>
    <cellStyle name="40% - Accent2 2 4 2 2" xfId="9530"/>
    <cellStyle name="40% - Accent2 2 4 2 2 2" xfId="26127"/>
    <cellStyle name="40% - Accent2 2 4 2 2 3" xfId="17830"/>
    <cellStyle name="40% - Accent2 2 4 2 3" xfId="21987"/>
    <cellStyle name="40% - Accent2 2 4 2 4" xfId="13690"/>
    <cellStyle name="40% - Accent2 2 4 3" xfId="7458"/>
    <cellStyle name="40% - Accent2 2 4 3 2" xfId="24055"/>
    <cellStyle name="40% - Accent2 2 4 3 3" xfId="15758"/>
    <cellStyle name="40% - Accent2 2 4 4" xfId="19915"/>
    <cellStyle name="40% - Accent2 2 4 5" xfId="11618"/>
    <cellStyle name="40% - Accent2 2 5" xfId="4296"/>
    <cellStyle name="40% - Accent2 2 5 2" xfId="8494"/>
    <cellStyle name="40% - Accent2 2 5 2 2" xfId="25091"/>
    <cellStyle name="40% - Accent2 2 5 2 3" xfId="16794"/>
    <cellStyle name="40% - Accent2 2 5 3" xfId="20951"/>
    <cellStyle name="40% - Accent2 2 5 4" xfId="12654"/>
    <cellStyle name="40% - Accent2 2 6" xfId="6414"/>
    <cellStyle name="40% - Accent2 2 6 2" xfId="23021"/>
    <cellStyle name="40% - Accent2 2 6 3" xfId="14724"/>
    <cellStyle name="40% - Accent2 2 7" xfId="18876"/>
    <cellStyle name="40% - Accent2 2 8" xfId="10579"/>
    <cellStyle name="40% - Accent2 3" xfId="473"/>
    <cellStyle name="40% - Accent2 3 2" xfId="474"/>
    <cellStyle name="40% - Accent2 4" xfId="475"/>
    <cellStyle name="40% - Accent2 4 2" xfId="476"/>
    <cellStyle name="40% - Accent2 5" xfId="477"/>
    <cellStyle name="40% - Accent2 6" xfId="4295"/>
    <cellStyle name="40% - Accent3" xfId="478" builtinId="39" customBuiltin="1"/>
    <cellStyle name="40% - Accent3 2" xfId="479"/>
    <cellStyle name="40% - Accent3 2 2" xfId="480"/>
    <cellStyle name="40% - Accent3 2 2 2" xfId="481"/>
    <cellStyle name="40% - Accent3 2 2 2 2" xfId="2717"/>
    <cellStyle name="40% - Accent3 2 2 2 2 2" xfId="3768"/>
    <cellStyle name="40% - Accent3 2 2 2 2 2 2" xfId="5893"/>
    <cellStyle name="40% - Accent3 2 2 2 2 2 2 2" xfId="10049"/>
    <cellStyle name="40% - Accent3 2 2 2 2 2 2 2 2" xfId="26646"/>
    <cellStyle name="40% - Accent3 2 2 2 2 2 2 2 3" xfId="18349"/>
    <cellStyle name="40% - Accent3 2 2 2 2 2 2 3" xfId="22506"/>
    <cellStyle name="40% - Accent3 2 2 2 2 2 2 4" xfId="14209"/>
    <cellStyle name="40% - Accent3 2 2 2 2 2 3" xfId="7977"/>
    <cellStyle name="40% - Accent3 2 2 2 2 2 3 2" xfId="24574"/>
    <cellStyle name="40% - Accent3 2 2 2 2 2 3 3" xfId="16277"/>
    <cellStyle name="40% - Accent3 2 2 2 2 2 4" xfId="20434"/>
    <cellStyle name="40% - Accent3 2 2 2 2 2 5" xfId="12137"/>
    <cellStyle name="40% - Accent3 2 2 2 2 3" xfId="4859"/>
    <cellStyle name="40% - Accent3 2 2 2 2 3 2" xfId="9015"/>
    <cellStyle name="40% - Accent3 2 2 2 2 3 2 2" xfId="25612"/>
    <cellStyle name="40% - Accent3 2 2 2 2 3 2 3" xfId="17315"/>
    <cellStyle name="40% - Accent3 2 2 2 2 3 3" xfId="21472"/>
    <cellStyle name="40% - Accent3 2 2 2 2 3 4" xfId="13175"/>
    <cellStyle name="40% - Accent3 2 2 2 2 4" xfId="6943"/>
    <cellStyle name="40% - Accent3 2 2 2 2 4 2" xfId="23540"/>
    <cellStyle name="40% - Accent3 2 2 2 2 4 3" xfId="15243"/>
    <cellStyle name="40% - Accent3 2 2 2 2 5" xfId="19400"/>
    <cellStyle name="40% - Accent3 2 2 2 2 6" xfId="11103"/>
    <cellStyle name="40% - Accent3 2 2 2 3" xfId="3248"/>
    <cellStyle name="40% - Accent3 2 2 2 3 2" xfId="5378"/>
    <cellStyle name="40% - Accent3 2 2 2 3 2 2" xfId="9534"/>
    <cellStyle name="40% - Accent3 2 2 2 3 2 2 2" xfId="26131"/>
    <cellStyle name="40% - Accent3 2 2 2 3 2 2 3" xfId="17834"/>
    <cellStyle name="40% - Accent3 2 2 2 3 2 3" xfId="21991"/>
    <cellStyle name="40% - Accent3 2 2 2 3 2 4" xfId="13694"/>
    <cellStyle name="40% - Accent3 2 2 2 3 3" xfId="7462"/>
    <cellStyle name="40% - Accent3 2 2 2 3 3 2" xfId="24059"/>
    <cellStyle name="40% - Accent3 2 2 2 3 3 3" xfId="15762"/>
    <cellStyle name="40% - Accent3 2 2 2 3 4" xfId="19919"/>
    <cellStyle name="40% - Accent3 2 2 2 3 5" xfId="11622"/>
    <cellStyle name="40% - Accent3 2 2 2 4" xfId="4301"/>
    <cellStyle name="40% - Accent3 2 2 2 4 2" xfId="8498"/>
    <cellStyle name="40% - Accent3 2 2 2 4 2 2" xfId="25095"/>
    <cellStyle name="40% - Accent3 2 2 2 4 2 3" xfId="16798"/>
    <cellStyle name="40% - Accent3 2 2 2 4 3" xfId="20955"/>
    <cellStyle name="40% - Accent3 2 2 2 4 4" xfId="12658"/>
    <cellStyle name="40% - Accent3 2 2 2 5" xfId="6418"/>
    <cellStyle name="40% - Accent3 2 2 2 5 2" xfId="23025"/>
    <cellStyle name="40% - Accent3 2 2 2 5 3" xfId="14728"/>
    <cellStyle name="40% - Accent3 2 2 2 6" xfId="18880"/>
    <cellStyle name="40% - Accent3 2 2 2 7" xfId="10583"/>
    <cellStyle name="40% - Accent3 2 2 3" xfId="2716"/>
    <cellStyle name="40% - Accent3 2 2 3 2" xfId="3767"/>
    <cellStyle name="40% - Accent3 2 2 3 2 2" xfId="5892"/>
    <cellStyle name="40% - Accent3 2 2 3 2 2 2" xfId="10048"/>
    <cellStyle name="40% - Accent3 2 2 3 2 2 2 2" xfId="26645"/>
    <cellStyle name="40% - Accent3 2 2 3 2 2 2 3" xfId="18348"/>
    <cellStyle name="40% - Accent3 2 2 3 2 2 3" xfId="22505"/>
    <cellStyle name="40% - Accent3 2 2 3 2 2 4" xfId="14208"/>
    <cellStyle name="40% - Accent3 2 2 3 2 3" xfId="7976"/>
    <cellStyle name="40% - Accent3 2 2 3 2 3 2" xfId="24573"/>
    <cellStyle name="40% - Accent3 2 2 3 2 3 3" xfId="16276"/>
    <cellStyle name="40% - Accent3 2 2 3 2 4" xfId="20433"/>
    <cellStyle name="40% - Accent3 2 2 3 2 5" xfId="12136"/>
    <cellStyle name="40% - Accent3 2 2 3 3" xfId="4858"/>
    <cellStyle name="40% - Accent3 2 2 3 3 2" xfId="9014"/>
    <cellStyle name="40% - Accent3 2 2 3 3 2 2" xfId="25611"/>
    <cellStyle name="40% - Accent3 2 2 3 3 2 3" xfId="17314"/>
    <cellStyle name="40% - Accent3 2 2 3 3 3" xfId="21471"/>
    <cellStyle name="40% - Accent3 2 2 3 3 4" xfId="13174"/>
    <cellStyle name="40% - Accent3 2 2 3 4" xfId="6942"/>
    <cellStyle name="40% - Accent3 2 2 3 4 2" xfId="23539"/>
    <cellStyle name="40% - Accent3 2 2 3 4 3" xfId="15242"/>
    <cellStyle name="40% - Accent3 2 2 3 5" xfId="19399"/>
    <cellStyle name="40% - Accent3 2 2 3 6" xfId="11102"/>
    <cellStyle name="40% - Accent3 2 2 4" xfId="3247"/>
    <cellStyle name="40% - Accent3 2 2 4 2" xfId="5377"/>
    <cellStyle name="40% - Accent3 2 2 4 2 2" xfId="9533"/>
    <cellStyle name="40% - Accent3 2 2 4 2 2 2" xfId="26130"/>
    <cellStyle name="40% - Accent3 2 2 4 2 2 3" xfId="17833"/>
    <cellStyle name="40% - Accent3 2 2 4 2 3" xfId="21990"/>
    <cellStyle name="40% - Accent3 2 2 4 2 4" xfId="13693"/>
    <cellStyle name="40% - Accent3 2 2 4 3" xfId="7461"/>
    <cellStyle name="40% - Accent3 2 2 4 3 2" xfId="24058"/>
    <cellStyle name="40% - Accent3 2 2 4 3 3" xfId="15761"/>
    <cellStyle name="40% - Accent3 2 2 4 4" xfId="19918"/>
    <cellStyle name="40% - Accent3 2 2 4 5" xfId="11621"/>
    <cellStyle name="40% - Accent3 2 2 5" xfId="4300"/>
    <cellStyle name="40% - Accent3 2 2 5 2" xfId="8497"/>
    <cellStyle name="40% - Accent3 2 2 5 2 2" xfId="25094"/>
    <cellStyle name="40% - Accent3 2 2 5 2 3" xfId="16797"/>
    <cellStyle name="40% - Accent3 2 2 5 3" xfId="20954"/>
    <cellStyle name="40% - Accent3 2 2 5 4" xfId="12657"/>
    <cellStyle name="40% - Accent3 2 2 6" xfId="6417"/>
    <cellStyle name="40% - Accent3 2 2 6 2" xfId="23024"/>
    <cellStyle name="40% - Accent3 2 2 6 3" xfId="14727"/>
    <cellStyle name="40% - Accent3 2 2 7" xfId="18879"/>
    <cellStyle name="40% - Accent3 2 2 8" xfId="10582"/>
    <cellStyle name="40% - Accent3 2 3" xfId="482"/>
    <cellStyle name="40% - Accent3 2 3 2" xfId="2718"/>
    <cellStyle name="40% - Accent3 2 3 2 2" xfId="3769"/>
    <cellStyle name="40% - Accent3 2 3 2 2 2" xfId="5894"/>
    <cellStyle name="40% - Accent3 2 3 2 2 2 2" xfId="10050"/>
    <cellStyle name="40% - Accent3 2 3 2 2 2 2 2" xfId="26647"/>
    <cellStyle name="40% - Accent3 2 3 2 2 2 2 3" xfId="18350"/>
    <cellStyle name="40% - Accent3 2 3 2 2 2 3" xfId="22507"/>
    <cellStyle name="40% - Accent3 2 3 2 2 2 4" xfId="14210"/>
    <cellStyle name="40% - Accent3 2 3 2 2 3" xfId="7978"/>
    <cellStyle name="40% - Accent3 2 3 2 2 3 2" xfId="24575"/>
    <cellStyle name="40% - Accent3 2 3 2 2 3 3" xfId="16278"/>
    <cellStyle name="40% - Accent3 2 3 2 2 4" xfId="20435"/>
    <cellStyle name="40% - Accent3 2 3 2 2 5" xfId="12138"/>
    <cellStyle name="40% - Accent3 2 3 2 3" xfId="4860"/>
    <cellStyle name="40% - Accent3 2 3 2 3 2" xfId="9016"/>
    <cellStyle name="40% - Accent3 2 3 2 3 2 2" xfId="25613"/>
    <cellStyle name="40% - Accent3 2 3 2 3 2 3" xfId="17316"/>
    <cellStyle name="40% - Accent3 2 3 2 3 3" xfId="21473"/>
    <cellStyle name="40% - Accent3 2 3 2 3 4" xfId="13176"/>
    <cellStyle name="40% - Accent3 2 3 2 4" xfId="6944"/>
    <cellStyle name="40% - Accent3 2 3 2 4 2" xfId="23541"/>
    <cellStyle name="40% - Accent3 2 3 2 4 3" xfId="15244"/>
    <cellStyle name="40% - Accent3 2 3 2 5" xfId="19401"/>
    <cellStyle name="40% - Accent3 2 3 2 6" xfId="11104"/>
    <cellStyle name="40% - Accent3 2 3 3" xfId="3249"/>
    <cellStyle name="40% - Accent3 2 3 3 2" xfId="5379"/>
    <cellStyle name="40% - Accent3 2 3 3 2 2" xfId="9535"/>
    <cellStyle name="40% - Accent3 2 3 3 2 2 2" xfId="26132"/>
    <cellStyle name="40% - Accent3 2 3 3 2 2 3" xfId="17835"/>
    <cellStyle name="40% - Accent3 2 3 3 2 3" xfId="21992"/>
    <cellStyle name="40% - Accent3 2 3 3 2 4" xfId="13695"/>
    <cellStyle name="40% - Accent3 2 3 3 3" xfId="7463"/>
    <cellStyle name="40% - Accent3 2 3 3 3 2" xfId="24060"/>
    <cellStyle name="40% - Accent3 2 3 3 3 3" xfId="15763"/>
    <cellStyle name="40% - Accent3 2 3 3 4" xfId="19920"/>
    <cellStyle name="40% - Accent3 2 3 3 5" xfId="11623"/>
    <cellStyle name="40% - Accent3 2 3 4" xfId="4302"/>
    <cellStyle name="40% - Accent3 2 3 4 2" xfId="8499"/>
    <cellStyle name="40% - Accent3 2 3 4 2 2" xfId="25096"/>
    <cellStyle name="40% - Accent3 2 3 4 2 3" xfId="16799"/>
    <cellStyle name="40% - Accent3 2 3 4 3" xfId="20956"/>
    <cellStyle name="40% - Accent3 2 3 4 4" xfId="12659"/>
    <cellStyle name="40% - Accent3 2 3 5" xfId="6419"/>
    <cellStyle name="40% - Accent3 2 3 5 2" xfId="23026"/>
    <cellStyle name="40% - Accent3 2 3 5 3" xfId="14729"/>
    <cellStyle name="40% - Accent3 2 3 6" xfId="18881"/>
    <cellStyle name="40% - Accent3 2 3 7" xfId="10584"/>
    <cellStyle name="40% - Accent3 2 4" xfId="2715"/>
    <cellStyle name="40% - Accent3 2 4 2" xfId="3766"/>
    <cellStyle name="40% - Accent3 2 4 2 2" xfId="5891"/>
    <cellStyle name="40% - Accent3 2 4 2 2 2" xfId="10047"/>
    <cellStyle name="40% - Accent3 2 4 2 2 2 2" xfId="26644"/>
    <cellStyle name="40% - Accent3 2 4 2 2 2 3" xfId="18347"/>
    <cellStyle name="40% - Accent3 2 4 2 2 3" xfId="22504"/>
    <cellStyle name="40% - Accent3 2 4 2 2 4" xfId="14207"/>
    <cellStyle name="40% - Accent3 2 4 2 3" xfId="7975"/>
    <cellStyle name="40% - Accent3 2 4 2 3 2" xfId="24572"/>
    <cellStyle name="40% - Accent3 2 4 2 3 3" xfId="16275"/>
    <cellStyle name="40% - Accent3 2 4 2 4" xfId="20432"/>
    <cellStyle name="40% - Accent3 2 4 2 5" xfId="12135"/>
    <cellStyle name="40% - Accent3 2 4 3" xfId="4857"/>
    <cellStyle name="40% - Accent3 2 4 3 2" xfId="9013"/>
    <cellStyle name="40% - Accent3 2 4 3 2 2" xfId="25610"/>
    <cellStyle name="40% - Accent3 2 4 3 2 3" xfId="17313"/>
    <cellStyle name="40% - Accent3 2 4 3 3" xfId="21470"/>
    <cellStyle name="40% - Accent3 2 4 3 4" xfId="13173"/>
    <cellStyle name="40% - Accent3 2 4 4" xfId="6941"/>
    <cellStyle name="40% - Accent3 2 4 4 2" xfId="23538"/>
    <cellStyle name="40% - Accent3 2 4 4 3" xfId="15241"/>
    <cellStyle name="40% - Accent3 2 4 5" xfId="19398"/>
    <cellStyle name="40% - Accent3 2 4 6" xfId="11101"/>
    <cellStyle name="40% - Accent3 2 5" xfId="3246"/>
    <cellStyle name="40% - Accent3 2 5 2" xfId="5376"/>
    <cellStyle name="40% - Accent3 2 5 2 2" xfId="9532"/>
    <cellStyle name="40% - Accent3 2 5 2 2 2" xfId="26129"/>
    <cellStyle name="40% - Accent3 2 5 2 2 3" xfId="17832"/>
    <cellStyle name="40% - Accent3 2 5 2 3" xfId="21989"/>
    <cellStyle name="40% - Accent3 2 5 2 4" xfId="13692"/>
    <cellStyle name="40% - Accent3 2 5 3" xfId="7460"/>
    <cellStyle name="40% - Accent3 2 5 3 2" xfId="24057"/>
    <cellStyle name="40% - Accent3 2 5 3 3" xfId="15760"/>
    <cellStyle name="40% - Accent3 2 5 4" xfId="19917"/>
    <cellStyle name="40% - Accent3 2 5 5" xfId="11620"/>
    <cellStyle name="40% - Accent3 2 6" xfId="4299"/>
    <cellStyle name="40% - Accent3 2 6 2" xfId="8496"/>
    <cellStyle name="40% - Accent3 2 6 2 2" xfId="25093"/>
    <cellStyle name="40% - Accent3 2 6 2 3" xfId="16796"/>
    <cellStyle name="40% - Accent3 2 6 3" xfId="20953"/>
    <cellStyle name="40% - Accent3 2 6 4" xfId="12656"/>
    <cellStyle name="40% - Accent3 2 7" xfId="6416"/>
    <cellStyle name="40% - Accent3 2 7 2" xfId="23023"/>
    <cellStyle name="40% - Accent3 2 7 3" xfId="14726"/>
    <cellStyle name="40% - Accent3 2 8" xfId="18878"/>
    <cellStyle name="40% - Accent3 2 9" xfId="10581"/>
    <cellStyle name="40% - Accent3 3" xfId="483"/>
    <cellStyle name="40% - Accent3 3 2" xfId="484"/>
    <cellStyle name="40% - Accent3 4" xfId="485"/>
    <cellStyle name="40% - Accent3 4 2" xfId="486"/>
    <cellStyle name="40% - Accent3 5" xfId="487"/>
    <cellStyle name="40% - Accent3 6" xfId="4298"/>
    <cellStyle name="40% - Accent4" xfId="488" builtinId="43" customBuiltin="1"/>
    <cellStyle name="40% - Accent4 2" xfId="489"/>
    <cellStyle name="40% - Accent4 2 2" xfId="490"/>
    <cellStyle name="40% - Accent4 2 2 2" xfId="491"/>
    <cellStyle name="40% - Accent4 2 2 2 2" xfId="2721"/>
    <cellStyle name="40% - Accent4 2 2 2 2 2" xfId="3772"/>
    <cellStyle name="40% - Accent4 2 2 2 2 2 2" xfId="5897"/>
    <cellStyle name="40% - Accent4 2 2 2 2 2 2 2" xfId="10053"/>
    <cellStyle name="40% - Accent4 2 2 2 2 2 2 2 2" xfId="26650"/>
    <cellStyle name="40% - Accent4 2 2 2 2 2 2 2 3" xfId="18353"/>
    <cellStyle name="40% - Accent4 2 2 2 2 2 2 3" xfId="22510"/>
    <cellStyle name="40% - Accent4 2 2 2 2 2 2 4" xfId="14213"/>
    <cellStyle name="40% - Accent4 2 2 2 2 2 3" xfId="7981"/>
    <cellStyle name="40% - Accent4 2 2 2 2 2 3 2" xfId="24578"/>
    <cellStyle name="40% - Accent4 2 2 2 2 2 3 3" xfId="16281"/>
    <cellStyle name="40% - Accent4 2 2 2 2 2 4" xfId="20438"/>
    <cellStyle name="40% - Accent4 2 2 2 2 2 5" xfId="12141"/>
    <cellStyle name="40% - Accent4 2 2 2 2 3" xfId="4863"/>
    <cellStyle name="40% - Accent4 2 2 2 2 3 2" xfId="9019"/>
    <cellStyle name="40% - Accent4 2 2 2 2 3 2 2" xfId="25616"/>
    <cellStyle name="40% - Accent4 2 2 2 2 3 2 3" xfId="17319"/>
    <cellStyle name="40% - Accent4 2 2 2 2 3 3" xfId="21476"/>
    <cellStyle name="40% - Accent4 2 2 2 2 3 4" xfId="13179"/>
    <cellStyle name="40% - Accent4 2 2 2 2 4" xfId="6947"/>
    <cellStyle name="40% - Accent4 2 2 2 2 4 2" xfId="23544"/>
    <cellStyle name="40% - Accent4 2 2 2 2 4 3" xfId="15247"/>
    <cellStyle name="40% - Accent4 2 2 2 2 5" xfId="19404"/>
    <cellStyle name="40% - Accent4 2 2 2 2 6" xfId="11107"/>
    <cellStyle name="40% - Accent4 2 2 2 3" xfId="3252"/>
    <cellStyle name="40% - Accent4 2 2 2 3 2" xfId="5382"/>
    <cellStyle name="40% - Accent4 2 2 2 3 2 2" xfId="9538"/>
    <cellStyle name="40% - Accent4 2 2 2 3 2 2 2" xfId="26135"/>
    <cellStyle name="40% - Accent4 2 2 2 3 2 2 3" xfId="17838"/>
    <cellStyle name="40% - Accent4 2 2 2 3 2 3" xfId="21995"/>
    <cellStyle name="40% - Accent4 2 2 2 3 2 4" xfId="13698"/>
    <cellStyle name="40% - Accent4 2 2 2 3 3" xfId="7466"/>
    <cellStyle name="40% - Accent4 2 2 2 3 3 2" xfId="24063"/>
    <cellStyle name="40% - Accent4 2 2 2 3 3 3" xfId="15766"/>
    <cellStyle name="40% - Accent4 2 2 2 3 4" xfId="19923"/>
    <cellStyle name="40% - Accent4 2 2 2 3 5" xfId="11626"/>
    <cellStyle name="40% - Accent4 2 2 2 4" xfId="4306"/>
    <cellStyle name="40% - Accent4 2 2 2 4 2" xfId="8502"/>
    <cellStyle name="40% - Accent4 2 2 2 4 2 2" xfId="25099"/>
    <cellStyle name="40% - Accent4 2 2 2 4 2 3" xfId="16802"/>
    <cellStyle name="40% - Accent4 2 2 2 4 3" xfId="20959"/>
    <cellStyle name="40% - Accent4 2 2 2 4 4" xfId="12662"/>
    <cellStyle name="40% - Accent4 2 2 2 5" xfId="6422"/>
    <cellStyle name="40% - Accent4 2 2 2 5 2" xfId="23029"/>
    <cellStyle name="40% - Accent4 2 2 2 5 3" xfId="14732"/>
    <cellStyle name="40% - Accent4 2 2 2 6" xfId="18884"/>
    <cellStyle name="40% - Accent4 2 2 2 7" xfId="10587"/>
    <cellStyle name="40% - Accent4 2 2 3" xfId="2720"/>
    <cellStyle name="40% - Accent4 2 2 3 2" xfId="3771"/>
    <cellStyle name="40% - Accent4 2 2 3 2 2" xfId="5896"/>
    <cellStyle name="40% - Accent4 2 2 3 2 2 2" xfId="10052"/>
    <cellStyle name="40% - Accent4 2 2 3 2 2 2 2" xfId="26649"/>
    <cellStyle name="40% - Accent4 2 2 3 2 2 2 3" xfId="18352"/>
    <cellStyle name="40% - Accent4 2 2 3 2 2 3" xfId="22509"/>
    <cellStyle name="40% - Accent4 2 2 3 2 2 4" xfId="14212"/>
    <cellStyle name="40% - Accent4 2 2 3 2 3" xfId="7980"/>
    <cellStyle name="40% - Accent4 2 2 3 2 3 2" xfId="24577"/>
    <cellStyle name="40% - Accent4 2 2 3 2 3 3" xfId="16280"/>
    <cellStyle name="40% - Accent4 2 2 3 2 4" xfId="20437"/>
    <cellStyle name="40% - Accent4 2 2 3 2 5" xfId="12140"/>
    <cellStyle name="40% - Accent4 2 2 3 3" xfId="4862"/>
    <cellStyle name="40% - Accent4 2 2 3 3 2" xfId="9018"/>
    <cellStyle name="40% - Accent4 2 2 3 3 2 2" xfId="25615"/>
    <cellStyle name="40% - Accent4 2 2 3 3 2 3" xfId="17318"/>
    <cellStyle name="40% - Accent4 2 2 3 3 3" xfId="21475"/>
    <cellStyle name="40% - Accent4 2 2 3 3 4" xfId="13178"/>
    <cellStyle name="40% - Accent4 2 2 3 4" xfId="6946"/>
    <cellStyle name="40% - Accent4 2 2 3 4 2" xfId="23543"/>
    <cellStyle name="40% - Accent4 2 2 3 4 3" xfId="15246"/>
    <cellStyle name="40% - Accent4 2 2 3 5" xfId="19403"/>
    <cellStyle name="40% - Accent4 2 2 3 6" xfId="11106"/>
    <cellStyle name="40% - Accent4 2 2 4" xfId="3251"/>
    <cellStyle name="40% - Accent4 2 2 4 2" xfId="5381"/>
    <cellStyle name="40% - Accent4 2 2 4 2 2" xfId="9537"/>
    <cellStyle name="40% - Accent4 2 2 4 2 2 2" xfId="26134"/>
    <cellStyle name="40% - Accent4 2 2 4 2 2 3" xfId="17837"/>
    <cellStyle name="40% - Accent4 2 2 4 2 3" xfId="21994"/>
    <cellStyle name="40% - Accent4 2 2 4 2 4" xfId="13697"/>
    <cellStyle name="40% - Accent4 2 2 4 3" xfId="7465"/>
    <cellStyle name="40% - Accent4 2 2 4 3 2" xfId="24062"/>
    <cellStyle name="40% - Accent4 2 2 4 3 3" xfId="15765"/>
    <cellStyle name="40% - Accent4 2 2 4 4" xfId="19922"/>
    <cellStyle name="40% - Accent4 2 2 4 5" xfId="11625"/>
    <cellStyle name="40% - Accent4 2 2 5" xfId="4305"/>
    <cellStyle name="40% - Accent4 2 2 5 2" xfId="8501"/>
    <cellStyle name="40% - Accent4 2 2 5 2 2" xfId="25098"/>
    <cellStyle name="40% - Accent4 2 2 5 2 3" xfId="16801"/>
    <cellStyle name="40% - Accent4 2 2 5 3" xfId="20958"/>
    <cellStyle name="40% - Accent4 2 2 5 4" xfId="12661"/>
    <cellStyle name="40% - Accent4 2 2 6" xfId="6421"/>
    <cellStyle name="40% - Accent4 2 2 6 2" xfId="23028"/>
    <cellStyle name="40% - Accent4 2 2 6 3" xfId="14731"/>
    <cellStyle name="40% - Accent4 2 2 7" xfId="18883"/>
    <cellStyle name="40% - Accent4 2 2 8" xfId="10586"/>
    <cellStyle name="40% - Accent4 2 3" xfId="492"/>
    <cellStyle name="40% - Accent4 2 3 2" xfId="2722"/>
    <cellStyle name="40% - Accent4 2 3 2 2" xfId="3773"/>
    <cellStyle name="40% - Accent4 2 3 2 2 2" xfId="5898"/>
    <cellStyle name="40% - Accent4 2 3 2 2 2 2" xfId="10054"/>
    <cellStyle name="40% - Accent4 2 3 2 2 2 2 2" xfId="26651"/>
    <cellStyle name="40% - Accent4 2 3 2 2 2 2 3" xfId="18354"/>
    <cellStyle name="40% - Accent4 2 3 2 2 2 3" xfId="22511"/>
    <cellStyle name="40% - Accent4 2 3 2 2 2 4" xfId="14214"/>
    <cellStyle name="40% - Accent4 2 3 2 2 3" xfId="7982"/>
    <cellStyle name="40% - Accent4 2 3 2 2 3 2" xfId="24579"/>
    <cellStyle name="40% - Accent4 2 3 2 2 3 3" xfId="16282"/>
    <cellStyle name="40% - Accent4 2 3 2 2 4" xfId="20439"/>
    <cellStyle name="40% - Accent4 2 3 2 2 5" xfId="12142"/>
    <cellStyle name="40% - Accent4 2 3 2 3" xfId="4864"/>
    <cellStyle name="40% - Accent4 2 3 2 3 2" xfId="9020"/>
    <cellStyle name="40% - Accent4 2 3 2 3 2 2" xfId="25617"/>
    <cellStyle name="40% - Accent4 2 3 2 3 2 3" xfId="17320"/>
    <cellStyle name="40% - Accent4 2 3 2 3 3" xfId="21477"/>
    <cellStyle name="40% - Accent4 2 3 2 3 4" xfId="13180"/>
    <cellStyle name="40% - Accent4 2 3 2 4" xfId="6948"/>
    <cellStyle name="40% - Accent4 2 3 2 4 2" xfId="23545"/>
    <cellStyle name="40% - Accent4 2 3 2 4 3" xfId="15248"/>
    <cellStyle name="40% - Accent4 2 3 2 5" xfId="19405"/>
    <cellStyle name="40% - Accent4 2 3 2 6" xfId="11108"/>
    <cellStyle name="40% - Accent4 2 3 3" xfId="3253"/>
    <cellStyle name="40% - Accent4 2 3 3 2" xfId="5383"/>
    <cellStyle name="40% - Accent4 2 3 3 2 2" xfId="9539"/>
    <cellStyle name="40% - Accent4 2 3 3 2 2 2" xfId="26136"/>
    <cellStyle name="40% - Accent4 2 3 3 2 2 3" xfId="17839"/>
    <cellStyle name="40% - Accent4 2 3 3 2 3" xfId="21996"/>
    <cellStyle name="40% - Accent4 2 3 3 2 4" xfId="13699"/>
    <cellStyle name="40% - Accent4 2 3 3 3" xfId="7467"/>
    <cellStyle name="40% - Accent4 2 3 3 3 2" xfId="24064"/>
    <cellStyle name="40% - Accent4 2 3 3 3 3" xfId="15767"/>
    <cellStyle name="40% - Accent4 2 3 3 4" xfId="19924"/>
    <cellStyle name="40% - Accent4 2 3 3 5" xfId="11627"/>
    <cellStyle name="40% - Accent4 2 3 4" xfId="4307"/>
    <cellStyle name="40% - Accent4 2 3 4 2" xfId="8503"/>
    <cellStyle name="40% - Accent4 2 3 4 2 2" xfId="25100"/>
    <cellStyle name="40% - Accent4 2 3 4 2 3" xfId="16803"/>
    <cellStyle name="40% - Accent4 2 3 4 3" xfId="20960"/>
    <cellStyle name="40% - Accent4 2 3 4 4" xfId="12663"/>
    <cellStyle name="40% - Accent4 2 3 5" xfId="6423"/>
    <cellStyle name="40% - Accent4 2 3 5 2" xfId="23030"/>
    <cellStyle name="40% - Accent4 2 3 5 3" xfId="14733"/>
    <cellStyle name="40% - Accent4 2 3 6" xfId="18885"/>
    <cellStyle name="40% - Accent4 2 3 7" xfId="10588"/>
    <cellStyle name="40% - Accent4 2 4" xfId="2719"/>
    <cellStyle name="40% - Accent4 2 4 2" xfId="3770"/>
    <cellStyle name="40% - Accent4 2 4 2 2" xfId="5895"/>
    <cellStyle name="40% - Accent4 2 4 2 2 2" xfId="10051"/>
    <cellStyle name="40% - Accent4 2 4 2 2 2 2" xfId="26648"/>
    <cellStyle name="40% - Accent4 2 4 2 2 2 3" xfId="18351"/>
    <cellStyle name="40% - Accent4 2 4 2 2 3" xfId="22508"/>
    <cellStyle name="40% - Accent4 2 4 2 2 4" xfId="14211"/>
    <cellStyle name="40% - Accent4 2 4 2 3" xfId="7979"/>
    <cellStyle name="40% - Accent4 2 4 2 3 2" xfId="24576"/>
    <cellStyle name="40% - Accent4 2 4 2 3 3" xfId="16279"/>
    <cellStyle name="40% - Accent4 2 4 2 4" xfId="20436"/>
    <cellStyle name="40% - Accent4 2 4 2 5" xfId="12139"/>
    <cellStyle name="40% - Accent4 2 4 3" xfId="4861"/>
    <cellStyle name="40% - Accent4 2 4 3 2" xfId="9017"/>
    <cellStyle name="40% - Accent4 2 4 3 2 2" xfId="25614"/>
    <cellStyle name="40% - Accent4 2 4 3 2 3" xfId="17317"/>
    <cellStyle name="40% - Accent4 2 4 3 3" xfId="21474"/>
    <cellStyle name="40% - Accent4 2 4 3 4" xfId="13177"/>
    <cellStyle name="40% - Accent4 2 4 4" xfId="6945"/>
    <cellStyle name="40% - Accent4 2 4 4 2" xfId="23542"/>
    <cellStyle name="40% - Accent4 2 4 4 3" xfId="15245"/>
    <cellStyle name="40% - Accent4 2 4 5" xfId="19402"/>
    <cellStyle name="40% - Accent4 2 4 6" xfId="11105"/>
    <cellStyle name="40% - Accent4 2 5" xfId="3250"/>
    <cellStyle name="40% - Accent4 2 5 2" xfId="5380"/>
    <cellStyle name="40% - Accent4 2 5 2 2" xfId="9536"/>
    <cellStyle name="40% - Accent4 2 5 2 2 2" xfId="26133"/>
    <cellStyle name="40% - Accent4 2 5 2 2 3" xfId="17836"/>
    <cellStyle name="40% - Accent4 2 5 2 3" xfId="21993"/>
    <cellStyle name="40% - Accent4 2 5 2 4" xfId="13696"/>
    <cellStyle name="40% - Accent4 2 5 3" xfId="7464"/>
    <cellStyle name="40% - Accent4 2 5 3 2" xfId="24061"/>
    <cellStyle name="40% - Accent4 2 5 3 3" xfId="15764"/>
    <cellStyle name="40% - Accent4 2 5 4" xfId="19921"/>
    <cellStyle name="40% - Accent4 2 5 5" xfId="11624"/>
    <cellStyle name="40% - Accent4 2 6" xfId="4304"/>
    <cellStyle name="40% - Accent4 2 6 2" xfId="8500"/>
    <cellStyle name="40% - Accent4 2 6 2 2" xfId="25097"/>
    <cellStyle name="40% - Accent4 2 6 2 3" xfId="16800"/>
    <cellStyle name="40% - Accent4 2 6 3" xfId="20957"/>
    <cellStyle name="40% - Accent4 2 6 4" xfId="12660"/>
    <cellStyle name="40% - Accent4 2 7" xfId="6420"/>
    <cellStyle name="40% - Accent4 2 7 2" xfId="23027"/>
    <cellStyle name="40% - Accent4 2 7 3" xfId="14730"/>
    <cellStyle name="40% - Accent4 2 8" xfId="18882"/>
    <cellStyle name="40% - Accent4 2 9" xfId="10585"/>
    <cellStyle name="40% - Accent4 3" xfId="493"/>
    <cellStyle name="40% - Accent4 3 2" xfId="494"/>
    <cellStyle name="40% - Accent4 4" xfId="495"/>
    <cellStyle name="40% - Accent4 4 2" xfId="496"/>
    <cellStyle name="40% - Accent4 5" xfId="497"/>
    <cellStyle name="40% - Accent4 6" xfId="4303"/>
    <cellStyle name="40% - Accent5" xfId="498" builtinId="47" customBuiltin="1"/>
    <cellStyle name="40% - Accent5 2" xfId="499"/>
    <cellStyle name="40% - Accent5 2 2" xfId="500"/>
    <cellStyle name="40% - Accent5 2 2 2" xfId="2724"/>
    <cellStyle name="40% - Accent5 2 2 2 2" xfId="3775"/>
    <cellStyle name="40% - Accent5 2 2 2 2 2" xfId="5900"/>
    <cellStyle name="40% - Accent5 2 2 2 2 2 2" xfId="10056"/>
    <cellStyle name="40% - Accent5 2 2 2 2 2 2 2" xfId="26653"/>
    <cellStyle name="40% - Accent5 2 2 2 2 2 2 3" xfId="18356"/>
    <cellStyle name="40% - Accent5 2 2 2 2 2 3" xfId="22513"/>
    <cellStyle name="40% - Accent5 2 2 2 2 2 4" xfId="14216"/>
    <cellStyle name="40% - Accent5 2 2 2 2 3" xfId="7984"/>
    <cellStyle name="40% - Accent5 2 2 2 2 3 2" xfId="24581"/>
    <cellStyle name="40% - Accent5 2 2 2 2 3 3" xfId="16284"/>
    <cellStyle name="40% - Accent5 2 2 2 2 4" xfId="20441"/>
    <cellStyle name="40% - Accent5 2 2 2 2 5" xfId="12144"/>
    <cellStyle name="40% - Accent5 2 2 2 3" xfId="4866"/>
    <cellStyle name="40% - Accent5 2 2 2 3 2" xfId="9022"/>
    <cellStyle name="40% - Accent5 2 2 2 3 2 2" xfId="25619"/>
    <cellStyle name="40% - Accent5 2 2 2 3 2 3" xfId="17322"/>
    <cellStyle name="40% - Accent5 2 2 2 3 3" xfId="21479"/>
    <cellStyle name="40% - Accent5 2 2 2 3 4" xfId="13182"/>
    <cellStyle name="40% - Accent5 2 2 2 4" xfId="6950"/>
    <cellStyle name="40% - Accent5 2 2 2 4 2" xfId="23547"/>
    <cellStyle name="40% - Accent5 2 2 2 4 3" xfId="15250"/>
    <cellStyle name="40% - Accent5 2 2 2 5" xfId="19407"/>
    <cellStyle name="40% - Accent5 2 2 2 6" xfId="11110"/>
    <cellStyle name="40% - Accent5 2 2 3" xfId="3255"/>
    <cellStyle name="40% - Accent5 2 2 3 2" xfId="5385"/>
    <cellStyle name="40% - Accent5 2 2 3 2 2" xfId="9541"/>
    <cellStyle name="40% - Accent5 2 2 3 2 2 2" xfId="26138"/>
    <cellStyle name="40% - Accent5 2 2 3 2 2 3" xfId="17841"/>
    <cellStyle name="40% - Accent5 2 2 3 2 3" xfId="21998"/>
    <cellStyle name="40% - Accent5 2 2 3 2 4" xfId="13701"/>
    <cellStyle name="40% - Accent5 2 2 3 3" xfId="7469"/>
    <cellStyle name="40% - Accent5 2 2 3 3 2" xfId="24066"/>
    <cellStyle name="40% - Accent5 2 2 3 3 3" xfId="15769"/>
    <cellStyle name="40% - Accent5 2 2 3 4" xfId="19926"/>
    <cellStyle name="40% - Accent5 2 2 3 5" xfId="11629"/>
    <cellStyle name="40% - Accent5 2 2 4" xfId="4310"/>
    <cellStyle name="40% - Accent5 2 2 4 2" xfId="8505"/>
    <cellStyle name="40% - Accent5 2 2 4 2 2" xfId="25102"/>
    <cellStyle name="40% - Accent5 2 2 4 2 3" xfId="16805"/>
    <cellStyle name="40% - Accent5 2 2 4 3" xfId="20962"/>
    <cellStyle name="40% - Accent5 2 2 4 4" xfId="12665"/>
    <cellStyle name="40% - Accent5 2 2 5" xfId="6425"/>
    <cellStyle name="40% - Accent5 2 2 5 2" xfId="23032"/>
    <cellStyle name="40% - Accent5 2 2 5 3" xfId="14735"/>
    <cellStyle name="40% - Accent5 2 2 6" xfId="18887"/>
    <cellStyle name="40% - Accent5 2 2 7" xfId="10590"/>
    <cellStyle name="40% - Accent5 2 3" xfId="2723"/>
    <cellStyle name="40% - Accent5 2 3 2" xfId="3774"/>
    <cellStyle name="40% - Accent5 2 3 2 2" xfId="5899"/>
    <cellStyle name="40% - Accent5 2 3 2 2 2" xfId="10055"/>
    <cellStyle name="40% - Accent5 2 3 2 2 2 2" xfId="26652"/>
    <cellStyle name="40% - Accent5 2 3 2 2 2 3" xfId="18355"/>
    <cellStyle name="40% - Accent5 2 3 2 2 3" xfId="22512"/>
    <cellStyle name="40% - Accent5 2 3 2 2 4" xfId="14215"/>
    <cellStyle name="40% - Accent5 2 3 2 3" xfId="7983"/>
    <cellStyle name="40% - Accent5 2 3 2 3 2" xfId="24580"/>
    <cellStyle name="40% - Accent5 2 3 2 3 3" xfId="16283"/>
    <cellStyle name="40% - Accent5 2 3 2 4" xfId="20440"/>
    <cellStyle name="40% - Accent5 2 3 2 5" xfId="12143"/>
    <cellStyle name="40% - Accent5 2 3 3" xfId="4865"/>
    <cellStyle name="40% - Accent5 2 3 3 2" xfId="9021"/>
    <cellStyle name="40% - Accent5 2 3 3 2 2" xfId="25618"/>
    <cellStyle name="40% - Accent5 2 3 3 2 3" xfId="17321"/>
    <cellStyle name="40% - Accent5 2 3 3 3" xfId="21478"/>
    <cellStyle name="40% - Accent5 2 3 3 4" xfId="13181"/>
    <cellStyle name="40% - Accent5 2 3 4" xfId="6949"/>
    <cellStyle name="40% - Accent5 2 3 4 2" xfId="23546"/>
    <cellStyle name="40% - Accent5 2 3 4 3" xfId="15249"/>
    <cellStyle name="40% - Accent5 2 3 5" xfId="19406"/>
    <cellStyle name="40% - Accent5 2 3 6" xfId="11109"/>
    <cellStyle name="40% - Accent5 2 4" xfId="3254"/>
    <cellStyle name="40% - Accent5 2 4 2" xfId="5384"/>
    <cellStyle name="40% - Accent5 2 4 2 2" xfId="9540"/>
    <cellStyle name="40% - Accent5 2 4 2 2 2" xfId="26137"/>
    <cellStyle name="40% - Accent5 2 4 2 2 3" xfId="17840"/>
    <cellStyle name="40% - Accent5 2 4 2 3" xfId="21997"/>
    <cellStyle name="40% - Accent5 2 4 2 4" xfId="13700"/>
    <cellStyle name="40% - Accent5 2 4 3" xfId="7468"/>
    <cellStyle name="40% - Accent5 2 4 3 2" xfId="24065"/>
    <cellStyle name="40% - Accent5 2 4 3 3" xfId="15768"/>
    <cellStyle name="40% - Accent5 2 4 4" xfId="19925"/>
    <cellStyle name="40% - Accent5 2 4 5" xfId="11628"/>
    <cellStyle name="40% - Accent5 2 5" xfId="4309"/>
    <cellStyle name="40% - Accent5 2 5 2" xfId="8504"/>
    <cellStyle name="40% - Accent5 2 5 2 2" xfId="25101"/>
    <cellStyle name="40% - Accent5 2 5 2 3" xfId="16804"/>
    <cellStyle name="40% - Accent5 2 5 3" xfId="20961"/>
    <cellStyle name="40% - Accent5 2 5 4" xfId="12664"/>
    <cellStyle name="40% - Accent5 2 6" xfId="6424"/>
    <cellStyle name="40% - Accent5 2 6 2" xfId="23031"/>
    <cellStyle name="40% - Accent5 2 6 3" xfId="14734"/>
    <cellStyle name="40% - Accent5 2 7" xfId="18886"/>
    <cellStyle name="40% - Accent5 2 8" xfId="10589"/>
    <cellStyle name="40% - Accent5 3" xfId="501"/>
    <cellStyle name="40% - Accent5 3 2" xfId="502"/>
    <cellStyle name="40% - Accent5 4" xfId="503"/>
    <cellStyle name="40% - Accent5 4 2" xfId="504"/>
    <cellStyle name="40% - Accent5 5" xfId="505"/>
    <cellStyle name="40% - Accent5 6" xfId="4308"/>
    <cellStyle name="40% - Accent6" xfId="506" builtinId="51" customBuiltin="1"/>
    <cellStyle name="40% - Accent6 2" xfId="507"/>
    <cellStyle name="40% - Accent6 2 2" xfId="508"/>
    <cellStyle name="40% - Accent6 2 2 2" xfId="509"/>
    <cellStyle name="40% - Accent6 2 2 2 2" xfId="2727"/>
    <cellStyle name="40% - Accent6 2 2 2 2 2" xfId="3778"/>
    <cellStyle name="40% - Accent6 2 2 2 2 2 2" xfId="5903"/>
    <cellStyle name="40% - Accent6 2 2 2 2 2 2 2" xfId="10059"/>
    <cellStyle name="40% - Accent6 2 2 2 2 2 2 2 2" xfId="26656"/>
    <cellStyle name="40% - Accent6 2 2 2 2 2 2 2 3" xfId="18359"/>
    <cellStyle name="40% - Accent6 2 2 2 2 2 2 3" xfId="22516"/>
    <cellStyle name="40% - Accent6 2 2 2 2 2 2 4" xfId="14219"/>
    <cellStyle name="40% - Accent6 2 2 2 2 2 3" xfId="7987"/>
    <cellStyle name="40% - Accent6 2 2 2 2 2 3 2" xfId="24584"/>
    <cellStyle name="40% - Accent6 2 2 2 2 2 3 3" xfId="16287"/>
    <cellStyle name="40% - Accent6 2 2 2 2 2 4" xfId="20444"/>
    <cellStyle name="40% - Accent6 2 2 2 2 2 5" xfId="12147"/>
    <cellStyle name="40% - Accent6 2 2 2 2 3" xfId="4869"/>
    <cellStyle name="40% - Accent6 2 2 2 2 3 2" xfId="9025"/>
    <cellStyle name="40% - Accent6 2 2 2 2 3 2 2" xfId="25622"/>
    <cellStyle name="40% - Accent6 2 2 2 2 3 2 3" xfId="17325"/>
    <cellStyle name="40% - Accent6 2 2 2 2 3 3" xfId="21482"/>
    <cellStyle name="40% - Accent6 2 2 2 2 3 4" xfId="13185"/>
    <cellStyle name="40% - Accent6 2 2 2 2 4" xfId="6953"/>
    <cellStyle name="40% - Accent6 2 2 2 2 4 2" xfId="23550"/>
    <cellStyle name="40% - Accent6 2 2 2 2 4 3" xfId="15253"/>
    <cellStyle name="40% - Accent6 2 2 2 2 5" xfId="19410"/>
    <cellStyle name="40% - Accent6 2 2 2 2 6" xfId="11113"/>
    <cellStyle name="40% - Accent6 2 2 2 3" xfId="3258"/>
    <cellStyle name="40% - Accent6 2 2 2 3 2" xfId="5388"/>
    <cellStyle name="40% - Accent6 2 2 2 3 2 2" xfId="9544"/>
    <cellStyle name="40% - Accent6 2 2 2 3 2 2 2" xfId="26141"/>
    <cellStyle name="40% - Accent6 2 2 2 3 2 2 3" xfId="17844"/>
    <cellStyle name="40% - Accent6 2 2 2 3 2 3" xfId="22001"/>
    <cellStyle name="40% - Accent6 2 2 2 3 2 4" xfId="13704"/>
    <cellStyle name="40% - Accent6 2 2 2 3 3" xfId="7472"/>
    <cellStyle name="40% - Accent6 2 2 2 3 3 2" xfId="24069"/>
    <cellStyle name="40% - Accent6 2 2 2 3 3 3" xfId="15772"/>
    <cellStyle name="40% - Accent6 2 2 2 3 4" xfId="19929"/>
    <cellStyle name="40% - Accent6 2 2 2 3 5" xfId="11632"/>
    <cellStyle name="40% - Accent6 2 2 2 4" xfId="4314"/>
    <cellStyle name="40% - Accent6 2 2 2 4 2" xfId="8508"/>
    <cellStyle name="40% - Accent6 2 2 2 4 2 2" xfId="25105"/>
    <cellStyle name="40% - Accent6 2 2 2 4 2 3" xfId="16808"/>
    <cellStyle name="40% - Accent6 2 2 2 4 3" xfId="20965"/>
    <cellStyle name="40% - Accent6 2 2 2 4 4" xfId="12668"/>
    <cellStyle name="40% - Accent6 2 2 2 5" xfId="6428"/>
    <cellStyle name="40% - Accent6 2 2 2 5 2" xfId="23035"/>
    <cellStyle name="40% - Accent6 2 2 2 5 3" xfId="14738"/>
    <cellStyle name="40% - Accent6 2 2 2 6" xfId="18890"/>
    <cellStyle name="40% - Accent6 2 2 2 7" xfId="10593"/>
    <cellStyle name="40% - Accent6 2 2 3" xfId="2726"/>
    <cellStyle name="40% - Accent6 2 2 3 2" xfId="3777"/>
    <cellStyle name="40% - Accent6 2 2 3 2 2" xfId="5902"/>
    <cellStyle name="40% - Accent6 2 2 3 2 2 2" xfId="10058"/>
    <cellStyle name="40% - Accent6 2 2 3 2 2 2 2" xfId="26655"/>
    <cellStyle name="40% - Accent6 2 2 3 2 2 2 3" xfId="18358"/>
    <cellStyle name="40% - Accent6 2 2 3 2 2 3" xfId="22515"/>
    <cellStyle name="40% - Accent6 2 2 3 2 2 4" xfId="14218"/>
    <cellStyle name="40% - Accent6 2 2 3 2 3" xfId="7986"/>
    <cellStyle name="40% - Accent6 2 2 3 2 3 2" xfId="24583"/>
    <cellStyle name="40% - Accent6 2 2 3 2 3 3" xfId="16286"/>
    <cellStyle name="40% - Accent6 2 2 3 2 4" xfId="20443"/>
    <cellStyle name="40% - Accent6 2 2 3 2 5" xfId="12146"/>
    <cellStyle name="40% - Accent6 2 2 3 3" xfId="4868"/>
    <cellStyle name="40% - Accent6 2 2 3 3 2" xfId="9024"/>
    <cellStyle name="40% - Accent6 2 2 3 3 2 2" xfId="25621"/>
    <cellStyle name="40% - Accent6 2 2 3 3 2 3" xfId="17324"/>
    <cellStyle name="40% - Accent6 2 2 3 3 3" xfId="21481"/>
    <cellStyle name="40% - Accent6 2 2 3 3 4" xfId="13184"/>
    <cellStyle name="40% - Accent6 2 2 3 4" xfId="6952"/>
    <cellStyle name="40% - Accent6 2 2 3 4 2" xfId="23549"/>
    <cellStyle name="40% - Accent6 2 2 3 4 3" xfId="15252"/>
    <cellStyle name="40% - Accent6 2 2 3 5" xfId="19409"/>
    <cellStyle name="40% - Accent6 2 2 3 6" xfId="11112"/>
    <cellStyle name="40% - Accent6 2 2 4" xfId="3257"/>
    <cellStyle name="40% - Accent6 2 2 4 2" xfId="5387"/>
    <cellStyle name="40% - Accent6 2 2 4 2 2" xfId="9543"/>
    <cellStyle name="40% - Accent6 2 2 4 2 2 2" xfId="26140"/>
    <cellStyle name="40% - Accent6 2 2 4 2 2 3" xfId="17843"/>
    <cellStyle name="40% - Accent6 2 2 4 2 3" xfId="22000"/>
    <cellStyle name="40% - Accent6 2 2 4 2 4" xfId="13703"/>
    <cellStyle name="40% - Accent6 2 2 4 3" xfId="7471"/>
    <cellStyle name="40% - Accent6 2 2 4 3 2" xfId="24068"/>
    <cellStyle name="40% - Accent6 2 2 4 3 3" xfId="15771"/>
    <cellStyle name="40% - Accent6 2 2 4 4" xfId="19928"/>
    <cellStyle name="40% - Accent6 2 2 4 5" xfId="11631"/>
    <cellStyle name="40% - Accent6 2 2 5" xfId="4313"/>
    <cellStyle name="40% - Accent6 2 2 5 2" xfId="8507"/>
    <cellStyle name="40% - Accent6 2 2 5 2 2" xfId="25104"/>
    <cellStyle name="40% - Accent6 2 2 5 2 3" xfId="16807"/>
    <cellStyle name="40% - Accent6 2 2 5 3" xfId="20964"/>
    <cellStyle name="40% - Accent6 2 2 5 4" xfId="12667"/>
    <cellStyle name="40% - Accent6 2 2 6" xfId="6427"/>
    <cellStyle name="40% - Accent6 2 2 6 2" xfId="23034"/>
    <cellStyle name="40% - Accent6 2 2 6 3" xfId="14737"/>
    <cellStyle name="40% - Accent6 2 2 7" xfId="18889"/>
    <cellStyle name="40% - Accent6 2 2 8" xfId="10592"/>
    <cellStyle name="40% - Accent6 2 3" xfId="510"/>
    <cellStyle name="40% - Accent6 2 3 2" xfId="2728"/>
    <cellStyle name="40% - Accent6 2 3 2 2" xfId="3779"/>
    <cellStyle name="40% - Accent6 2 3 2 2 2" xfId="5904"/>
    <cellStyle name="40% - Accent6 2 3 2 2 2 2" xfId="10060"/>
    <cellStyle name="40% - Accent6 2 3 2 2 2 2 2" xfId="26657"/>
    <cellStyle name="40% - Accent6 2 3 2 2 2 2 3" xfId="18360"/>
    <cellStyle name="40% - Accent6 2 3 2 2 2 3" xfId="22517"/>
    <cellStyle name="40% - Accent6 2 3 2 2 2 4" xfId="14220"/>
    <cellStyle name="40% - Accent6 2 3 2 2 3" xfId="7988"/>
    <cellStyle name="40% - Accent6 2 3 2 2 3 2" xfId="24585"/>
    <cellStyle name="40% - Accent6 2 3 2 2 3 3" xfId="16288"/>
    <cellStyle name="40% - Accent6 2 3 2 2 4" xfId="20445"/>
    <cellStyle name="40% - Accent6 2 3 2 2 5" xfId="12148"/>
    <cellStyle name="40% - Accent6 2 3 2 3" xfId="4870"/>
    <cellStyle name="40% - Accent6 2 3 2 3 2" xfId="9026"/>
    <cellStyle name="40% - Accent6 2 3 2 3 2 2" xfId="25623"/>
    <cellStyle name="40% - Accent6 2 3 2 3 2 3" xfId="17326"/>
    <cellStyle name="40% - Accent6 2 3 2 3 3" xfId="21483"/>
    <cellStyle name="40% - Accent6 2 3 2 3 4" xfId="13186"/>
    <cellStyle name="40% - Accent6 2 3 2 4" xfId="6954"/>
    <cellStyle name="40% - Accent6 2 3 2 4 2" xfId="23551"/>
    <cellStyle name="40% - Accent6 2 3 2 4 3" xfId="15254"/>
    <cellStyle name="40% - Accent6 2 3 2 5" xfId="19411"/>
    <cellStyle name="40% - Accent6 2 3 2 6" xfId="11114"/>
    <cellStyle name="40% - Accent6 2 3 3" xfId="3259"/>
    <cellStyle name="40% - Accent6 2 3 3 2" xfId="5389"/>
    <cellStyle name="40% - Accent6 2 3 3 2 2" xfId="9545"/>
    <cellStyle name="40% - Accent6 2 3 3 2 2 2" xfId="26142"/>
    <cellStyle name="40% - Accent6 2 3 3 2 2 3" xfId="17845"/>
    <cellStyle name="40% - Accent6 2 3 3 2 3" xfId="22002"/>
    <cellStyle name="40% - Accent6 2 3 3 2 4" xfId="13705"/>
    <cellStyle name="40% - Accent6 2 3 3 3" xfId="7473"/>
    <cellStyle name="40% - Accent6 2 3 3 3 2" xfId="24070"/>
    <cellStyle name="40% - Accent6 2 3 3 3 3" xfId="15773"/>
    <cellStyle name="40% - Accent6 2 3 3 4" xfId="19930"/>
    <cellStyle name="40% - Accent6 2 3 3 5" xfId="11633"/>
    <cellStyle name="40% - Accent6 2 3 4" xfId="4315"/>
    <cellStyle name="40% - Accent6 2 3 4 2" xfId="8509"/>
    <cellStyle name="40% - Accent6 2 3 4 2 2" xfId="25106"/>
    <cellStyle name="40% - Accent6 2 3 4 2 3" xfId="16809"/>
    <cellStyle name="40% - Accent6 2 3 4 3" xfId="20966"/>
    <cellStyle name="40% - Accent6 2 3 4 4" xfId="12669"/>
    <cellStyle name="40% - Accent6 2 3 5" xfId="6429"/>
    <cellStyle name="40% - Accent6 2 3 5 2" xfId="23036"/>
    <cellStyle name="40% - Accent6 2 3 5 3" xfId="14739"/>
    <cellStyle name="40% - Accent6 2 3 6" xfId="18891"/>
    <cellStyle name="40% - Accent6 2 3 7" xfId="10594"/>
    <cellStyle name="40% - Accent6 2 4" xfId="2725"/>
    <cellStyle name="40% - Accent6 2 4 2" xfId="3776"/>
    <cellStyle name="40% - Accent6 2 4 2 2" xfId="5901"/>
    <cellStyle name="40% - Accent6 2 4 2 2 2" xfId="10057"/>
    <cellStyle name="40% - Accent6 2 4 2 2 2 2" xfId="26654"/>
    <cellStyle name="40% - Accent6 2 4 2 2 2 3" xfId="18357"/>
    <cellStyle name="40% - Accent6 2 4 2 2 3" xfId="22514"/>
    <cellStyle name="40% - Accent6 2 4 2 2 4" xfId="14217"/>
    <cellStyle name="40% - Accent6 2 4 2 3" xfId="7985"/>
    <cellStyle name="40% - Accent6 2 4 2 3 2" xfId="24582"/>
    <cellStyle name="40% - Accent6 2 4 2 3 3" xfId="16285"/>
    <cellStyle name="40% - Accent6 2 4 2 4" xfId="20442"/>
    <cellStyle name="40% - Accent6 2 4 2 5" xfId="12145"/>
    <cellStyle name="40% - Accent6 2 4 3" xfId="4867"/>
    <cellStyle name="40% - Accent6 2 4 3 2" xfId="9023"/>
    <cellStyle name="40% - Accent6 2 4 3 2 2" xfId="25620"/>
    <cellStyle name="40% - Accent6 2 4 3 2 3" xfId="17323"/>
    <cellStyle name="40% - Accent6 2 4 3 3" xfId="21480"/>
    <cellStyle name="40% - Accent6 2 4 3 4" xfId="13183"/>
    <cellStyle name="40% - Accent6 2 4 4" xfId="6951"/>
    <cellStyle name="40% - Accent6 2 4 4 2" xfId="23548"/>
    <cellStyle name="40% - Accent6 2 4 4 3" xfId="15251"/>
    <cellStyle name="40% - Accent6 2 4 5" xfId="19408"/>
    <cellStyle name="40% - Accent6 2 4 6" xfId="11111"/>
    <cellStyle name="40% - Accent6 2 5" xfId="3256"/>
    <cellStyle name="40% - Accent6 2 5 2" xfId="5386"/>
    <cellStyle name="40% - Accent6 2 5 2 2" xfId="9542"/>
    <cellStyle name="40% - Accent6 2 5 2 2 2" xfId="26139"/>
    <cellStyle name="40% - Accent6 2 5 2 2 3" xfId="17842"/>
    <cellStyle name="40% - Accent6 2 5 2 3" xfId="21999"/>
    <cellStyle name="40% - Accent6 2 5 2 4" xfId="13702"/>
    <cellStyle name="40% - Accent6 2 5 3" xfId="7470"/>
    <cellStyle name="40% - Accent6 2 5 3 2" xfId="24067"/>
    <cellStyle name="40% - Accent6 2 5 3 3" xfId="15770"/>
    <cellStyle name="40% - Accent6 2 5 4" xfId="19927"/>
    <cellStyle name="40% - Accent6 2 5 5" xfId="11630"/>
    <cellStyle name="40% - Accent6 2 6" xfId="4312"/>
    <cellStyle name="40% - Accent6 2 6 2" xfId="8506"/>
    <cellStyle name="40% - Accent6 2 6 2 2" xfId="25103"/>
    <cellStyle name="40% - Accent6 2 6 2 3" xfId="16806"/>
    <cellStyle name="40% - Accent6 2 6 3" xfId="20963"/>
    <cellStyle name="40% - Accent6 2 6 4" xfId="12666"/>
    <cellStyle name="40% - Accent6 2 7" xfId="6426"/>
    <cellStyle name="40% - Accent6 2 7 2" xfId="23033"/>
    <cellStyle name="40% - Accent6 2 7 3" xfId="14736"/>
    <cellStyle name="40% - Accent6 2 8" xfId="18888"/>
    <cellStyle name="40% - Accent6 2 9" xfId="10591"/>
    <cellStyle name="40% - Accent6 3" xfId="511"/>
    <cellStyle name="40% - Accent6 3 2" xfId="512"/>
    <cellStyle name="40% - Accent6 4" xfId="513"/>
    <cellStyle name="40% - Accent6 4 2" xfId="514"/>
    <cellStyle name="40% - Accent6 5" xfId="515"/>
    <cellStyle name="40% - Accent6 6" xfId="4311"/>
    <cellStyle name="40% - Ênfase1" xfId="516"/>
    <cellStyle name="40% - Ênfase1 2" xfId="517"/>
    <cellStyle name="40% - Ênfase1 2 2" xfId="518"/>
    <cellStyle name="40% - Ênfase1 3" xfId="519"/>
    <cellStyle name="40% - Ênfase2" xfId="520"/>
    <cellStyle name="40% - Ênfase2 2" xfId="521"/>
    <cellStyle name="40% - Ênfase2 2 2" xfId="522"/>
    <cellStyle name="40% - Ênfase2 3" xfId="523"/>
    <cellStyle name="40% - Ênfase3" xfId="524"/>
    <cellStyle name="40% - Ênfase3 2" xfId="525"/>
    <cellStyle name="40% - Ênfase3 2 2" xfId="526"/>
    <cellStyle name="40% - Ênfase3 3" xfId="527"/>
    <cellStyle name="40% - Ênfase4" xfId="528"/>
    <cellStyle name="40% - Ênfase4 2" xfId="529"/>
    <cellStyle name="40% - Ênfase4 2 2" xfId="530"/>
    <cellStyle name="40% - Ênfase4 3" xfId="531"/>
    <cellStyle name="40% - Ênfase5" xfId="532"/>
    <cellStyle name="40% - Ênfase5 2" xfId="533"/>
    <cellStyle name="40% - Ênfase5 2 2" xfId="534"/>
    <cellStyle name="40% - Ênfase5 3" xfId="535"/>
    <cellStyle name="40% - Ênfase6" xfId="536"/>
    <cellStyle name="40% - Ênfase6 2" xfId="537"/>
    <cellStyle name="40% - Ênfase6 2 2" xfId="538"/>
    <cellStyle name="40% - Ênfase6 3" xfId="539"/>
    <cellStyle name="6" xfId="540"/>
    <cellStyle name="60% - Accent1" xfId="541" builtinId="32" customBuiltin="1"/>
    <cellStyle name="60% - Accent1 2" xfId="542"/>
    <cellStyle name="60% - Accent1 2 2" xfId="543"/>
    <cellStyle name="60% - Accent1 3" xfId="544"/>
    <cellStyle name="60% - Accent1 4" xfId="545"/>
    <cellStyle name="60% - Accent1 5" xfId="4316"/>
    <cellStyle name="60% - Accent2" xfId="546" builtinId="36" customBuiltin="1"/>
    <cellStyle name="60% - Accent2 2" xfId="547"/>
    <cellStyle name="60% - Accent2 3" xfId="548"/>
    <cellStyle name="60% - Accent2 4" xfId="549"/>
    <cellStyle name="60% - Accent2 5" xfId="4317"/>
    <cellStyle name="60% - Accent3" xfId="550" builtinId="40" customBuiltin="1"/>
    <cellStyle name="60% - Accent3 2" xfId="551"/>
    <cellStyle name="60% - Accent3 2 2" xfId="552"/>
    <cellStyle name="60% - Accent3 3" xfId="553"/>
    <cellStyle name="60% - Accent3 4" xfId="554"/>
    <cellStyle name="60% - Accent3 5" xfId="4318"/>
    <cellStyle name="60% - Accent4" xfId="555" builtinId="44" customBuiltin="1"/>
    <cellStyle name="60% - Accent4 2" xfId="556"/>
    <cellStyle name="60% - Accent4 2 2" xfId="557"/>
    <cellStyle name="60% - Accent4 3" xfId="558"/>
    <cellStyle name="60% - Accent4 4" xfId="559"/>
    <cellStyle name="60% - Accent4 5" xfId="4319"/>
    <cellStyle name="60% - Accent5" xfId="560" builtinId="48" customBuiltin="1"/>
    <cellStyle name="60% - Accent5 2" xfId="561"/>
    <cellStyle name="60% - Accent5 3" xfId="562"/>
    <cellStyle name="60% - Accent5 4" xfId="563"/>
    <cellStyle name="60% - Accent5 5" xfId="4320"/>
    <cellStyle name="60% - Accent6" xfId="564" builtinId="52" customBuiltin="1"/>
    <cellStyle name="60% - Accent6 2" xfId="565"/>
    <cellStyle name="60% - Accent6 2 2" xfId="566"/>
    <cellStyle name="60% - Accent6 3" xfId="567"/>
    <cellStyle name="60% - Accent6 4" xfId="568"/>
    <cellStyle name="60% - Accent6 5" xfId="4321"/>
    <cellStyle name="60% - Ênfase1" xfId="569"/>
    <cellStyle name="60% - Ênfase1 2" xfId="570"/>
    <cellStyle name="60% - Ênfase2" xfId="571"/>
    <cellStyle name="60% - Ênfase2 2" xfId="572"/>
    <cellStyle name="60% - Ênfase3" xfId="573"/>
    <cellStyle name="60% - Ênfase3 2" xfId="574"/>
    <cellStyle name="60% - Ênfase4" xfId="575"/>
    <cellStyle name="60% - Ênfase4 2" xfId="576"/>
    <cellStyle name="60% - Ênfase5" xfId="577"/>
    <cellStyle name="60% - Ênfase5 2" xfId="578"/>
    <cellStyle name="60% - Ênfase6" xfId="579"/>
    <cellStyle name="60% - Ênfase6 2" xfId="580"/>
    <cellStyle name="752131" xfId="581"/>
    <cellStyle name="9" xfId="582"/>
    <cellStyle name="A3 297 x 420 mm" xfId="583"/>
    <cellStyle name="Accent1" xfId="584" builtinId="29" customBuiltin="1"/>
    <cellStyle name="Accent1 2" xfId="585"/>
    <cellStyle name="Accent1 2 2" xfId="586"/>
    <cellStyle name="Accent1 3" xfId="587"/>
    <cellStyle name="Accent1 4" xfId="588"/>
    <cellStyle name="Accent1 5" xfId="4322"/>
    <cellStyle name="Accent2" xfId="589" builtinId="33" customBuiltin="1"/>
    <cellStyle name="Accent2 2" xfId="590"/>
    <cellStyle name="Accent2 2 2" xfId="591"/>
    <cellStyle name="Accent2 3" xfId="592"/>
    <cellStyle name="Accent2 4" xfId="593"/>
    <cellStyle name="Accent2 5" xfId="4323"/>
    <cellStyle name="Accent3" xfId="594" builtinId="37" customBuiltin="1"/>
    <cellStyle name="Accent3 2" xfId="595"/>
    <cellStyle name="Accent3 2 2" xfId="596"/>
    <cellStyle name="Accent3 3" xfId="597"/>
    <cellStyle name="Accent3 4" xfId="598"/>
    <cellStyle name="Accent3 5" xfId="4324"/>
    <cellStyle name="Accent4" xfId="599" builtinId="41" customBuiltin="1"/>
    <cellStyle name="Accent4 2" xfId="600"/>
    <cellStyle name="Accent4 2 2" xfId="601"/>
    <cellStyle name="Accent4 3" xfId="602"/>
    <cellStyle name="Accent4 4" xfId="603"/>
    <cellStyle name="Accent4 5" xfId="4325"/>
    <cellStyle name="Accent5" xfId="604" builtinId="45" customBuiltin="1"/>
    <cellStyle name="Accent5 2" xfId="605"/>
    <cellStyle name="Accent5 3" xfId="606"/>
    <cellStyle name="Accent5 4" xfId="607"/>
    <cellStyle name="Accent5 5" xfId="4326"/>
    <cellStyle name="Accent6" xfId="608" builtinId="49" customBuiltin="1"/>
    <cellStyle name="Accent6 2" xfId="609"/>
    <cellStyle name="Accent6 2 2" xfId="610"/>
    <cellStyle name="Accent6 3" xfId="611"/>
    <cellStyle name="Accent6 4" xfId="612"/>
    <cellStyle name="Accent6 5" xfId="4327"/>
    <cellStyle name="Acctg" xfId="613"/>
    <cellStyle name="Actual Date" xfId="614"/>
    <cellStyle name="Actual Date 2" xfId="615"/>
    <cellStyle name="æØè [0.00]_COMPANY" xfId="616"/>
    <cellStyle name="æØè_COMPANY" xfId="617"/>
    <cellStyle name="AFE" xfId="618"/>
    <cellStyle name="AFE 2" xfId="619"/>
    <cellStyle name="AFE_Book1" xfId="620"/>
    <cellStyle name="ales" xfId="621"/>
    <cellStyle name="AMN" xfId="622"/>
    <cellStyle name="apresent" xfId="623"/>
    <cellStyle name="Arial 10" xfId="624"/>
    <cellStyle name="Arial 10 2" xfId="625"/>
    <cellStyle name="Arial 12" xfId="626"/>
    <cellStyle name="Assumption" xfId="627"/>
    <cellStyle name="Assumption 2" xfId="628"/>
    <cellStyle name="AUV" xfId="629"/>
    <cellStyle name="Bad" xfId="630" builtinId="27" customBuiltin="1"/>
    <cellStyle name="Bad 2" xfId="631"/>
    <cellStyle name="Bad 3" xfId="632"/>
    <cellStyle name="Bad 4" xfId="633"/>
    <cellStyle name="Bad 5" xfId="4328"/>
    <cellStyle name="Balance Sheet" xfId="634"/>
    <cellStyle name="BalanceSheet" xfId="635"/>
    <cellStyle name="Band 2" xfId="636"/>
    <cellStyle name="big-font" xfId="637"/>
    <cellStyle name="Black" xfId="638"/>
    <cellStyle name="black - Style1" xfId="639"/>
    <cellStyle name="Black 10" xfId="640"/>
    <cellStyle name="Black 11" xfId="641"/>
    <cellStyle name="Black 12" xfId="642"/>
    <cellStyle name="Black 13" xfId="643"/>
    <cellStyle name="Black 14" xfId="644"/>
    <cellStyle name="Black 15" xfId="645"/>
    <cellStyle name="Black 16" xfId="646"/>
    <cellStyle name="Black 17" xfId="647"/>
    <cellStyle name="Black 18" xfId="648"/>
    <cellStyle name="Black 19" xfId="649"/>
    <cellStyle name="Black 2" xfId="650"/>
    <cellStyle name="Black 20" xfId="651"/>
    <cellStyle name="Black 21" xfId="652"/>
    <cellStyle name="Black 22" xfId="653"/>
    <cellStyle name="Black 23" xfId="654"/>
    <cellStyle name="Black 24" xfId="655"/>
    <cellStyle name="Black 25" xfId="656"/>
    <cellStyle name="Black 26" xfId="2729"/>
    <cellStyle name="Black 27" xfId="3260"/>
    <cellStyle name="Black 28" xfId="4329"/>
    <cellStyle name="Black 29" xfId="4818"/>
    <cellStyle name="Black 3" xfId="657"/>
    <cellStyle name="Black 30" xfId="6430"/>
    <cellStyle name="Black 31" xfId="6906"/>
    <cellStyle name="Black 32" xfId="18892"/>
    <cellStyle name="Black 33" xfId="10595"/>
    <cellStyle name="Black 4" xfId="658"/>
    <cellStyle name="Black 5" xfId="659"/>
    <cellStyle name="Black 6" xfId="660"/>
    <cellStyle name="Black 7" xfId="661"/>
    <cellStyle name="Black 8" xfId="662"/>
    <cellStyle name="Black 9" xfId="663"/>
    <cellStyle name="BlackStrike" xfId="664"/>
    <cellStyle name="BlackText" xfId="665"/>
    <cellStyle name="blank" xfId="666"/>
    <cellStyle name="blue" xfId="667"/>
    <cellStyle name="Body" xfId="668"/>
    <cellStyle name="Bold Label" xfId="669"/>
    <cellStyle name="Bold Top Label" xfId="670"/>
    <cellStyle name="Bold/Border" xfId="671"/>
    <cellStyle name="Bold/Border 2" xfId="672"/>
    <cellStyle name="BoldText" xfId="673"/>
    <cellStyle name="Bom" xfId="674"/>
    <cellStyle name="Border" xfId="675"/>
    <cellStyle name="Border 2" xfId="676"/>
    <cellStyle name="Border Heavy" xfId="677"/>
    <cellStyle name="Border Heavy 2" xfId="678"/>
    <cellStyle name="Border Thin" xfId="679"/>
    <cellStyle name="Border Thin 2" xfId="680"/>
    <cellStyle name="Border, Bottom" xfId="681"/>
    <cellStyle name="Border, Bottom 2" xfId="682"/>
    <cellStyle name="Border, Left" xfId="683"/>
    <cellStyle name="Border, Left 2" xfId="684"/>
    <cellStyle name="Border, Right" xfId="685"/>
    <cellStyle name="Border, Right 2" xfId="686"/>
    <cellStyle name="Border, Top" xfId="687"/>
    <cellStyle name="Border, Top 2" xfId="688"/>
    <cellStyle name="Bottom Edge" xfId="689"/>
    <cellStyle name="bottom-title" xfId="690"/>
    <cellStyle name="bps" xfId="691"/>
    <cellStyle name="bps 2" xfId="692"/>
    <cellStyle name="British Pound" xfId="693"/>
    <cellStyle name="Bullet" xfId="694"/>
    <cellStyle name="c_HardInc" xfId="695"/>
    <cellStyle name="c_HardInc " xfId="696"/>
    <cellStyle name="c_HardInc _Catalog" xfId="697"/>
    <cellStyle name="c_HardInc _Catalog 2" xfId="698"/>
    <cellStyle name="c_HardInc _Catalog_Rossi Model - Official" xfId="699"/>
    <cellStyle name="c_HardInc _Estacio_Oficial_ANA_outsource_test" xfId="700"/>
    <cellStyle name="c_HardInc _JapaneseCatalog" xfId="701"/>
    <cellStyle name="c_HardInc _RRS1" xfId="702"/>
    <cellStyle name="c_HardInc _RRS6" xfId="703"/>
    <cellStyle name="c_HardInc _SEB_Oficial_ANA_outsource_test" xfId="704"/>
    <cellStyle name="c_HardInc _SEB_Oficial_ANA_outsource_test 2" xfId="705"/>
    <cellStyle name="c_HardInc _SEB_Oficial_ANA_outsource_test_Rossi Model - Official" xfId="706"/>
    <cellStyle name="c_HardInc _WORKING prjget2007_new" xfId="707"/>
    <cellStyle name="C05_Style E Text" xfId="708"/>
    <cellStyle name="CABEÇALHO" xfId="709"/>
    <cellStyle name="Cabecera 1" xfId="710"/>
    <cellStyle name="Cabecera 2" xfId="711"/>
    <cellStyle name="Calc Currency (0)" xfId="712"/>
    <cellStyle name="Calculation" xfId="713" builtinId="22" customBuiltin="1"/>
    <cellStyle name="Calculation 2" xfId="714"/>
    <cellStyle name="Calculation 2 2" xfId="715"/>
    <cellStyle name="Calculation 3" xfId="716"/>
    <cellStyle name="Calculation 4" xfId="717"/>
    <cellStyle name="Calculation 5" xfId="4330"/>
    <cellStyle name="Cálculo" xfId="718"/>
    <cellStyle name="Cálculo 2" xfId="719"/>
    <cellStyle name="Cancel" xfId="720"/>
    <cellStyle name="CashFlow" xfId="721"/>
    <cellStyle name="Célula de Verificação" xfId="722"/>
    <cellStyle name="Célula Vinculada" xfId="723"/>
    <cellStyle name="Centrado" xfId="724"/>
    <cellStyle name="Cents" xfId="725"/>
    <cellStyle name="Change" xfId="726"/>
    <cellStyle name="Changeable" xfId="727"/>
    <cellStyle name="Check Cell" xfId="728" builtinId="23" customBuiltin="1"/>
    <cellStyle name="Check Cell 2" xfId="729"/>
    <cellStyle name="Check Cell 3" xfId="730"/>
    <cellStyle name="Check Cell 4" xfId="4331"/>
    <cellStyle name="Col head bold" xfId="731"/>
    <cellStyle name="Col head light" xfId="732"/>
    <cellStyle name="Colhead_left" xfId="733"/>
    <cellStyle name="Column Headings" xfId="734"/>
    <cellStyle name="ColumnHeadings" xfId="735"/>
    <cellStyle name="ColumnHeadings2" xfId="736"/>
    <cellStyle name="Coma1" xfId="737"/>
    <cellStyle name="Comma" xfId="738" builtinId="3"/>
    <cellStyle name="Comma  - Style1" xfId="739"/>
    <cellStyle name="Comma  - Style2" xfId="740"/>
    <cellStyle name="Comma  - Style3" xfId="741"/>
    <cellStyle name="Comma  - Style4" xfId="742"/>
    <cellStyle name="Comma  - Style5" xfId="743"/>
    <cellStyle name="Comma  - Style6" xfId="744"/>
    <cellStyle name="Comma  - Style7" xfId="745"/>
    <cellStyle name="Comma  - Style8" xfId="746"/>
    <cellStyle name="comma (1)" xfId="747"/>
    <cellStyle name="comma (1) 2" xfId="748"/>
    <cellStyle name="Comma [0] 2" xfId="749"/>
    <cellStyle name="Comma [0] 2 2" xfId="750"/>
    <cellStyle name="Comma [1]" xfId="751"/>
    <cellStyle name="Comma [2]" xfId="752"/>
    <cellStyle name="Comma [3]" xfId="753"/>
    <cellStyle name="Comma 10" xfId="754"/>
    <cellStyle name="Comma 10 2" xfId="755"/>
    <cellStyle name="Comma 11" xfId="756"/>
    <cellStyle name="Comma 11 2" xfId="757"/>
    <cellStyle name="Comma 12" xfId="758"/>
    <cellStyle name="Comma 12 2" xfId="759"/>
    <cellStyle name="Comma 13" xfId="760"/>
    <cellStyle name="Comma 13 2" xfId="761"/>
    <cellStyle name="Comma 14" xfId="762"/>
    <cellStyle name="Comma 14 2" xfId="763"/>
    <cellStyle name="Comma 15" xfId="764"/>
    <cellStyle name="Comma 15 2" xfId="765"/>
    <cellStyle name="Comma 16" xfId="766"/>
    <cellStyle name="Comma 16 2" xfId="767"/>
    <cellStyle name="Comma 17" xfId="768"/>
    <cellStyle name="Comma 17 2" xfId="769"/>
    <cellStyle name="Comma 18" xfId="770"/>
    <cellStyle name="Comma 18 2" xfId="771"/>
    <cellStyle name="Comma 19" xfId="772"/>
    <cellStyle name="Comma 19 2" xfId="773"/>
    <cellStyle name="Comma 2" xfId="774"/>
    <cellStyle name="Comma 20" xfId="775"/>
    <cellStyle name="Comma 20 2" xfId="776"/>
    <cellStyle name="Comma 21" xfId="777"/>
    <cellStyle name="Comma 21 2" xfId="778"/>
    <cellStyle name="Comma 22" xfId="779"/>
    <cellStyle name="Comma 22 2" xfId="780"/>
    <cellStyle name="Comma 22 2 2" xfId="781"/>
    <cellStyle name="Comma 22 2 2 2" xfId="782"/>
    <cellStyle name="Comma 22 2 3" xfId="783"/>
    <cellStyle name="Comma 22 3" xfId="784"/>
    <cellStyle name="Comma 22 3 2" xfId="785"/>
    <cellStyle name="Comma 22 3 2 2" xfId="786"/>
    <cellStyle name="Comma 22 3 3" xfId="787"/>
    <cellStyle name="Comma 22 4" xfId="788"/>
    <cellStyle name="Comma 22 4 2" xfId="789"/>
    <cellStyle name="Comma 22 5" xfId="790"/>
    <cellStyle name="Comma 23" xfId="791"/>
    <cellStyle name="Comma 24" xfId="792"/>
    <cellStyle name="Comma 25" xfId="793"/>
    <cellStyle name="Comma 25 2" xfId="794"/>
    <cellStyle name="Comma 26" xfId="795"/>
    <cellStyle name="Comma 26 2" xfId="796"/>
    <cellStyle name="Comma 27" xfId="797"/>
    <cellStyle name="Comma 27 2" xfId="798"/>
    <cellStyle name="Comma 28" xfId="799"/>
    <cellStyle name="Comma 28 2" xfId="800"/>
    <cellStyle name="Comma 29" xfId="801"/>
    <cellStyle name="Comma 29 2" xfId="802"/>
    <cellStyle name="Comma 3" xfId="803"/>
    <cellStyle name="Comma 3 2" xfId="804"/>
    <cellStyle name="Comma 30" xfId="805"/>
    <cellStyle name="Comma 30 2" xfId="806"/>
    <cellStyle name="Comma 31" xfId="807"/>
    <cellStyle name="Comma 31 2" xfId="808"/>
    <cellStyle name="Comma 32" xfId="809"/>
    <cellStyle name="Comma 32 2" xfId="810"/>
    <cellStyle name="Comma 33" xfId="811"/>
    <cellStyle name="Comma 33 2" xfId="812"/>
    <cellStyle name="Comma 34" xfId="813"/>
    <cellStyle name="Comma 34 2" xfId="814"/>
    <cellStyle name="Comma 35" xfId="815"/>
    <cellStyle name="Comma 35 2" xfId="816"/>
    <cellStyle name="Comma 36" xfId="817"/>
    <cellStyle name="Comma 36 2" xfId="818"/>
    <cellStyle name="Comma 37" xfId="819"/>
    <cellStyle name="Comma 37 2" xfId="820"/>
    <cellStyle name="Comma 38" xfId="821"/>
    <cellStyle name="Comma 38 2" xfId="822"/>
    <cellStyle name="Comma 39" xfId="823"/>
    <cellStyle name="Comma 39 2" xfId="824"/>
    <cellStyle name="Comma 4" xfId="825"/>
    <cellStyle name="Comma 4 2" xfId="826"/>
    <cellStyle name="Comma 4 2 2" xfId="827"/>
    <cellStyle name="Comma 4 2 2 2" xfId="828"/>
    <cellStyle name="Comma 4 2 3" xfId="829"/>
    <cellStyle name="Comma 4 3" xfId="830"/>
    <cellStyle name="Comma 4 3 2" xfId="831"/>
    <cellStyle name="Comma 4 3 2 2" xfId="832"/>
    <cellStyle name="Comma 4 3 3" xfId="833"/>
    <cellStyle name="Comma 4 4" xfId="834"/>
    <cellStyle name="Comma 4 4 2" xfId="835"/>
    <cellStyle name="Comma 4 4 2 2" xfId="836"/>
    <cellStyle name="Comma 4 4 3" xfId="837"/>
    <cellStyle name="Comma 4 4 4" xfId="3212"/>
    <cellStyle name="Comma 4 4 4 2" xfId="4254"/>
    <cellStyle name="Comma 4 4 4 2 2" xfId="6379"/>
    <cellStyle name="Comma 4 4 4 2 2 2" xfId="10535"/>
    <cellStyle name="Comma 4 4 4 2 2 2 2" xfId="27132"/>
    <cellStyle name="Comma 4 4 4 2 2 2 3" xfId="18835"/>
    <cellStyle name="Comma 4 4 4 2 2 3" xfId="22992"/>
    <cellStyle name="Comma 4 4 4 2 2 4" xfId="14695"/>
    <cellStyle name="Comma 4 4 4 2 3" xfId="8463"/>
    <cellStyle name="Comma 4 4 4 2 3 2" xfId="25060"/>
    <cellStyle name="Comma 4 4 4 2 3 3" xfId="16763"/>
    <cellStyle name="Comma 4 4 4 2 4" xfId="20920"/>
    <cellStyle name="Comma 4 4 4 2 5" xfId="12623"/>
    <cellStyle name="Comma 4 4 4 3" xfId="5345"/>
    <cellStyle name="Comma 4 4 4 3 2" xfId="9501"/>
    <cellStyle name="Comma 4 4 4 3 2 2" xfId="26098"/>
    <cellStyle name="Comma 4 4 4 3 2 3" xfId="17801"/>
    <cellStyle name="Comma 4 4 4 3 3" xfId="21958"/>
    <cellStyle name="Comma 4 4 4 3 4" xfId="13661"/>
    <cellStyle name="Comma 4 4 4 4" xfId="7429"/>
    <cellStyle name="Comma 4 4 4 4 2" xfId="24026"/>
    <cellStyle name="Comma 4 4 4 4 3" xfId="15729"/>
    <cellStyle name="Comma 4 4 4 5" xfId="19886"/>
    <cellStyle name="Comma 4 4 4 6" xfId="11589"/>
    <cellStyle name="Comma 4 5" xfId="838"/>
    <cellStyle name="Comma 4 5 2" xfId="839"/>
    <cellStyle name="Comma 4 6" xfId="840"/>
    <cellStyle name="Comma 40" xfId="841"/>
    <cellStyle name="Comma 40 2" xfId="842"/>
    <cellStyle name="Comma 41" xfId="843"/>
    <cellStyle name="Comma 41 2" xfId="844"/>
    <cellStyle name="Comma 42" xfId="845"/>
    <cellStyle name="Comma 42 2" xfId="846"/>
    <cellStyle name="Comma 43" xfId="847"/>
    <cellStyle name="Comma 43 2" xfId="848"/>
    <cellStyle name="Comma 44" xfId="849"/>
    <cellStyle name="Comma 44 2" xfId="850"/>
    <cellStyle name="Comma 45" xfId="851"/>
    <cellStyle name="Comma 45 2" xfId="852"/>
    <cellStyle name="Comma 46" xfId="853"/>
    <cellStyle name="Comma 46 2" xfId="854"/>
    <cellStyle name="Comma 47" xfId="855"/>
    <cellStyle name="Comma 47 2" xfId="856"/>
    <cellStyle name="Comma 48" xfId="857"/>
    <cellStyle name="Comma 48 2" xfId="858"/>
    <cellStyle name="Comma 49" xfId="859"/>
    <cellStyle name="Comma 49 2" xfId="860"/>
    <cellStyle name="Comma 5" xfId="861"/>
    <cellStyle name="Comma 5 2" xfId="862"/>
    <cellStyle name="Comma 50" xfId="863"/>
    <cellStyle name="Comma 50 2" xfId="864"/>
    <cellStyle name="Comma 51" xfId="865"/>
    <cellStyle name="Comma 51 2" xfId="866"/>
    <cellStyle name="Comma 52" xfId="867"/>
    <cellStyle name="Comma 52 2" xfId="868"/>
    <cellStyle name="Comma 53" xfId="869"/>
    <cellStyle name="Comma 53 2" xfId="870"/>
    <cellStyle name="Comma 54" xfId="871"/>
    <cellStyle name="Comma 54 2" xfId="872"/>
    <cellStyle name="Comma 55" xfId="873"/>
    <cellStyle name="Comma 55 2" xfId="874"/>
    <cellStyle name="Comma 56" xfId="875"/>
    <cellStyle name="Comma 56 2" xfId="876"/>
    <cellStyle name="Comma 57" xfId="877"/>
    <cellStyle name="Comma 57 2" xfId="878"/>
    <cellStyle name="Comma 58" xfId="879"/>
    <cellStyle name="Comma 58 2" xfId="880"/>
    <cellStyle name="Comma 59" xfId="881"/>
    <cellStyle name="Comma 59 2" xfId="882"/>
    <cellStyle name="Comma 6" xfId="883"/>
    <cellStyle name="Comma 6 2" xfId="884"/>
    <cellStyle name="Comma 60" xfId="885"/>
    <cellStyle name="Comma 60 2" xfId="886"/>
    <cellStyle name="Comma 61" xfId="887"/>
    <cellStyle name="Comma 61 2" xfId="888"/>
    <cellStyle name="Comma 62" xfId="889"/>
    <cellStyle name="Comma 62 2" xfId="890"/>
    <cellStyle name="Comma 63" xfId="891"/>
    <cellStyle name="Comma 63 2" xfId="892"/>
    <cellStyle name="Comma 64" xfId="893"/>
    <cellStyle name="Comma 64 2" xfId="894"/>
    <cellStyle name="Comma 65" xfId="895"/>
    <cellStyle name="Comma 65 2" xfId="896"/>
    <cellStyle name="Comma 66" xfId="897"/>
    <cellStyle name="Comma 66 2" xfId="898"/>
    <cellStyle name="Comma 67" xfId="899"/>
    <cellStyle name="Comma 67 2" xfId="900"/>
    <cellStyle name="Comma 68" xfId="901"/>
    <cellStyle name="Comma 68 2" xfId="902"/>
    <cellStyle name="Comma 69" xfId="903"/>
    <cellStyle name="Comma 69 2" xfId="904"/>
    <cellStyle name="Comma 7" xfId="905"/>
    <cellStyle name="Comma 7 2" xfId="906"/>
    <cellStyle name="Comma 70" xfId="907"/>
    <cellStyle name="Comma 70 2" xfId="908"/>
    <cellStyle name="Comma 71" xfId="909"/>
    <cellStyle name="Comma 71 2" xfId="910"/>
    <cellStyle name="Comma 72" xfId="911"/>
    <cellStyle name="Comma 72 2" xfId="912"/>
    <cellStyle name="Comma 73" xfId="4332"/>
    <cellStyle name="Comma 74" xfId="10547"/>
    <cellStyle name="Comma 74 2" xfId="27141"/>
    <cellStyle name="Comma 74 3" xfId="18844"/>
    <cellStyle name="Comma 8" xfId="913"/>
    <cellStyle name="Comma 8 2" xfId="914"/>
    <cellStyle name="Comma 9" xfId="915"/>
    <cellStyle name="Comma 9 2" xfId="916"/>
    <cellStyle name="Comma Cents" xfId="917"/>
    <cellStyle name="Comma Cents 2" xfId="918"/>
    <cellStyle name="Comma(1)" xfId="919"/>
    <cellStyle name="Comma(1) 2" xfId="920"/>
    <cellStyle name="Comma(2)" xfId="921"/>
    <cellStyle name="Comma(2) 2" xfId="922"/>
    <cellStyle name="comma(3)" xfId="923"/>
    <cellStyle name="comma(3) 2" xfId="924"/>
    <cellStyle name="Comma, 1 dec" xfId="925"/>
    <cellStyle name="Comma0" xfId="926"/>
    <cellStyle name="Comma0 - Modelo1" xfId="927"/>
    <cellStyle name="Comma0 - Style1" xfId="928"/>
    <cellStyle name="Comma1 - Modelo2" xfId="929"/>
    <cellStyle name="Comma1 - Style2" xfId="930"/>
    <cellStyle name="CommaU [0]" xfId="931"/>
    <cellStyle name="CommaU [1]" xfId="932"/>
    <cellStyle name="CommaU [2]" xfId="933"/>
    <cellStyle name="Comment" xfId="934"/>
    <cellStyle name="CompanyName" xfId="935"/>
    <cellStyle name="Control Check" xfId="936"/>
    <cellStyle name="Copied" xfId="937"/>
    <cellStyle name="Currency (1)" xfId="938"/>
    <cellStyle name="Currency (1) 2" xfId="939"/>
    <cellStyle name="Currency [1]" xfId="940"/>
    <cellStyle name="Currency [2]" xfId="941"/>
    <cellStyle name="Currency [3]" xfId="942"/>
    <cellStyle name="Currency(1)" xfId="943"/>
    <cellStyle name="Currency(1) 2" xfId="944"/>
    <cellStyle name="Currency0" xfId="945"/>
    <cellStyle name="Currsmall" xfId="946"/>
    <cellStyle name="Dash" xfId="947"/>
    <cellStyle name="data" xfId="948"/>
    <cellStyle name="Data Link" xfId="949"/>
    <cellStyle name="data top 2" xfId="950"/>
    <cellStyle name="Data_Calculation" xfId="951"/>
    <cellStyle name="Date" xfId="952"/>
    <cellStyle name="Date [mmm-yy]" xfId="953"/>
    <cellStyle name="Date [mmm-yy] 2" xfId="954"/>
    <cellStyle name="Date Line" xfId="955"/>
    <cellStyle name="Date_AESA_WIP_ANAtest" xfId="956"/>
    <cellStyle name="Date2" xfId="957"/>
    <cellStyle name="Dates" xfId="958"/>
    <cellStyle name="DateYear" xfId="959"/>
    <cellStyle name="Datum" xfId="960"/>
    <cellStyle name="DBTemplate" xfId="961"/>
    <cellStyle name="Decimal" xfId="962"/>
    <cellStyle name="decimal 1" xfId="963"/>
    <cellStyle name="Decimal.1" xfId="964"/>
    <cellStyle name="Decimal_9952 formal model(070322)-1" xfId="965"/>
    <cellStyle name="Dezimal [0]_revenue" xfId="966"/>
    <cellStyle name="Dezimal_airt-rev" xfId="967"/>
    <cellStyle name="Dia" xfId="968"/>
    <cellStyle name="dollar" xfId="969"/>
    <cellStyle name="Dollars" xfId="970"/>
    <cellStyle name="Dollars 2" xfId="971"/>
    <cellStyle name="Dollars 2 2" xfId="972"/>
    <cellStyle name="DollarWhole" xfId="973"/>
    <cellStyle name="Double Accounting" xfId="974"/>
    <cellStyle name="Download" xfId="975"/>
    <cellStyle name="Download 2" xfId="976"/>
    <cellStyle name="DRI bold" xfId="977"/>
    <cellStyle name="DRI norm" xfId="978"/>
    <cellStyle name="DriversPercent" xfId="979"/>
    <cellStyle name="Encabez1" xfId="980"/>
    <cellStyle name="Encabez2" xfId="981"/>
    <cellStyle name="Ênfase1" xfId="982"/>
    <cellStyle name="Ênfase1 2" xfId="983"/>
    <cellStyle name="Ênfase2" xfId="984"/>
    <cellStyle name="Ênfase2 2" xfId="985"/>
    <cellStyle name="Ênfase3" xfId="986"/>
    <cellStyle name="Ênfase3 2" xfId="987"/>
    <cellStyle name="Ênfase4" xfId="988"/>
    <cellStyle name="Ênfase4 2" xfId="989"/>
    <cellStyle name="Ênfase5" xfId="990"/>
    <cellStyle name="Ênfase5 2" xfId="991"/>
    <cellStyle name="Ênfase6" xfId="992"/>
    <cellStyle name="Ênfase6 2" xfId="993"/>
    <cellStyle name="Entered" xfId="994"/>
    <cellStyle name="entrada" xfId="995"/>
    <cellStyle name="entrada 2" xfId="996"/>
    <cellStyle name="entrada 2 2" xfId="997"/>
    <cellStyle name="entrada 3" xfId="998"/>
    <cellStyle name="EPS" xfId="999"/>
    <cellStyle name="EPS 2" xfId="1000"/>
    <cellStyle name="Estilo 1" xfId="1001"/>
    <cellStyle name="Estranho" xfId="1002"/>
    <cellStyle name="Estrranho" xfId="1003"/>
    <cellStyle name="Euro" xfId="1004"/>
    <cellStyle name="Euro 10" xfId="1005"/>
    <cellStyle name="Euro 10 2" xfId="1006"/>
    <cellStyle name="Euro 11" xfId="1007"/>
    <cellStyle name="Euro 2" xfId="1008"/>
    <cellStyle name="Euro 2 2" xfId="1009"/>
    <cellStyle name="Euro 2 3" xfId="1010"/>
    <cellStyle name="Euro 2 4" xfId="1011"/>
    <cellStyle name="Euro 3" xfId="1012"/>
    <cellStyle name="Euro 3 2" xfId="1013"/>
    <cellStyle name="Euro 3 3" xfId="1014"/>
    <cellStyle name="Euro 4" xfId="1015"/>
    <cellStyle name="Euro 4 2" xfId="1016"/>
    <cellStyle name="Euro 4 3" xfId="1017"/>
    <cellStyle name="Euro 5" xfId="1018"/>
    <cellStyle name="Euro 5 2" xfId="1019"/>
    <cellStyle name="Euro 6" xfId="1020"/>
    <cellStyle name="Euro 6 2" xfId="1021"/>
    <cellStyle name="Euro 7" xfId="1022"/>
    <cellStyle name="Euro 7 2" xfId="1023"/>
    <cellStyle name="Euro 8" xfId="1024"/>
    <cellStyle name="Euro 8 2" xfId="1025"/>
    <cellStyle name="Euro 9" xfId="1026"/>
    <cellStyle name="Euro 9 2" xfId="1027"/>
    <cellStyle name="Explanatory Text" xfId="1028" builtinId="53" customBuiltin="1"/>
    <cellStyle name="Explanatory Text 2" xfId="1029"/>
    <cellStyle name="Explanatory Text 3" xfId="1030"/>
    <cellStyle name="Explanatory Text 4" xfId="1031"/>
    <cellStyle name="Explanatory Text 5" xfId="4333"/>
    <cellStyle name="ÊÝ [0.00]_COMPANY" xfId="1032"/>
    <cellStyle name="EY House" xfId="1033"/>
    <cellStyle name="EY House 2" xfId="1034"/>
    <cellStyle name="ÊÝ_COMPANY" xfId="1035"/>
    <cellStyle name="F2" xfId="1036"/>
    <cellStyle name="F3" xfId="1037"/>
    <cellStyle name="F4" xfId="1038"/>
    <cellStyle name="F5" xfId="1039"/>
    <cellStyle name="F6" xfId="1040"/>
    <cellStyle name="F7" xfId="1041"/>
    <cellStyle name="F8" xfId="1042"/>
    <cellStyle name="Fail" xfId="1043"/>
    <cellStyle name="Falces1" xfId="1044"/>
    <cellStyle name="Fecha" xfId="1045"/>
    <cellStyle name="FieldName" xfId="1046"/>
    <cellStyle name="Fijo" xfId="1047"/>
    <cellStyle name="Fijo 2" xfId="1048"/>
    <cellStyle name="Fijo 3" xfId="1049"/>
    <cellStyle name="Financiero" xfId="1050"/>
    <cellStyle name="FiscalPeriod" xfId="1051"/>
    <cellStyle name="Fixed" xfId="1052"/>
    <cellStyle name="Fixlong" xfId="1053"/>
    <cellStyle name="folio" xfId="1054"/>
    <cellStyle name="Footnote" xfId="1055"/>
    <cellStyle name="Formula" xfId="1056"/>
    <cellStyle name="Formula Num" xfId="1057"/>
    <cellStyle name="Formula Percent" xfId="1058"/>
    <cellStyle name="Formula projecao num" xfId="1059"/>
    <cellStyle name="Formula projecao percent" xfId="1060"/>
    <cellStyle name="from Input Sheet" xfId="1061"/>
    <cellStyle name="From Project Models" xfId="1062"/>
    <cellStyle name="From Project Models 2" xfId="1063"/>
    <cellStyle name="From Project Models 2 2" xfId="1064"/>
    <cellStyle name="fundocinza" xfId="1065"/>
    <cellStyle name="fundodeentrada" xfId="1066"/>
    <cellStyle name="fundoentrada" xfId="1067"/>
    <cellStyle name="fundoentrada 2" xfId="1068"/>
    <cellStyle name="fundogrêmio" xfId="1069"/>
    <cellStyle name="G02 Table Text" xfId="1070"/>
    <cellStyle name="G04_Main head" xfId="1071"/>
    <cellStyle name="G05 Tab Head Bold" xfId="1072"/>
    <cellStyle name="G05 Tab Head Light" xfId="1073"/>
    <cellStyle name="Good" xfId="1074" builtinId="26" customBuiltin="1"/>
    <cellStyle name="Good 2" xfId="1075"/>
    <cellStyle name="Good 3" xfId="4334"/>
    <cellStyle name="Green" xfId="1076"/>
    <cellStyle name="Grey" xfId="1077"/>
    <cellStyle name="Grey 2" xfId="1078"/>
    <cellStyle name="Growth%" xfId="1079"/>
    <cellStyle name="GrowthRate" xfId="1080"/>
    <cellStyle name="h" xfId="1081"/>
    <cellStyle name="H 2" xfId="1082"/>
    <cellStyle name="h_APPB MODEL" xfId="1083"/>
    <cellStyle name="h_E v A - Dec 01" xfId="1084"/>
    <cellStyle name="h_EAT MODEL" xfId="1085"/>
    <cellStyle name="h_MCD MODEL" xfId="1086"/>
    <cellStyle name="h_SBUX MODEL" xfId="1087"/>
    <cellStyle name="h_WEN MODEL" xfId="1088"/>
    <cellStyle name="h_WEN MODEL_EAT MODEL" xfId="1089"/>
    <cellStyle name="h_WEN MODEL_MCD MODEL" xfId="1090"/>
    <cellStyle name="h_WEN MODEL_SBUX MODEL" xfId="1091"/>
    <cellStyle name="h_WEN MODEL_YUM MODEL" xfId="1092"/>
    <cellStyle name="h_YUM MODEL" xfId="1093"/>
    <cellStyle name="hard no" xfId="1094"/>
    <cellStyle name="hard no 2" xfId="1095"/>
    <cellStyle name="hard no." xfId="1096"/>
    <cellStyle name="hard no. 2" xfId="1097"/>
    <cellStyle name="hard no. 2 2" xfId="1098"/>
    <cellStyle name="hardno" xfId="1099"/>
    <cellStyle name="Head1" xfId="1100"/>
    <cellStyle name="Header" xfId="1101"/>
    <cellStyle name="header1" xfId="1102"/>
    <cellStyle name="header2" xfId="1103"/>
    <cellStyle name="header3" xfId="1104"/>
    <cellStyle name="header3 2" xfId="1105"/>
    <cellStyle name="Heading" xfId="1106"/>
    <cellStyle name="Heading 1" xfId="1107" builtinId="16" customBuiltin="1"/>
    <cellStyle name="Heading 1 2" xfId="1108"/>
    <cellStyle name="Heading 1 2 2" xfId="1109"/>
    <cellStyle name="Heading 1 2 2 2" xfId="2730"/>
    <cellStyle name="Heading 1 3" xfId="1110"/>
    <cellStyle name="Heading 1 4" xfId="1111"/>
    <cellStyle name="Heading 1 5" xfId="4335"/>
    <cellStyle name="Heading 2" xfId="1112" builtinId="17" customBuiltin="1"/>
    <cellStyle name="Heading 2 2" xfId="1113"/>
    <cellStyle name="Heading 2 2 2" xfId="1114"/>
    <cellStyle name="Heading 2 3" xfId="1115"/>
    <cellStyle name="Heading 2 4" xfId="1116"/>
    <cellStyle name="Heading 2 5" xfId="4336"/>
    <cellStyle name="Heading 3" xfId="1117" builtinId="18" customBuiltin="1"/>
    <cellStyle name="Heading 3 2" xfId="1118"/>
    <cellStyle name="Heading 3 2 2" xfId="1119"/>
    <cellStyle name="Heading 3 2 2 2" xfId="2731"/>
    <cellStyle name="Heading 3 3" xfId="1120"/>
    <cellStyle name="Heading 3 4" xfId="1121"/>
    <cellStyle name="Heading 3 5" xfId="4337"/>
    <cellStyle name="Heading 4" xfId="1122" builtinId="19" customBuiltin="1"/>
    <cellStyle name="Heading 4 2" xfId="1123"/>
    <cellStyle name="Heading 4 2 2" xfId="1124"/>
    <cellStyle name="Heading 4 2 2 2" xfId="2732"/>
    <cellStyle name="Heading 4 3" xfId="1125"/>
    <cellStyle name="Heading 4 4" xfId="1126"/>
    <cellStyle name="Heading 4 5" xfId="4338"/>
    <cellStyle name="Heading1" xfId="1127"/>
    <cellStyle name="HEADING1 2" xfId="1128"/>
    <cellStyle name="Heading1 3" xfId="1129"/>
    <cellStyle name="Heading2" xfId="1130"/>
    <cellStyle name="HEADING2 2" xfId="1131"/>
    <cellStyle name="Heading2 3" xfId="1132"/>
    <cellStyle name="Hidden" xfId="1133"/>
    <cellStyle name="HIGHLIGHT" xfId="1134"/>
    <cellStyle name="Hipervínculo" xfId="1135"/>
    <cellStyle name="Hyperlink 2" xfId="1136"/>
    <cellStyle name="Hyperlink 3" xfId="1137"/>
    <cellStyle name="Income Statement" xfId="1138"/>
    <cellStyle name="IncomeStatement" xfId="1139"/>
    <cellStyle name="Incorreto" xfId="1140"/>
    <cellStyle name="Incorreto 2" xfId="1141"/>
    <cellStyle name="Input" xfId="1142" builtinId="20" customBuiltin="1"/>
    <cellStyle name="Input [yellow]" xfId="1143"/>
    <cellStyle name="Input [yellow] 2" xfId="1144"/>
    <cellStyle name="Input 10" xfId="1145"/>
    <cellStyle name="Input 11" xfId="1146"/>
    <cellStyle name="Input 12" xfId="1147"/>
    <cellStyle name="Input 13" xfId="1148"/>
    <cellStyle name="Input 14" xfId="1149"/>
    <cellStyle name="Input 15" xfId="1150"/>
    <cellStyle name="Input 16" xfId="1151"/>
    <cellStyle name="Input 17" xfId="1152"/>
    <cellStyle name="Input 18" xfId="1153"/>
    <cellStyle name="Input 19" xfId="1154"/>
    <cellStyle name="Input 2" xfId="1155"/>
    <cellStyle name="Input 2 2" xfId="1156"/>
    <cellStyle name="Input 20" xfId="1157"/>
    <cellStyle name="Input 21" xfId="1158"/>
    <cellStyle name="Input 22" xfId="1159"/>
    <cellStyle name="Input 23" xfId="1160"/>
    <cellStyle name="Input 24" xfId="1161"/>
    <cellStyle name="Input 25" xfId="1162"/>
    <cellStyle name="Input 26" xfId="1163"/>
    <cellStyle name="Input 27" xfId="1164"/>
    <cellStyle name="Input 28" xfId="1165"/>
    <cellStyle name="Input 29" xfId="1166"/>
    <cellStyle name="Input 3" xfId="1167"/>
    <cellStyle name="Input 30" xfId="1168"/>
    <cellStyle name="Input 31" xfId="1169"/>
    <cellStyle name="Input 32" xfId="1170"/>
    <cellStyle name="Input 33" xfId="1171"/>
    <cellStyle name="Input 34" xfId="1172"/>
    <cellStyle name="Input 35" xfId="1173"/>
    <cellStyle name="Input 36" xfId="1174"/>
    <cellStyle name="Input 37" xfId="1175"/>
    <cellStyle name="Input 38" xfId="1176"/>
    <cellStyle name="Input 39" xfId="1177"/>
    <cellStyle name="Input 4" xfId="1178"/>
    <cellStyle name="Input 40" xfId="1179"/>
    <cellStyle name="Input 41" xfId="1180"/>
    <cellStyle name="Input 42" xfId="1181"/>
    <cellStyle name="Input 43" xfId="1182"/>
    <cellStyle name="Input 43 2" xfId="1183"/>
    <cellStyle name="Input 44" xfId="1184"/>
    <cellStyle name="Input 44 2" xfId="1185"/>
    <cellStyle name="Input 45" xfId="1186"/>
    <cellStyle name="Input 46" xfId="1187"/>
    <cellStyle name="Input 47" xfId="2733"/>
    <cellStyle name="Input 48" xfId="3261"/>
    <cellStyle name="Input 49" xfId="4339"/>
    <cellStyle name="Input 5" xfId="1188"/>
    <cellStyle name="Input 50" xfId="6432"/>
    <cellStyle name="Input 51" xfId="6431"/>
    <cellStyle name="Input 52" xfId="18893"/>
    <cellStyle name="Input 53" xfId="10596"/>
    <cellStyle name="Input 6" xfId="1189"/>
    <cellStyle name="Input 7" xfId="1190"/>
    <cellStyle name="Input 8" xfId="1191"/>
    <cellStyle name="Input 9" xfId="1192"/>
    <cellStyle name="Input Percent" xfId="1193"/>
    <cellStyle name="Input1" xfId="1194"/>
    <cellStyle name="Input2" xfId="1195"/>
    <cellStyle name="Input2 2" xfId="1196"/>
    <cellStyle name="InputBlueFont" xfId="1197"/>
    <cellStyle name="Inputs" xfId="1198"/>
    <cellStyle name="Inputs2" xfId="1199"/>
    <cellStyle name="Integer" xfId="1200"/>
    <cellStyle name="Iput" xfId="1201"/>
    <cellStyle name="Italic" xfId="1202"/>
    <cellStyle name="Italic 2" xfId="1203"/>
    <cellStyle name="Jason" xfId="1204"/>
    <cellStyle name="Jason 2" xfId="1205"/>
    <cellStyle name="Jason 2 2" xfId="1206"/>
    <cellStyle name="Javier" xfId="1207"/>
    <cellStyle name="Javier 2" xfId="1208"/>
    <cellStyle name="Javier 2 2" xfId="1209"/>
    <cellStyle name="KP_Normal" xfId="1210"/>
    <cellStyle name="KPMG Heading 1" xfId="1211"/>
    <cellStyle name="KPMG Heading 2" xfId="1212"/>
    <cellStyle name="KPMG Heading 3" xfId="1213"/>
    <cellStyle name="KPMG Heading 4" xfId="1214"/>
    <cellStyle name="KPMG Normal" xfId="1215"/>
    <cellStyle name="KPMG Normal Text" xfId="1216"/>
    <cellStyle name="l]_x000d__x000a_Path=M:\RIOCEN01_x000d__x000a_Name=Carlos Emilio Brousse_x000d__x000a_DDEApps=nsf,nsg,nsh,ntf,ns2,ors,org_x000d__x000a_SmartIcons=Todos_x000d__x000a_" xfId="1217"/>
    <cellStyle name="Label" xfId="1218"/>
    <cellStyle name="Label CC" xfId="1219"/>
    <cellStyle name="Link" xfId="1220"/>
    <cellStyle name="Link 2" xfId="1221"/>
    <cellStyle name="Link 2 2" xfId="1222"/>
    <cellStyle name="Linked Cell" xfId="1223" builtinId="24" customBuiltin="1"/>
    <cellStyle name="Linked Cell 2" xfId="1224"/>
    <cellStyle name="Linked Cell 3" xfId="1225"/>
    <cellStyle name="Linked Cell 4" xfId="4340"/>
    <cellStyle name="Locked" xfId="1226"/>
    <cellStyle name="M S SANS SERIF" xfId="1227"/>
    <cellStyle name="m_Macros (2)_IBM18_Margaux Final Annexe Debt 131101 " xfId="1228"/>
    <cellStyle name="m_Macros (2)_IBM18_Margaux Final Annexe Debt 131101 _Tempo Model" xfId="1229"/>
    <cellStyle name="m_Macros (2)_Margaux Final Annexe Debt 131101 " xfId="1230"/>
    <cellStyle name="m_Macros (2)_Margaux Final Annexe Debt 131101 _Tempo Model" xfId="1231"/>
    <cellStyle name="m_Macros (2)_SPAD4_Margaux Final Annexe Debt 131101 " xfId="1232"/>
    <cellStyle name="m_Macros (2)_SPAD4_Margaux Final Annexe Debt 131101 _Tempo Model" xfId="1233"/>
    <cellStyle name="m_Macros (3)_Ibm21_Margaux Final Annexe Debt 131101 " xfId="1234"/>
    <cellStyle name="m_Macros (3)_Margaux Final Annexe Debt 131101 " xfId="1235"/>
    <cellStyle name="m_Macros (3)_perry13_Margaux Final Annexe Debt 131101 " xfId="1236"/>
    <cellStyle name="m_Macros (3)_SPAD4_Margaux Final Annexe Debt 131101 " xfId="1237"/>
    <cellStyle name="m_Macros (3)_ZeusCF1_Margaux Final Annexe Debt 131101 " xfId="1238"/>
    <cellStyle name="m_Macros_IBM18_Margaux Final Annexe Debt 131101 " xfId="1239"/>
    <cellStyle name="m_Macros_IBM18_Margaux Final Annexe Debt 131101 _Tempo Model" xfId="1240"/>
    <cellStyle name="m_Macros_Margaux Final Annexe Debt 131101 " xfId="1241"/>
    <cellStyle name="m_Macros_Margaux Final Annexe Debt 131101 _Tempo Model" xfId="1242"/>
    <cellStyle name="m_Macros_SPAD4_Margaux Final Annexe Debt 131101 " xfId="1243"/>
    <cellStyle name="m_Macros_SPAD4_Margaux Final Annexe Debt 131101 _Tempo Model" xfId="1244"/>
    <cellStyle name="m_Manager (2)_1_Ibm21_Margaux Final Annexe Debt 131101 " xfId="1245"/>
    <cellStyle name="m_Manager (2)_1_Margaux Final Annexe Debt 131101 " xfId="1246"/>
    <cellStyle name="m_Manager (2)_1_perry13_Margaux Final Annexe Debt 131101 " xfId="1247"/>
    <cellStyle name="m_Manager (2)_1_SPAD4_Margaux Final Annexe Debt 131101 " xfId="1248"/>
    <cellStyle name="m_Manager (2)_1_ZeusCF1_Margaux Final Annexe Debt 131101 " xfId="1249"/>
    <cellStyle name="m_Manager (2)_IBM18_Margaux Final Annexe Debt 131101 " xfId="1250"/>
    <cellStyle name="m_Manager (2)_IBM18_Margaux Final Annexe Debt 131101 _Tempo Model" xfId="1251"/>
    <cellStyle name="m_Manager (2)_Margaux Final Annexe Debt 131101 " xfId="1252"/>
    <cellStyle name="m_Manager (2)_Margaux Final Annexe Debt 131101 _Tempo Model" xfId="1253"/>
    <cellStyle name="m_Manager (2)_SPAD4_Margaux Final Annexe Debt 131101 " xfId="1254"/>
    <cellStyle name="m_Manager (2)_SPAD4_Margaux Final Annexe Debt 131101 _Tempo Model" xfId="1255"/>
    <cellStyle name="m_Manager_Margaux Final Annexe Debt 131101 " xfId="1256"/>
    <cellStyle name="m_Margaux Final Annexe Debt 131101 " xfId="1257"/>
    <cellStyle name="Margins" xfId="1258"/>
    <cellStyle name="MetricLabel" xfId="1259"/>
    <cellStyle name="MetricLabelBlue" xfId="1260"/>
    <cellStyle name="MetricValue" xfId="1261"/>
    <cellStyle name="middle" xfId="1262"/>
    <cellStyle name="middle-title" xfId="1263"/>
    <cellStyle name="Millares [0]_10 AVERIAS MASIVAS + ANT" xfId="1264"/>
    <cellStyle name="Millares [00]" xfId="1265"/>
    <cellStyle name="Millares_10 AVERIAS MASIVAS + ANT" xfId="1266"/>
    <cellStyle name="MLCP Normal" xfId="1267"/>
    <cellStyle name="MLCP Normal 2" xfId="1268"/>
    <cellStyle name="mm/dd/yy" xfId="1269"/>
    <cellStyle name="mm/dd/yy 2" xfId="1270"/>
    <cellStyle name="Model_Calculation" xfId="1271"/>
    <cellStyle name="Moeda [0]_CFADS.xls Gráfico 1" xfId="1272"/>
    <cellStyle name="Moeda 2" xfId="1273"/>
    <cellStyle name="Moeda 2 2" xfId="1274"/>
    <cellStyle name="Moeda 3" xfId="1275"/>
    <cellStyle name="Moeda_CFADS.xls Gráfico 1" xfId="1276"/>
    <cellStyle name="Moneda [0]_10 AVERIAS MASIVAS + ANT" xfId="1277"/>
    <cellStyle name="Moneda_10 AVERIAS MASIVAS + ANT" xfId="1278"/>
    <cellStyle name="Monetario" xfId="1279"/>
    <cellStyle name="Monetario0" xfId="1280"/>
    <cellStyle name="MonthYears" xfId="1281"/>
    <cellStyle name="MonthYears 2" xfId="1282"/>
    <cellStyle name="MthBrief" xfId="1283"/>
    <cellStyle name="Mult No x" xfId="1284"/>
    <cellStyle name="Mult No x 2" xfId="1285"/>
    <cellStyle name="Mult With x" xfId="1286"/>
    <cellStyle name="Mult With x 2" xfId="1287"/>
    <cellStyle name="Multiple" xfId="1288"/>
    <cellStyle name="Multiple (no x)" xfId="1289"/>
    <cellStyle name="Multiple (x)" xfId="1290"/>
    <cellStyle name="Multiple [1]" xfId="1291"/>
    <cellStyle name="Multiple_AESA_WIP_ANAtest" xfId="1292"/>
    <cellStyle name="n" xfId="1293"/>
    <cellStyle name="n_AESA_WIP_ANAtest" xfId="1294"/>
    <cellStyle name="n_Estacio_Oficial_ANA_outsource_test" xfId="1295"/>
    <cellStyle name="n_Estacio_Oficial_ANA_outsource_test_2" xfId="1296"/>
    <cellStyle name="n_Ibm21_Margaux Final Annexe Debt 131101 " xfId="1297"/>
    <cellStyle name="n_IS (functional) and BS " xfId="1298"/>
    <cellStyle name="n_IS (traditional) and BS " xfId="1299"/>
    <cellStyle name="n_Macros (3)_BPPerry2_Margaux Final Annexe Debt 131101 " xfId="1300"/>
    <cellStyle name="n_Macros (3)_IBM18_Margaux Final Annexe Debt 131101 " xfId="1301"/>
    <cellStyle name="n_Macros (3)_SPAD4_Margaux Final Annexe Debt 131101 " xfId="1302"/>
    <cellStyle name="n_Manager (2)_BPPerry2_Margaux Final Annexe Debt 131101 " xfId="1303"/>
    <cellStyle name="n_Manager (2)_IBM18_Margaux Final Annexe Debt 131101 " xfId="1304"/>
    <cellStyle name="n_Manager (2)_SPAD4_Margaux Final Annexe Debt 131101 " xfId="1305"/>
    <cellStyle name="n_Manager_Ibm21_Margaux Final Annexe Debt 131101 " xfId="1306"/>
    <cellStyle name="n_Manager_Margaux Final Annexe Debt 131101 " xfId="1307"/>
    <cellStyle name="n_Manager_SPAD4_Margaux Final Annexe Debt 131101 " xfId="1308"/>
    <cellStyle name="n_Manager_ZeusCF1_Margaux Final Annexe Debt 131101 " xfId="1309"/>
    <cellStyle name="n_Margaux Final Annexe Debt 131101 " xfId="1310"/>
    <cellStyle name="n_page 1_IS (functional) and BS " xfId="1311"/>
    <cellStyle name="n_perry13_Margaux Final Annexe Debt 131101 " xfId="1312"/>
    <cellStyle name="n_prjget2004.xls Chart 1" xfId="1313"/>
    <cellStyle name="n_prjget2004.xls Chart 1_Estacio_Oficial_ANA_outsource_test" xfId="1314"/>
    <cellStyle name="n_prjget2004.xls Chart 1_SEB_Oficial_ANA_outsource_test" xfId="1315"/>
    <cellStyle name="n_prjget2004.xls Chart 1_SEB_Oficial_ANA_outsource_test 2" xfId="1316"/>
    <cellStyle name="n_prjget2004.xls Chart 1_SEB_Oficial_ANA_outsource_test_Rossi Model - Official" xfId="1317"/>
    <cellStyle name="n_prjget2005" xfId="1318"/>
    <cellStyle name="n_prjget2005_Estacio_Oficial_ANA_outsource_test" xfId="1319"/>
    <cellStyle name="n_prjget2005_SEB_Oficial_ANA_outsource_test" xfId="1320"/>
    <cellStyle name="n_prjget2005_SEB_Oficial_ANA_outsource_test 2" xfId="1321"/>
    <cellStyle name="n_prjget2005_SEB_Oficial_ANA_outsource_test_Rossi Model - Official" xfId="1322"/>
    <cellStyle name="n_prjget2007" xfId="1323"/>
    <cellStyle name="n_prjget2007_Estacio_Oficial_ANA_outsource_test" xfId="1324"/>
    <cellStyle name="n_prjget2007_new" xfId="1325"/>
    <cellStyle name="n_prjget2007_new_Estacio_Oficial_ANA_outsource_test" xfId="1326"/>
    <cellStyle name="n_prjget2007_new_SEB_Oficial_ANA_outsource_test" xfId="1327"/>
    <cellStyle name="n_prjget2007_new_SEB_Oficial_ANA_outsource_test 2" xfId="1328"/>
    <cellStyle name="n_prjget2007_new_SEB_Oficial_ANA_outsource_test_Rossi Model - Official" xfId="1329"/>
    <cellStyle name="n_prjget2007_SEB_Oficial_ANA_outsource_test" xfId="1330"/>
    <cellStyle name="n_prjget2007_SEB_Oficial_ANA_outsource_test 2" xfId="1331"/>
    <cellStyle name="n_prjget2007_SEB_Oficial_ANA_outsource_test_Rossi Model - Official" xfId="1332"/>
    <cellStyle name="n_prjsmt2007" xfId="1333"/>
    <cellStyle name="n_prjsmt2007_Estacio_Oficial_ANA_outsource_test" xfId="1334"/>
    <cellStyle name="n_prjsmt2007_SEB_Oficial_ANA_outsource_test" xfId="1335"/>
    <cellStyle name="n_prjsmt2007_SEB_Oficial_ANA_outsource_test 2" xfId="1336"/>
    <cellStyle name="n_prjsmt2007_SEB_Oficial_ANA_outsource_test_Rossi Model - Official" xfId="1337"/>
    <cellStyle name="n_prjtbl2005" xfId="1338"/>
    <cellStyle name="n_prjtbl2005_Estacio_Oficial_ANA_outsource_test" xfId="1339"/>
    <cellStyle name="n_prjtbl2005_SEB_Oficial_ANA_outsource_test" xfId="1340"/>
    <cellStyle name="n_prjtbl2005_SEB_Oficial_ANA_outsource_test 2" xfId="1341"/>
    <cellStyle name="n_prjtbl2005_SEB_Oficial_ANA_outsource_test_Rossi Model - Official" xfId="1342"/>
    <cellStyle name="n_prjtbl2006" xfId="1343"/>
    <cellStyle name="n_prjtbl2006_Estacio_Oficial_ANA_outsource_test" xfId="1344"/>
    <cellStyle name="n_prjtbl2006_SEB_Oficial_ANA_outsource_test" xfId="1345"/>
    <cellStyle name="n_prjtbl2006_SEB_Oficial_ANA_outsource_test 2" xfId="1346"/>
    <cellStyle name="n_prjtbl2006_SEB_Oficial_ANA_outsource_test_Rossi Model - Official" xfId="1347"/>
    <cellStyle name="n_SEB_Oficial_ANA_outsource_test" xfId="1348"/>
    <cellStyle name="n_SEB_Oficial_ANA_outsource_test 2" xfId="1349"/>
    <cellStyle name="n_SEB_Oficial_ANA_outsource_test_Rossi Model - Official" xfId="1350"/>
    <cellStyle name="n_SPAD4_Margaux Final Annexe Debt 131101 " xfId="1351"/>
    <cellStyle name="n_WORKING prjedp2007_new" xfId="1352"/>
    <cellStyle name="n_WORKING prjedp2007_new_Estacio_Oficial_ANA_outsource_test" xfId="1353"/>
    <cellStyle name="n_WORKING prjedp2007_new_SEB_Oficial_ANA_outsource_test" xfId="1354"/>
    <cellStyle name="n_WORKING prjedp2007_new_SEB_Oficial_ANA_outsource_test 2" xfId="1355"/>
    <cellStyle name="n_WORKING prjedp2007_new_SEB_Oficial_ANA_outsource_test_Rossi Model - Official" xfId="1356"/>
    <cellStyle name="n_WORKING prjeqt2007_new" xfId="1357"/>
    <cellStyle name="n_WORKING prjeqt2007_new_Estacio_Oficial_ANA_outsource_test" xfId="1358"/>
    <cellStyle name="n_WORKING prjeqt2007_new_SEB_Oficial_ANA_outsource_test" xfId="1359"/>
    <cellStyle name="n_WORKING prjeqt2007_new_SEB_Oficial_ANA_outsource_test 2" xfId="1360"/>
    <cellStyle name="n_WORKING prjeqt2007_new_SEB_Oficial_ANA_outsource_test_Rossi Model - Official" xfId="1361"/>
    <cellStyle name="n_WORKING prjget2007_new" xfId="1362"/>
    <cellStyle name="n_WORKING prjget2007_new_Estacio_Oficial_ANA_outsource_test" xfId="1363"/>
    <cellStyle name="n_WORKING prjget2007_new_SEB_Oficial_ANA_outsource_test" xfId="1364"/>
    <cellStyle name="n_WORKING prjget2007_new_SEB_Oficial_ANA_outsource_test 2" xfId="1365"/>
    <cellStyle name="n_WORKING prjget2007_new_SEB_Oficial_ANA_outsource_test_Rossi Model - Official" xfId="1366"/>
    <cellStyle name="n_WORKING prjget42007_new" xfId="1367"/>
    <cellStyle name="n_WORKING prjtbl2007_new" xfId="1368"/>
    <cellStyle name="n_WORKING prjtbl2007_new_Estacio_Oficial_ANA_outsource_test" xfId="1369"/>
    <cellStyle name="n_WORKING prjtbl2007_new_SEB_Oficial_ANA_outsource_test" xfId="1370"/>
    <cellStyle name="n_WORKING prjtbl2007_new_SEB_Oficial_ANA_outsource_test 2" xfId="1371"/>
    <cellStyle name="n_WORKING prjtbl2007_new_SEB_Oficial_ANA_outsource_test_Rossi Model - Official" xfId="1372"/>
    <cellStyle name="n_WORKING_prjcsmg2007_new" xfId="1373"/>
    <cellStyle name="n_ZeusCF1_Margaux Final Annexe Debt 131101 " xfId="1374"/>
    <cellStyle name="Name" xfId="1375"/>
    <cellStyle name="Neutra" xfId="1376"/>
    <cellStyle name="Neutral" xfId="1377" builtinId="28" customBuiltin="1"/>
    <cellStyle name="Neutral 2" xfId="1378"/>
    <cellStyle name="Neutral 3" xfId="4341"/>
    <cellStyle name="Never Changes" xfId="1379"/>
    <cellStyle name="NewAcct" xfId="1380"/>
    <cellStyle name="No Commas" xfId="1381"/>
    <cellStyle name="no dec" xfId="1382"/>
    <cellStyle name="No-definido" xfId="1383"/>
    <cellStyle name="Normal" xfId="0" builtinId="0"/>
    <cellStyle name="Normal - Style1" xfId="1384"/>
    <cellStyle name="Normal - Style1 2" xfId="1385"/>
    <cellStyle name="Normal 10" xfId="1386"/>
    <cellStyle name="Normal 10 10" xfId="18894"/>
    <cellStyle name="Normal 10 11" xfId="10597"/>
    <cellStyle name="Normal 10 2" xfId="1387"/>
    <cellStyle name="Normal 10 2 2" xfId="1388"/>
    <cellStyle name="Normal 10 2 2 2" xfId="2736"/>
    <cellStyle name="Normal 10 2 2 2 2" xfId="3782"/>
    <cellStyle name="Normal 10 2 2 2 2 2" xfId="5907"/>
    <cellStyle name="Normal 10 2 2 2 2 2 2" xfId="10063"/>
    <cellStyle name="Normal 10 2 2 2 2 2 2 2" xfId="26660"/>
    <cellStyle name="Normal 10 2 2 2 2 2 2 3" xfId="18363"/>
    <cellStyle name="Normal 10 2 2 2 2 2 3" xfId="22520"/>
    <cellStyle name="Normal 10 2 2 2 2 2 4" xfId="14223"/>
    <cellStyle name="Normal 10 2 2 2 2 3" xfId="7991"/>
    <cellStyle name="Normal 10 2 2 2 2 3 2" xfId="24588"/>
    <cellStyle name="Normal 10 2 2 2 2 3 3" xfId="16291"/>
    <cellStyle name="Normal 10 2 2 2 2 4" xfId="20448"/>
    <cellStyle name="Normal 10 2 2 2 2 5" xfId="12151"/>
    <cellStyle name="Normal 10 2 2 2 3" xfId="4873"/>
    <cellStyle name="Normal 10 2 2 2 3 2" xfId="9029"/>
    <cellStyle name="Normal 10 2 2 2 3 2 2" xfId="25626"/>
    <cellStyle name="Normal 10 2 2 2 3 2 3" xfId="17329"/>
    <cellStyle name="Normal 10 2 2 2 3 3" xfId="21486"/>
    <cellStyle name="Normal 10 2 2 2 3 4" xfId="13189"/>
    <cellStyle name="Normal 10 2 2 2 4" xfId="6957"/>
    <cellStyle name="Normal 10 2 2 2 4 2" xfId="23554"/>
    <cellStyle name="Normal 10 2 2 2 4 3" xfId="15257"/>
    <cellStyle name="Normal 10 2 2 2 5" xfId="19414"/>
    <cellStyle name="Normal 10 2 2 2 6" xfId="11117"/>
    <cellStyle name="Normal 10 2 2 3" xfId="3264"/>
    <cellStyle name="Normal 10 2 2 3 2" xfId="5392"/>
    <cellStyle name="Normal 10 2 2 3 2 2" xfId="9548"/>
    <cellStyle name="Normal 10 2 2 3 2 2 2" xfId="26145"/>
    <cellStyle name="Normal 10 2 2 3 2 2 3" xfId="17848"/>
    <cellStyle name="Normal 10 2 2 3 2 3" xfId="22005"/>
    <cellStyle name="Normal 10 2 2 3 2 4" xfId="13708"/>
    <cellStyle name="Normal 10 2 2 3 3" xfId="7476"/>
    <cellStyle name="Normal 10 2 2 3 3 2" xfId="24073"/>
    <cellStyle name="Normal 10 2 2 3 3 3" xfId="15776"/>
    <cellStyle name="Normal 10 2 2 3 4" xfId="19933"/>
    <cellStyle name="Normal 10 2 2 3 5" xfId="11636"/>
    <cellStyle name="Normal 10 2 2 4" xfId="4344"/>
    <cellStyle name="Normal 10 2 2 4 2" xfId="8512"/>
    <cellStyle name="Normal 10 2 2 4 2 2" xfId="25109"/>
    <cellStyle name="Normal 10 2 2 4 2 3" xfId="16812"/>
    <cellStyle name="Normal 10 2 2 4 3" xfId="20969"/>
    <cellStyle name="Normal 10 2 2 4 4" xfId="12672"/>
    <cellStyle name="Normal 10 2 2 5" xfId="6435"/>
    <cellStyle name="Normal 10 2 2 5 2" xfId="23039"/>
    <cellStyle name="Normal 10 2 2 5 3" xfId="14742"/>
    <cellStyle name="Normal 10 2 2 6" xfId="18896"/>
    <cellStyle name="Normal 10 2 2 7" xfId="10599"/>
    <cellStyle name="Normal 10 2 3" xfId="2735"/>
    <cellStyle name="Normal 10 2 3 2" xfId="3781"/>
    <cellStyle name="Normal 10 2 3 2 2" xfId="5906"/>
    <cellStyle name="Normal 10 2 3 2 2 2" xfId="10062"/>
    <cellStyle name="Normal 10 2 3 2 2 2 2" xfId="26659"/>
    <cellStyle name="Normal 10 2 3 2 2 2 3" xfId="18362"/>
    <cellStyle name="Normal 10 2 3 2 2 3" xfId="22519"/>
    <cellStyle name="Normal 10 2 3 2 2 4" xfId="14222"/>
    <cellStyle name="Normal 10 2 3 2 3" xfId="7990"/>
    <cellStyle name="Normal 10 2 3 2 3 2" xfId="24587"/>
    <cellStyle name="Normal 10 2 3 2 3 3" xfId="16290"/>
    <cellStyle name="Normal 10 2 3 2 4" xfId="20447"/>
    <cellStyle name="Normal 10 2 3 2 5" xfId="12150"/>
    <cellStyle name="Normal 10 2 3 3" xfId="4872"/>
    <cellStyle name="Normal 10 2 3 3 2" xfId="9028"/>
    <cellStyle name="Normal 10 2 3 3 2 2" xfId="25625"/>
    <cellStyle name="Normal 10 2 3 3 2 3" xfId="17328"/>
    <cellStyle name="Normal 10 2 3 3 3" xfId="21485"/>
    <cellStyle name="Normal 10 2 3 3 4" xfId="13188"/>
    <cellStyle name="Normal 10 2 3 4" xfId="6956"/>
    <cellStyle name="Normal 10 2 3 4 2" xfId="23553"/>
    <cellStyle name="Normal 10 2 3 4 3" xfId="15256"/>
    <cellStyle name="Normal 10 2 3 5" xfId="19413"/>
    <cellStyle name="Normal 10 2 3 6" xfId="11116"/>
    <cellStyle name="Normal 10 2 4" xfId="3263"/>
    <cellStyle name="Normal 10 2 4 2" xfId="5391"/>
    <cellStyle name="Normal 10 2 4 2 2" xfId="9547"/>
    <cellStyle name="Normal 10 2 4 2 2 2" xfId="26144"/>
    <cellStyle name="Normal 10 2 4 2 2 3" xfId="17847"/>
    <cellStyle name="Normal 10 2 4 2 3" xfId="22004"/>
    <cellStyle name="Normal 10 2 4 2 4" xfId="13707"/>
    <cellStyle name="Normal 10 2 4 3" xfId="7475"/>
    <cellStyle name="Normal 10 2 4 3 2" xfId="24072"/>
    <cellStyle name="Normal 10 2 4 3 3" xfId="15775"/>
    <cellStyle name="Normal 10 2 4 4" xfId="19932"/>
    <cellStyle name="Normal 10 2 4 5" xfId="11635"/>
    <cellStyle name="Normal 10 2 5" xfId="4343"/>
    <cellStyle name="Normal 10 2 5 2" xfId="8511"/>
    <cellStyle name="Normal 10 2 5 2 2" xfId="25108"/>
    <cellStyle name="Normal 10 2 5 2 3" xfId="16811"/>
    <cellStyle name="Normal 10 2 5 3" xfId="20968"/>
    <cellStyle name="Normal 10 2 5 4" xfId="12671"/>
    <cellStyle name="Normal 10 2 6" xfId="6434"/>
    <cellStyle name="Normal 10 2 6 2" xfId="23038"/>
    <cellStyle name="Normal 10 2 6 3" xfId="14741"/>
    <cellStyle name="Normal 10 2 7" xfId="18895"/>
    <cellStyle name="Normal 10 2 8" xfId="10598"/>
    <cellStyle name="Normal 10 3" xfId="1389"/>
    <cellStyle name="Normal 10 3 2" xfId="1390"/>
    <cellStyle name="Normal 10 3 2 2" xfId="2738"/>
    <cellStyle name="Normal 10 3 2 2 2" xfId="3784"/>
    <cellStyle name="Normal 10 3 2 2 2 2" xfId="5909"/>
    <cellStyle name="Normal 10 3 2 2 2 2 2" xfId="10065"/>
    <cellStyle name="Normal 10 3 2 2 2 2 2 2" xfId="26662"/>
    <cellStyle name="Normal 10 3 2 2 2 2 2 3" xfId="18365"/>
    <cellStyle name="Normal 10 3 2 2 2 2 3" xfId="22522"/>
    <cellStyle name="Normal 10 3 2 2 2 2 4" xfId="14225"/>
    <cellStyle name="Normal 10 3 2 2 2 3" xfId="7993"/>
    <cellStyle name="Normal 10 3 2 2 2 3 2" xfId="24590"/>
    <cellStyle name="Normal 10 3 2 2 2 3 3" xfId="16293"/>
    <cellStyle name="Normal 10 3 2 2 2 4" xfId="20450"/>
    <cellStyle name="Normal 10 3 2 2 2 5" xfId="12153"/>
    <cellStyle name="Normal 10 3 2 2 3" xfId="4875"/>
    <cellStyle name="Normal 10 3 2 2 3 2" xfId="9031"/>
    <cellStyle name="Normal 10 3 2 2 3 2 2" xfId="25628"/>
    <cellStyle name="Normal 10 3 2 2 3 2 3" xfId="17331"/>
    <cellStyle name="Normal 10 3 2 2 3 3" xfId="21488"/>
    <cellStyle name="Normal 10 3 2 2 3 4" xfId="13191"/>
    <cellStyle name="Normal 10 3 2 2 4" xfId="6959"/>
    <cellStyle name="Normal 10 3 2 2 4 2" xfId="23556"/>
    <cellStyle name="Normal 10 3 2 2 4 3" xfId="15259"/>
    <cellStyle name="Normal 10 3 2 2 5" xfId="19416"/>
    <cellStyle name="Normal 10 3 2 2 6" xfId="11119"/>
    <cellStyle name="Normal 10 3 2 3" xfId="3266"/>
    <cellStyle name="Normal 10 3 2 3 2" xfId="5394"/>
    <cellStyle name="Normal 10 3 2 3 2 2" xfId="9550"/>
    <cellStyle name="Normal 10 3 2 3 2 2 2" xfId="26147"/>
    <cellStyle name="Normal 10 3 2 3 2 2 3" xfId="17850"/>
    <cellStyle name="Normal 10 3 2 3 2 3" xfId="22007"/>
    <cellStyle name="Normal 10 3 2 3 2 4" xfId="13710"/>
    <cellStyle name="Normal 10 3 2 3 3" xfId="7478"/>
    <cellStyle name="Normal 10 3 2 3 3 2" xfId="24075"/>
    <cellStyle name="Normal 10 3 2 3 3 3" xfId="15778"/>
    <cellStyle name="Normal 10 3 2 3 4" xfId="19935"/>
    <cellStyle name="Normal 10 3 2 3 5" xfId="11638"/>
    <cellStyle name="Normal 10 3 2 4" xfId="4346"/>
    <cellStyle name="Normal 10 3 2 4 2" xfId="8514"/>
    <cellStyle name="Normal 10 3 2 4 2 2" xfId="25111"/>
    <cellStyle name="Normal 10 3 2 4 2 3" xfId="16814"/>
    <cellStyle name="Normal 10 3 2 4 3" xfId="20971"/>
    <cellStyle name="Normal 10 3 2 4 4" xfId="12674"/>
    <cellStyle name="Normal 10 3 2 5" xfId="6437"/>
    <cellStyle name="Normal 10 3 2 5 2" xfId="23041"/>
    <cellStyle name="Normal 10 3 2 5 3" xfId="14744"/>
    <cellStyle name="Normal 10 3 2 6" xfId="18898"/>
    <cellStyle name="Normal 10 3 2 7" xfId="10601"/>
    <cellStyle name="Normal 10 3 3" xfId="2737"/>
    <cellStyle name="Normal 10 3 3 2" xfId="3783"/>
    <cellStyle name="Normal 10 3 3 2 2" xfId="5908"/>
    <cellStyle name="Normal 10 3 3 2 2 2" xfId="10064"/>
    <cellStyle name="Normal 10 3 3 2 2 2 2" xfId="26661"/>
    <cellStyle name="Normal 10 3 3 2 2 2 3" xfId="18364"/>
    <cellStyle name="Normal 10 3 3 2 2 3" xfId="22521"/>
    <cellStyle name="Normal 10 3 3 2 2 4" xfId="14224"/>
    <cellStyle name="Normal 10 3 3 2 3" xfId="7992"/>
    <cellStyle name="Normal 10 3 3 2 3 2" xfId="24589"/>
    <cellStyle name="Normal 10 3 3 2 3 3" xfId="16292"/>
    <cellStyle name="Normal 10 3 3 2 4" xfId="20449"/>
    <cellStyle name="Normal 10 3 3 2 5" xfId="12152"/>
    <cellStyle name="Normal 10 3 3 3" xfId="4874"/>
    <cellStyle name="Normal 10 3 3 3 2" xfId="9030"/>
    <cellStyle name="Normal 10 3 3 3 2 2" xfId="25627"/>
    <cellStyle name="Normal 10 3 3 3 2 3" xfId="17330"/>
    <cellStyle name="Normal 10 3 3 3 3" xfId="21487"/>
    <cellStyle name="Normal 10 3 3 3 4" xfId="13190"/>
    <cellStyle name="Normal 10 3 3 4" xfId="6958"/>
    <cellStyle name="Normal 10 3 3 4 2" xfId="23555"/>
    <cellStyle name="Normal 10 3 3 4 3" xfId="15258"/>
    <cellStyle name="Normal 10 3 3 5" xfId="19415"/>
    <cellStyle name="Normal 10 3 3 6" xfId="11118"/>
    <cellStyle name="Normal 10 3 4" xfId="3265"/>
    <cellStyle name="Normal 10 3 4 2" xfId="5393"/>
    <cellStyle name="Normal 10 3 4 2 2" xfId="9549"/>
    <cellStyle name="Normal 10 3 4 2 2 2" xfId="26146"/>
    <cellStyle name="Normal 10 3 4 2 2 3" xfId="17849"/>
    <cellStyle name="Normal 10 3 4 2 3" xfId="22006"/>
    <cellStyle name="Normal 10 3 4 2 4" xfId="13709"/>
    <cellStyle name="Normal 10 3 4 3" xfId="7477"/>
    <cellStyle name="Normal 10 3 4 3 2" xfId="24074"/>
    <cellStyle name="Normal 10 3 4 3 3" xfId="15777"/>
    <cellStyle name="Normal 10 3 4 4" xfId="19934"/>
    <cellStyle name="Normal 10 3 4 5" xfId="11637"/>
    <cellStyle name="Normal 10 3 5" xfId="4345"/>
    <cellStyle name="Normal 10 3 5 2" xfId="8513"/>
    <cellStyle name="Normal 10 3 5 2 2" xfId="25110"/>
    <cellStyle name="Normal 10 3 5 2 3" xfId="16813"/>
    <cellStyle name="Normal 10 3 5 3" xfId="20970"/>
    <cellStyle name="Normal 10 3 5 4" xfId="12673"/>
    <cellStyle name="Normal 10 3 6" xfId="6436"/>
    <cellStyle name="Normal 10 3 6 2" xfId="23040"/>
    <cellStyle name="Normal 10 3 6 3" xfId="14743"/>
    <cellStyle name="Normal 10 3 7" xfId="18897"/>
    <cellStyle name="Normal 10 3 8" xfId="10600"/>
    <cellStyle name="Normal 10 4" xfId="1391"/>
    <cellStyle name="Normal 10 5" xfId="1392"/>
    <cellStyle name="Normal 10 5 2" xfId="2739"/>
    <cellStyle name="Normal 10 5 2 2" xfId="3785"/>
    <cellStyle name="Normal 10 5 2 2 2" xfId="5910"/>
    <cellStyle name="Normal 10 5 2 2 2 2" xfId="10066"/>
    <cellStyle name="Normal 10 5 2 2 2 2 2" xfId="26663"/>
    <cellStyle name="Normal 10 5 2 2 2 2 3" xfId="18366"/>
    <cellStyle name="Normal 10 5 2 2 2 3" xfId="22523"/>
    <cellStyle name="Normal 10 5 2 2 2 4" xfId="14226"/>
    <cellStyle name="Normal 10 5 2 2 3" xfId="7994"/>
    <cellStyle name="Normal 10 5 2 2 3 2" xfId="24591"/>
    <cellStyle name="Normal 10 5 2 2 3 3" xfId="16294"/>
    <cellStyle name="Normal 10 5 2 2 4" xfId="20451"/>
    <cellStyle name="Normal 10 5 2 2 5" xfId="12154"/>
    <cellStyle name="Normal 10 5 2 3" xfId="4876"/>
    <cellStyle name="Normal 10 5 2 3 2" xfId="9032"/>
    <cellStyle name="Normal 10 5 2 3 2 2" xfId="25629"/>
    <cellStyle name="Normal 10 5 2 3 2 3" xfId="17332"/>
    <cellStyle name="Normal 10 5 2 3 3" xfId="21489"/>
    <cellStyle name="Normal 10 5 2 3 4" xfId="13192"/>
    <cellStyle name="Normal 10 5 2 4" xfId="6960"/>
    <cellStyle name="Normal 10 5 2 4 2" xfId="23557"/>
    <cellStyle name="Normal 10 5 2 4 3" xfId="15260"/>
    <cellStyle name="Normal 10 5 2 5" xfId="19417"/>
    <cellStyle name="Normal 10 5 2 6" xfId="11120"/>
    <cellStyle name="Normal 10 5 3" xfId="3267"/>
    <cellStyle name="Normal 10 5 3 2" xfId="5395"/>
    <cellStyle name="Normal 10 5 3 2 2" xfId="9551"/>
    <cellStyle name="Normal 10 5 3 2 2 2" xfId="26148"/>
    <cellStyle name="Normal 10 5 3 2 2 3" xfId="17851"/>
    <cellStyle name="Normal 10 5 3 2 3" xfId="22008"/>
    <cellStyle name="Normal 10 5 3 2 4" xfId="13711"/>
    <cellStyle name="Normal 10 5 3 3" xfId="7479"/>
    <cellStyle name="Normal 10 5 3 3 2" xfId="24076"/>
    <cellStyle name="Normal 10 5 3 3 3" xfId="15779"/>
    <cellStyle name="Normal 10 5 3 4" xfId="19936"/>
    <cellStyle name="Normal 10 5 3 5" xfId="11639"/>
    <cellStyle name="Normal 10 5 4" xfId="4347"/>
    <cellStyle name="Normal 10 5 4 2" xfId="8515"/>
    <cellStyle name="Normal 10 5 4 2 2" xfId="25112"/>
    <cellStyle name="Normal 10 5 4 2 3" xfId="16815"/>
    <cellStyle name="Normal 10 5 4 3" xfId="20972"/>
    <cellStyle name="Normal 10 5 4 4" xfId="12675"/>
    <cellStyle name="Normal 10 5 5" xfId="6438"/>
    <cellStyle name="Normal 10 5 5 2" xfId="23042"/>
    <cellStyle name="Normal 10 5 5 3" xfId="14745"/>
    <cellStyle name="Normal 10 5 6" xfId="18899"/>
    <cellStyle name="Normal 10 5 7" xfId="10602"/>
    <cellStyle name="Normal 10 6" xfId="2734"/>
    <cellStyle name="Normal 10 6 2" xfId="3780"/>
    <cellStyle name="Normal 10 6 2 2" xfId="5905"/>
    <cellStyle name="Normal 10 6 2 2 2" xfId="10061"/>
    <cellStyle name="Normal 10 6 2 2 2 2" xfId="26658"/>
    <cellStyle name="Normal 10 6 2 2 2 3" xfId="18361"/>
    <cellStyle name="Normal 10 6 2 2 3" xfId="22518"/>
    <cellStyle name="Normal 10 6 2 2 4" xfId="14221"/>
    <cellStyle name="Normal 10 6 2 3" xfId="7989"/>
    <cellStyle name="Normal 10 6 2 3 2" xfId="24586"/>
    <cellStyle name="Normal 10 6 2 3 3" xfId="16289"/>
    <cellStyle name="Normal 10 6 2 4" xfId="20446"/>
    <cellStyle name="Normal 10 6 2 5" xfId="12149"/>
    <cellStyle name="Normal 10 6 3" xfId="4871"/>
    <cellStyle name="Normal 10 6 3 2" xfId="9027"/>
    <cellStyle name="Normal 10 6 3 2 2" xfId="25624"/>
    <cellStyle name="Normal 10 6 3 2 3" xfId="17327"/>
    <cellStyle name="Normal 10 6 3 3" xfId="21484"/>
    <cellStyle name="Normal 10 6 3 4" xfId="13187"/>
    <cellStyle name="Normal 10 6 4" xfId="6955"/>
    <cellStyle name="Normal 10 6 4 2" xfId="23552"/>
    <cellStyle name="Normal 10 6 4 3" xfId="15255"/>
    <cellStyle name="Normal 10 6 5" xfId="19412"/>
    <cellStyle name="Normal 10 6 6" xfId="11115"/>
    <cellStyle name="Normal 10 7" xfId="3262"/>
    <cellStyle name="Normal 10 7 2" xfId="5390"/>
    <cellStyle name="Normal 10 7 2 2" xfId="9546"/>
    <cellStyle name="Normal 10 7 2 2 2" xfId="26143"/>
    <cellStyle name="Normal 10 7 2 2 3" xfId="17846"/>
    <cellStyle name="Normal 10 7 2 3" xfId="22003"/>
    <cellStyle name="Normal 10 7 2 4" xfId="13706"/>
    <cellStyle name="Normal 10 7 3" xfId="7474"/>
    <cellStyle name="Normal 10 7 3 2" xfId="24071"/>
    <cellStyle name="Normal 10 7 3 3" xfId="15774"/>
    <cellStyle name="Normal 10 7 4" xfId="19931"/>
    <cellStyle name="Normal 10 7 5" xfId="11634"/>
    <cellStyle name="Normal 10 8" xfId="4342"/>
    <cellStyle name="Normal 10 8 2" xfId="8510"/>
    <cellStyle name="Normal 10 8 2 2" xfId="25107"/>
    <cellStyle name="Normal 10 8 2 3" xfId="16810"/>
    <cellStyle name="Normal 10 8 3" xfId="20967"/>
    <cellStyle name="Normal 10 8 4" xfId="12670"/>
    <cellStyle name="Normal 10 9" xfId="6433"/>
    <cellStyle name="Normal 10 9 2" xfId="23037"/>
    <cellStyle name="Normal 10 9 3" xfId="14740"/>
    <cellStyle name="Normal 100" xfId="1393"/>
    <cellStyle name="Normal 100 2" xfId="2740"/>
    <cellStyle name="Normal 100 2 2" xfId="3786"/>
    <cellStyle name="Normal 100 2 2 2" xfId="5911"/>
    <cellStyle name="Normal 100 2 2 2 2" xfId="10067"/>
    <cellStyle name="Normal 100 2 2 2 2 2" xfId="26664"/>
    <cellStyle name="Normal 100 2 2 2 2 3" xfId="18367"/>
    <cellStyle name="Normal 100 2 2 2 3" xfId="22524"/>
    <cellStyle name="Normal 100 2 2 2 4" xfId="14227"/>
    <cellStyle name="Normal 100 2 2 3" xfId="7995"/>
    <cellStyle name="Normal 100 2 2 3 2" xfId="24592"/>
    <cellStyle name="Normal 100 2 2 3 3" xfId="16295"/>
    <cellStyle name="Normal 100 2 2 4" xfId="20452"/>
    <cellStyle name="Normal 100 2 2 5" xfId="12155"/>
    <cellStyle name="Normal 100 2 3" xfId="4877"/>
    <cellStyle name="Normal 100 2 3 2" xfId="9033"/>
    <cellStyle name="Normal 100 2 3 2 2" xfId="25630"/>
    <cellStyle name="Normal 100 2 3 2 3" xfId="17333"/>
    <cellStyle name="Normal 100 2 3 3" xfId="21490"/>
    <cellStyle name="Normal 100 2 3 4" xfId="13193"/>
    <cellStyle name="Normal 100 2 4" xfId="6961"/>
    <cellStyle name="Normal 100 2 4 2" xfId="23558"/>
    <cellStyle name="Normal 100 2 4 3" xfId="15261"/>
    <cellStyle name="Normal 100 2 5" xfId="19418"/>
    <cellStyle name="Normal 100 2 6" xfId="11121"/>
    <cellStyle name="Normal 100 3" xfId="3268"/>
    <cellStyle name="Normal 100 3 2" xfId="5396"/>
    <cellStyle name="Normal 100 3 2 2" xfId="9552"/>
    <cellStyle name="Normal 100 3 2 2 2" xfId="26149"/>
    <cellStyle name="Normal 100 3 2 2 3" xfId="17852"/>
    <cellStyle name="Normal 100 3 2 3" xfId="22009"/>
    <cellStyle name="Normal 100 3 2 4" xfId="13712"/>
    <cellStyle name="Normal 100 3 3" xfId="7480"/>
    <cellStyle name="Normal 100 3 3 2" xfId="24077"/>
    <cellStyle name="Normal 100 3 3 3" xfId="15780"/>
    <cellStyle name="Normal 100 3 4" xfId="19937"/>
    <cellStyle name="Normal 100 3 5" xfId="11640"/>
    <cellStyle name="Normal 100 4" xfId="4348"/>
    <cellStyle name="Normal 100 4 2" xfId="8516"/>
    <cellStyle name="Normal 100 4 2 2" xfId="25113"/>
    <cellStyle name="Normal 100 4 2 3" xfId="16816"/>
    <cellStyle name="Normal 100 4 3" xfId="20973"/>
    <cellStyle name="Normal 100 4 4" xfId="12676"/>
    <cellStyle name="Normal 100 5" xfId="6439"/>
    <cellStyle name="Normal 100 5 2" xfId="23043"/>
    <cellStyle name="Normal 100 5 3" xfId="14746"/>
    <cellStyle name="Normal 100 6" xfId="18900"/>
    <cellStyle name="Normal 100 7" xfId="10603"/>
    <cellStyle name="Normal 101" xfId="1394"/>
    <cellStyle name="Normal 101 2" xfId="2741"/>
    <cellStyle name="Normal 101 2 2" xfId="3787"/>
    <cellStyle name="Normal 101 2 2 2" xfId="5912"/>
    <cellStyle name="Normal 101 2 2 2 2" xfId="10068"/>
    <cellStyle name="Normal 101 2 2 2 2 2" xfId="26665"/>
    <cellStyle name="Normal 101 2 2 2 2 3" xfId="18368"/>
    <cellStyle name="Normal 101 2 2 2 3" xfId="22525"/>
    <cellStyle name="Normal 101 2 2 2 4" xfId="14228"/>
    <cellStyle name="Normal 101 2 2 3" xfId="7996"/>
    <cellStyle name="Normal 101 2 2 3 2" xfId="24593"/>
    <cellStyle name="Normal 101 2 2 3 3" xfId="16296"/>
    <cellStyle name="Normal 101 2 2 4" xfId="20453"/>
    <cellStyle name="Normal 101 2 2 5" xfId="12156"/>
    <cellStyle name="Normal 101 2 3" xfId="4878"/>
    <cellStyle name="Normal 101 2 3 2" xfId="9034"/>
    <cellStyle name="Normal 101 2 3 2 2" xfId="25631"/>
    <cellStyle name="Normal 101 2 3 2 3" xfId="17334"/>
    <cellStyle name="Normal 101 2 3 3" xfId="21491"/>
    <cellStyle name="Normal 101 2 3 4" xfId="13194"/>
    <cellStyle name="Normal 101 2 4" xfId="6962"/>
    <cellStyle name="Normal 101 2 4 2" xfId="23559"/>
    <cellStyle name="Normal 101 2 4 3" xfId="15262"/>
    <cellStyle name="Normal 101 2 5" xfId="19419"/>
    <cellStyle name="Normal 101 2 6" xfId="11122"/>
    <cellStyle name="Normal 101 3" xfId="3269"/>
    <cellStyle name="Normal 101 3 2" xfId="5397"/>
    <cellStyle name="Normal 101 3 2 2" xfId="9553"/>
    <cellStyle name="Normal 101 3 2 2 2" xfId="26150"/>
    <cellStyle name="Normal 101 3 2 2 3" xfId="17853"/>
    <cellStyle name="Normal 101 3 2 3" xfId="22010"/>
    <cellStyle name="Normal 101 3 2 4" xfId="13713"/>
    <cellStyle name="Normal 101 3 3" xfId="7481"/>
    <cellStyle name="Normal 101 3 3 2" xfId="24078"/>
    <cellStyle name="Normal 101 3 3 3" xfId="15781"/>
    <cellStyle name="Normal 101 3 4" xfId="19938"/>
    <cellStyle name="Normal 101 3 5" xfId="11641"/>
    <cellStyle name="Normal 101 4" xfId="4349"/>
    <cellStyle name="Normal 101 4 2" xfId="8517"/>
    <cellStyle name="Normal 101 4 2 2" xfId="25114"/>
    <cellStyle name="Normal 101 4 2 3" xfId="16817"/>
    <cellStyle name="Normal 101 4 3" xfId="20974"/>
    <cellStyle name="Normal 101 4 4" xfId="12677"/>
    <cellStyle name="Normal 101 5" xfId="6440"/>
    <cellStyle name="Normal 101 5 2" xfId="23044"/>
    <cellStyle name="Normal 101 5 3" xfId="14747"/>
    <cellStyle name="Normal 101 6" xfId="18901"/>
    <cellStyle name="Normal 101 7" xfId="10604"/>
    <cellStyle name="Normal 102" xfId="1395"/>
    <cellStyle name="Normal 102 2" xfId="2742"/>
    <cellStyle name="Normal 102 2 2" xfId="3788"/>
    <cellStyle name="Normal 102 2 2 2" xfId="5913"/>
    <cellStyle name="Normal 102 2 2 2 2" xfId="10069"/>
    <cellStyle name="Normal 102 2 2 2 2 2" xfId="26666"/>
    <cellStyle name="Normal 102 2 2 2 2 3" xfId="18369"/>
    <cellStyle name="Normal 102 2 2 2 3" xfId="22526"/>
    <cellStyle name="Normal 102 2 2 2 4" xfId="14229"/>
    <cellStyle name="Normal 102 2 2 3" xfId="7997"/>
    <cellStyle name="Normal 102 2 2 3 2" xfId="24594"/>
    <cellStyle name="Normal 102 2 2 3 3" xfId="16297"/>
    <cellStyle name="Normal 102 2 2 4" xfId="20454"/>
    <cellStyle name="Normal 102 2 2 5" xfId="12157"/>
    <cellStyle name="Normal 102 2 3" xfId="4879"/>
    <cellStyle name="Normal 102 2 3 2" xfId="9035"/>
    <cellStyle name="Normal 102 2 3 2 2" xfId="25632"/>
    <cellStyle name="Normal 102 2 3 2 3" xfId="17335"/>
    <cellStyle name="Normal 102 2 3 3" xfId="21492"/>
    <cellStyle name="Normal 102 2 3 4" xfId="13195"/>
    <cellStyle name="Normal 102 2 4" xfId="6963"/>
    <cellStyle name="Normal 102 2 4 2" xfId="23560"/>
    <cellStyle name="Normal 102 2 4 3" xfId="15263"/>
    <cellStyle name="Normal 102 2 5" xfId="19420"/>
    <cellStyle name="Normal 102 2 6" xfId="11123"/>
    <cellStyle name="Normal 102 3" xfId="3270"/>
    <cellStyle name="Normal 102 3 2" xfId="5398"/>
    <cellStyle name="Normal 102 3 2 2" xfId="9554"/>
    <cellStyle name="Normal 102 3 2 2 2" xfId="26151"/>
    <cellStyle name="Normal 102 3 2 2 3" xfId="17854"/>
    <cellStyle name="Normal 102 3 2 3" xfId="22011"/>
    <cellStyle name="Normal 102 3 2 4" xfId="13714"/>
    <cellStyle name="Normal 102 3 3" xfId="7482"/>
    <cellStyle name="Normal 102 3 3 2" xfId="24079"/>
    <cellStyle name="Normal 102 3 3 3" xfId="15782"/>
    <cellStyle name="Normal 102 3 4" xfId="19939"/>
    <cellStyle name="Normal 102 3 5" xfId="11642"/>
    <cellStyle name="Normal 102 4" xfId="4350"/>
    <cellStyle name="Normal 102 4 2" xfId="8518"/>
    <cellStyle name="Normal 102 4 2 2" xfId="25115"/>
    <cellStyle name="Normal 102 4 2 3" xfId="16818"/>
    <cellStyle name="Normal 102 4 3" xfId="20975"/>
    <cellStyle name="Normal 102 4 4" xfId="12678"/>
    <cellStyle name="Normal 102 5" xfId="6441"/>
    <cellStyle name="Normal 102 5 2" xfId="23045"/>
    <cellStyle name="Normal 102 5 3" xfId="14748"/>
    <cellStyle name="Normal 102 6" xfId="18902"/>
    <cellStyle name="Normal 102 7" xfId="10605"/>
    <cellStyle name="Normal 103" xfId="1396"/>
    <cellStyle name="Normal 103 2" xfId="2743"/>
    <cellStyle name="Normal 103 2 2" xfId="3789"/>
    <cellStyle name="Normal 103 2 2 2" xfId="5914"/>
    <cellStyle name="Normal 103 2 2 2 2" xfId="10070"/>
    <cellStyle name="Normal 103 2 2 2 2 2" xfId="26667"/>
    <cellStyle name="Normal 103 2 2 2 2 3" xfId="18370"/>
    <cellStyle name="Normal 103 2 2 2 3" xfId="22527"/>
    <cellStyle name="Normal 103 2 2 2 4" xfId="14230"/>
    <cellStyle name="Normal 103 2 2 3" xfId="7998"/>
    <cellStyle name="Normal 103 2 2 3 2" xfId="24595"/>
    <cellStyle name="Normal 103 2 2 3 3" xfId="16298"/>
    <cellStyle name="Normal 103 2 2 4" xfId="20455"/>
    <cellStyle name="Normal 103 2 2 5" xfId="12158"/>
    <cellStyle name="Normal 103 2 3" xfId="4880"/>
    <cellStyle name="Normal 103 2 3 2" xfId="9036"/>
    <cellStyle name="Normal 103 2 3 2 2" xfId="25633"/>
    <cellStyle name="Normal 103 2 3 2 3" xfId="17336"/>
    <cellStyle name="Normal 103 2 3 3" xfId="21493"/>
    <cellStyle name="Normal 103 2 3 4" xfId="13196"/>
    <cellStyle name="Normal 103 2 4" xfId="6964"/>
    <cellStyle name="Normal 103 2 4 2" xfId="23561"/>
    <cellStyle name="Normal 103 2 4 3" xfId="15264"/>
    <cellStyle name="Normal 103 2 5" xfId="19421"/>
    <cellStyle name="Normal 103 2 6" xfId="11124"/>
    <cellStyle name="Normal 103 3" xfId="3271"/>
    <cellStyle name="Normal 103 3 2" xfId="5399"/>
    <cellStyle name="Normal 103 3 2 2" xfId="9555"/>
    <cellStyle name="Normal 103 3 2 2 2" xfId="26152"/>
    <cellStyle name="Normal 103 3 2 2 3" xfId="17855"/>
    <cellStyle name="Normal 103 3 2 3" xfId="22012"/>
    <cellStyle name="Normal 103 3 2 4" xfId="13715"/>
    <cellStyle name="Normal 103 3 3" xfId="7483"/>
    <cellStyle name="Normal 103 3 3 2" xfId="24080"/>
    <cellStyle name="Normal 103 3 3 3" xfId="15783"/>
    <cellStyle name="Normal 103 3 4" xfId="19940"/>
    <cellStyle name="Normal 103 3 5" xfId="11643"/>
    <cellStyle name="Normal 103 4" xfId="4351"/>
    <cellStyle name="Normal 103 4 2" xfId="8519"/>
    <cellStyle name="Normal 103 4 2 2" xfId="25116"/>
    <cellStyle name="Normal 103 4 2 3" xfId="16819"/>
    <cellStyle name="Normal 103 4 3" xfId="20976"/>
    <cellStyle name="Normal 103 4 4" xfId="12679"/>
    <cellStyle name="Normal 103 5" xfId="6442"/>
    <cellStyle name="Normal 103 5 2" xfId="23046"/>
    <cellStyle name="Normal 103 5 3" xfId="14749"/>
    <cellStyle name="Normal 103 6" xfId="18903"/>
    <cellStyle name="Normal 103 7" xfId="10606"/>
    <cellStyle name="Normal 104" xfId="1397"/>
    <cellStyle name="Normal 104 2" xfId="2744"/>
    <cellStyle name="Normal 104 2 2" xfId="3790"/>
    <cellStyle name="Normal 104 2 2 2" xfId="5915"/>
    <cellStyle name="Normal 104 2 2 2 2" xfId="10071"/>
    <cellStyle name="Normal 104 2 2 2 2 2" xfId="26668"/>
    <cellStyle name="Normal 104 2 2 2 2 3" xfId="18371"/>
    <cellStyle name="Normal 104 2 2 2 3" xfId="22528"/>
    <cellStyle name="Normal 104 2 2 2 4" xfId="14231"/>
    <cellStyle name="Normal 104 2 2 3" xfId="7999"/>
    <cellStyle name="Normal 104 2 2 3 2" xfId="24596"/>
    <cellStyle name="Normal 104 2 2 3 3" xfId="16299"/>
    <cellStyle name="Normal 104 2 2 4" xfId="20456"/>
    <cellStyle name="Normal 104 2 2 5" xfId="12159"/>
    <cellStyle name="Normal 104 2 3" xfId="4881"/>
    <cellStyle name="Normal 104 2 3 2" xfId="9037"/>
    <cellStyle name="Normal 104 2 3 2 2" xfId="25634"/>
    <cellStyle name="Normal 104 2 3 2 3" xfId="17337"/>
    <cellStyle name="Normal 104 2 3 3" xfId="21494"/>
    <cellStyle name="Normal 104 2 3 4" xfId="13197"/>
    <cellStyle name="Normal 104 2 4" xfId="6965"/>
    <cellStyle name="Normal 104 2 4 2" xfId="23562"/>
    <cellStyle name="Normal 104 2 4 3" xfId="15265"/>
    <cellStyle name="Normal 104 2 5" xfId="19422"/>
    <cellStyle name="Normal 104 2 6" xfId="11125"/>
    <cellStyle name="Normal 104 3" xfId="3272"/>
    <cellStyle name="Normal 104 3 2" xfId="5400"/>
    <cellStyle name="Normal 104 3 2 2" xfId="9556"/>
    <cellStyle name="Normal 104 3 2 2 2" xfId="26153"/>
    <cellStyle name="Normal 104 3 2 2 3" xfId="17856"/>
    <cellStyle name="Normal 104 3 2 3" xfId="22013"/>
    <cellStyle name="Normal 104 3 2 4" xfId="13716"/>
    <cellStyle name="Normal 104 3 3" xfId="7484"/>
    <cellStyle name="Normal 104 3 3 2" xfId="24081"/>
    <cellStyle name="Normal 104 3 3 3" xfId="15784"/>
    <cellStyle name="Normal 104 3 4" xfId="19941"/>
    <cellStyle name="Normal 104 3 5" xfId="11644"/>
    <cellStyle name="Normal 104 4" xfId="4352"/>
    <cellStyle name="Normal 104 4 2" xfId="8520"/>
    <cellStyle name="Normal 104 4 2 2" xfId="25117"/>
    <cellStyle name="Normal 104 4 2 3" xfId="16820"/>
    <cellStyle name="Normal 104 4 3" xfId="20977"/>
    <cellStyle name="Normal 104 4 4" xfId="12680"/>
    <cellStyle name="Normal 104 5" xfId="6443"/>
    <cellStyle name="Normal 104 5 2" xfId="23047"/>
    <cellStyle name="Normal 104 5 3" xfId="14750"/>
    <cellStyle name="Normal 104 6" xfId="18904"/>
    <cellStyle name="Normal 104 7" xfId="10607"/>
    <cellStyle name="Normal 105" xfId="1398"/>
    <cellStyle name="Normal 105 2" xfId="2745"/>
    <cellStyle name="Normal 105 2 2" xfId="3791"/>
    <cellStyle name="Normal 105 2 2 2" xfId="5916"/>
    <cellStyle name="Normal 105 2 2 2 2" xfId="10072"/>
    <cellStyle name="Normal 105 2 2 2 2 2" xfId="26669"/>
    <cellStyle name="Normal 105 2 2 2 2 3" xfId="18372"/>
    <cellStyle name="Normal 105 2 2 2 3" xfId="22529"/>
    <cellStyle name="Normal 105 2 2 2 4" xfId="14232"/>
    <cellStyle name="Normal 105 2 2 3" xfId="8000"/>
    <cellStyle name="Normal 105 2 2 3 2" xfId="24597"/>
    <cellStyle name="Normal 105 2 2 3 3" xfId="16300"/>
    <cellStyle name="Normal 105 2 2 4" xfId="20457"/>
    <cellStyle name="Normal 105 2 2 5" xfId="12160"/>
    <cellStyle name="Normal 105 2 3" xfId="4882"/>
    <cellStyle name="Normal 105 2 3 2" xfId="9038"/>
    <cellStyle name="Normal 105 2 3 2 2" xfId="25635"/>
    <cellStyle name="Normal 105 2 3 2 3" xfId="17338"/>
    <cellStyle name="Normal 105 2 3 3" xfId="21495"/>
    <cellStyle name="Normal 105 2 3 4" xfId="13198"/>
    <cellStyle name="Normal 105 2 4" xfId="6966"/>
    <cellStyle name="Normal 105 2 4 2" xfId="23563"/>
    <cellStyle name="Normal 105 2 4 3" xfId="15266"/>
    <cellStyle name="Normal 105 2 5" xfId="19423"/>
    <cellStyle name="Normal 105 2 6" xfId="11126"/>
    <cellStyle name="Normal 105 3" xfId="3273"/>
    <cellStyle name="Normal 105 3 2" xfId="5401"/>
    <cellStyle name="Normal 105 3 2 2" xfId="9557"/>
    <cellStyle name="Normal 105 3 2 2 2" xfId="26154"/>
    <cellStyle name="Normal 105 3 2 2 3" xfId="17857"/>
    <cellStyle name="Normal 105 3 2 3" xfId="22014"/>
    <cellStyle name="Normal 105 3 2 4" xfId="13717"/>
    <cellStyle name="Normal 105 3 3" xfId="7485"/>
    <cellStyle name="Normal 105 3 3 2" xfId="24082"/>
    <cellStyle name="Normal 105 3 3 3" xfId="15785"/>
    <cellStyle name="Normal 105 3 4" xfId="19942"/>
    <cellStyle name="Normal 105 3 5" xfId="11645"/>
    <cellStyle name="Normal 105 4" xfId="4353"/>
    <cellStyle name="Normal 105 4 2" xfId="8521"/>
    <cellStyle name="Normal 105 4 2 2" xfId="25118"/>
    <cellStyle name="Normal 105 4 2 3" xfId="16821"/>
    <cellStyle name="Normal 105 4 3" xfId="20978"/>
    <cellStyle name="Normal 105 4 4" xfId="12681"/>
    <cellStyle name="Normal 105 5" xfId="6444"/>
    <cellStyle name="Normal 105 5 2" xfId="23048"/>
    <cellStyle name="Normal 105 5 3" xfId="14751"/>
    <cellStyle name="Normal 105 6" xfId="18905"/>
    <cellStyle name="Normal 105 7" xfId="10608"/>
    <cellStyle name="Normal 106" xfId="1399"/>
    <cellStyle name="Normal 106 2" xfId="2746"/>
    <cellStyle name="Normal 106 2 2" xfId="3792"/>
    <cellStyle name="Normal 106 2 2 2" xfId="5917"/>
    <cellStyle name="Normal 106 2 2 2 2" xfId="10073"/>
    <cellStyle name="Normal 106 2 2 2 2 2" xfId="26670"/>
    <cellStyle name="Normal 106 2 2 2 2 3" xfId="18373"/>
    <cellStyle name="Normal 106 2 2 2 3" xfId="22530"/>
    <cellStyle name="Normal 106 2 2 2 4" xfId="14233"/>
    <cellStyle name="Normal 106 2 2 3" xfId="8001"/>
    <cellStyle name="Normal 106 2 2 3 2" xfId="24598"/>
    <cellStyle name="Normal 106 2 2 3 3" xfId="16301"/>
    <cellStyle name="Normal 106 2 2 4" xfId="20458"/>
    <cellStyle name="Normal 106 2 2 5" xfId="12161"/>
    <cellStyle name="Normal 106 2 3" xfId="4883"/>
    <cellStyle name="Normal 106 2 3 2" xfId="9039"/>
    <cellStyle name="Normal 106 2 3 2 2" xfId="25636"/>
    <cellStyle name="Normal 106 2 3 2 3" xfId="17339"/>
    <cellStyle name="Normal 106 2 3 3" xfId="21496"/>
    <cellStyle name="Normal 106 2 3 4" xfId="13199"/>
    <cellStyle name="Normal 106 2 4" xfId="6967"/>
    <cellStyle name="Normal 106 2 4 2" xfId="23564"/>
    <cellStyle name="Normal 106 2 4 3" xfId="15267"/>
    <cellStyle name="Normal 106 2 5" xfId="19424"/>
    <cellStyle name="Normal 106 2 6" xfId="11127"/>
    <cellStyle name="Normal 106 3" xfId="3274"/>
    <cellStyle name="Normal 106 3 2" xfId="5402"/>
    <cellStyle name="Normal 106 3 2 2" xfId="9558"/>
    <cellStyle name="Normal 106 3 2 2 2" xfId="26155"/>
    <cellStyle name="Normal 106 3 2 2 3" xfId="17858"/>
    <cellStyle name="Normal 106 3 2 3" xfId="22015"/>
    <cellStyle name="Normal 106 3 2 4" xfId="13718"/>
    <cellStyle name="Normal 106 3 3" xfId="7486"/>
    <cellStyle name="Normal 106 3 3 2" xfId="24083"/>
    <cellStyle name="Normal 106 3 3 3" xfId="15786"/>
    <cellStyle name="Normal 106 3 4" xfId="19943"/>
    <cellStyle name="Normal 106 3 5" xfId="11646"/>
    <cellStyle name="Normal 106 4" xfId="4354"/>
    <cellStyle name="Normal 106 4 2" xfId="8522"/>
    <cellStyle name="Normal 106 4 2 2" xfId="25119"/>
    <cellStyle name="Normal 106 4 2 3" xfId="16822"/>
    <cellStyle name="Normal 106 4 3" xfId="20979"/>
    <cellStyle name="Normal 106 4 4" xfId="12682"/>
    <cellStyle name="Normal 106 5" xfId="6445"/>
    <cellStyle name="Normal 106 5 2" xfId="23049"/>
    <cellStyle name="Normal 106 5 3" xfId="14752"/>
    <cellStyle name="Normal 106 6" xfId="18906"/>
    <cellStyle name="Normal 106 7" xfId="10609"/>
    <cellStyle name="Normal 107" xfId="1400"/>
    <cellStyle name="Normal 107 2" xfId="2747"/>
    <cellStyle name="Normal 107 2 2" xfId="3793"/>
    <cellStyle name="Normal 107 2 2 2" xfId="5918"/>
    <cellStyle name="Normal 107 2 2 2 2" xfId="10074"/>
    <cellStyle name="Normal 107 2 2 2 2 2" xfId="26671"/>
    <cellStyle name="Normal 107 2 2 2 2 3" xfId="18374"/>
    <cellStyle name="Normal 107 2 2 2 3" xfId="22531"/>
    <cellStyle name="Normal 107 2 2 2 4" xfId="14234"/>
    <cellStyle name="Normal 107 2 2 3" xfId="8002"/>
    <cellStyle name="Normal 107 2 2 3 2" xfId="24599"/>
    <cellStyle name="Normal 107 2 2 3 3" xfId="16302"/>
    <cellStyle name="Normal 107 2 2 4" xfId="20459"/>
    <cellStyle name="Normal 107 2 2 5" xfId="12162"/>
    <cellStyle name="Normal 107 2 3" xfId="4884"/>
    <cellStyle name="Normal 107 2 3 2" xfId="9040"/>
    <cellStyle name="Normal 107 2 3 2 2" xfId="25637"/>
    <cellStyle name="Normal 107 2 3 2 3" xfId="17340"/>
    <cellStyle name="Normal 107 2 3 3" xfId="21497"/>
    <cellStyle name="Normal 107 2 3 4" xfId="13200"/>
    <cellStyle name="Normal 107 2 4" xfId="6968"/>
    <cellStyle name="Normal 107 2 4 2" xfId="23565"/>
    <cellStyle name="Normal 107 2 4 3" xfId="15268"/>
    <cellStyle name="Normal 107 2 5" xfId="19425"/>
    <cellStyle name="Normal 107 2 6" xfId="11128"/>
    <cellStyle name="Normal 107 3" xfId="3275"/>
    <cellStyle name="Normal 107 3 2" xfId="5403"/>
    <cellStyle name="Normal 107 3 2 2" xfId="9559"/>
    <cellStyle name="Normal 107 3 2 2 2" xfId="26156"/>
    <cellStyle name="Normal 107 3 2 2 3" xfId="17859"/>
    <cellStyle name="Normal 107 3 2 3" xfId="22016"/>
    <cellStyle name="Normal 107 3 2 4" xfId="13719"/>
    <cellStyle name="Normal 107 3 3" xfId="7487"/>
    <cellStyle name="Normal 107 3 3 2" xfId="24084"/>
    <cellStyle name="Normal 107 3 3 3" xfId="15787"/>
    <cellStyle name="Normal 107 3 4" xfId="19944"/>
    <cellStyle name="Normal 107 3 5" xfId="11647"/>
    <cellStyle name="Normal 107 4" xfId="4355"/>
    <cellStyle name="Normal 107 4 2" xfId="8523"/>
    <cellStyle name="Normal 107 4 2 2" xfId="25120"/>
    <cellStyle name="Normal 107 4 2 3" xfId="16823"/>
    <cellStyle name="Normal 107 4 3" xfId="20980"/>
    <cellStyle name="Normal 107 4 4" xfId="12683"/>
    <cellStyle name="Normal 107 5" xfId="6446"/>
    <cellStyle name="Normal 107 5 2" xfId="23050"/>
    <cellStyle name="Normal 107 5 3" xfId="14753"/>
    <cellStyle name="Normal 107 6" xfId="18907"/>
    <cellStyle name="Normal 107 7" xfId="10610"/>
    <cellStyle name="Normal 108" xfId="1401"/>
    <cellStyle name="Normal 108 2" xfId="2748"/>
    <cellStyle name="Normal 108 2 2" xfId="3794"/>
    <cellStyle name="Normal 108 2 2 2" xfId="5919"/>
    <cellStyle name="Normal 108 2 2 2 2" xfId="10075"/>
    <cellStyle name="Normal 108 2 2 2 2 2" xfId="26672"/>
    <cellStyle name="Normal 108 2 2 2 2 3" xfId="18375"/>
    <cellStyle name="Normal 108 2 2 2 3" xfId="22532"/>
    <cellStyle name="Normal 108 2 2 2 4" xfId="14235"/>
    <cellStyle name="Normal 108 2 2 3" xfId="8003"/>
    <cellStyle name="Normal 108 2 2 3 2" xfId="24600"/>
    <cellStyle name="Normal 108 2 2 3 3" xfId="16303"/>
    <cellStyle name="Normal 108 2 2 4" xfId="20460"/>
    <cellStyle name="Normal 108 2 2 5" xfId="12163"/>
    <cellStyle name="Normal 108 2 3" xfId="4885"/>
    <cellStyle name="Normal 108 2 3 2" xfId="9041"/>
    <cellStyle name="Normal 108 2 3 2 2" xfId="25638"/>
    <cellStyle name="Normal 108 2 3 2 3" xfId="17341"/>
    <cellStyle name="Normal 108 2 3 3" xfId="21498"/>
    <cellStyle name="Normal 108 2 3 4" xfId="13201"/>
    <cellStyle name="Normal 108 2 4" xfId="6969"/>
    <cellStyle name="Normal 108 2 4 2" xfId="23566"/>
    <cellStyle name="Normal 108 2 4 3" xfId="15269"/>
    <cellStyle name="Normal 108 2 5" xfId="19426"/>
    <cellStyle name="Normal 108 2 6" xfId="11129"/>
    <cellStyle name="Normal 108 3" xfId="3276"/>
    <cellStyle name="Normal 108 3 2" xfId="5404"/>
    <cellStyle name="Normal 108 3 2 2" xfId="9560"/>
    <cellStyle name="Normal 108 3 2 2 2" xfId="26157"/>
    <cellStyle name="Normal 108 3 2 2 3" xfId="17860"/>
    <cellStyle name="Normal 108 3 2 3" xfId="22017"/>
    <cellStyle name="Normal 108 3 2 4" xfId="13720"/>
    <cellStyle name="Normal 108 3 3" xfId="7488"/>
    <cellStyle name="Normal 108 3 3 2" xfId="24085"/>
    <cellStyle name="Normal 108 3 3 3" xfId="15788"/>
    <cellStyle name="Normal 108 3 4" xfId="19945"/>
    <cellStyle name="Normal 108 3 5" xfId="11648"/>
    <cellStyle name="Normal 108 4" xfId="4356"/>
    <cellStyle name="Normal 108 4 2" xfId="8524"/>
    <cellStyle name="Normal 108 4 2 2" xfId="25121"/>
    <cellStyle name="Normal 108 4 2 3" xfId="16824"/>
    <cellStyle name="Normal 108 4 3" xfId="20981"/>
    <cellStyle name="Normal 108 4 4" xfId="12684"/>
    <cellStyle name="Normal 108 5" xfId="6447"/>
    <cellStyle name="Normal 108 5 2" xfId="23051"/>
    <cellStyle name="Normal 108 5 3" xfId="14754"/>
    <cellStyle name="Normal 108 6" xfId="18908"/>
    <cellStyle name="Normal 108 7" xfId="10611"/>
    <cellStyle name="Normal 109" xfId="1402"/>
    <cellStyle name="Normal 109 2" xfId="2749"/>
    <cellStyle name="Normal 109 2 2" xfId="3795"/>
    <cellStyle name="Normal 109 2 2 2" xfId="5920"/>
    <cellStyle name="Normal 109 2 2 2 2" xfId="10076"/>
    <cellStyle name="Normal 109 2 2 2 2 2" xfId="26673"/>
    <cellStyle name="Normal 109 2 2 2 2 3" xfId="18376"/>
    <cellStyle name="Normal 109 2 2 2 3" xfId="22533"/>
    <cellStyle name="Normal 109 2 2 2 4" xfId="14236"/>
    <cellStyle name="Normal 109 2 2 3" xfId="8004"/>
    <cellStyle name="Normal 109 2 2 3 2" xfId="24601"/>
    <cellStyle name="Normal 109 2 2 3 3" xfId="16304"/>
    <cellStyle name="Normal 109 2 2 4" xfId="20461"/>
    <cellStyle name="Normal 109 2 2 5" xfId="12164"/>
    <cellStyle name="Normal 109 2 3" xfId="4886"/>
    <cellStyle name="Normal 109 2 3 2" xfId="9042"/>
    <cellStyle name="Normal 109 2 3 2 2" xfId="25639"/>
    <cellStyle name="Normal 109 2 3 2 3" xfId="17342"/>
    <cellStyle name="Normal 109 2 3 3" xfId="21499"/>
    <cellStyle name="Normal 109 2 3 4" xfId="13202"/>
    <cellStyle name="Normal 109 2 4" xfId="6970"/>
    <cellStyle name="Normal 109 2 4 2" xfId="23567"/>
    <cellStyle name="Normal 109 2 4 3" xfId="15270"/>
    <cellStyle name="Normal 109 2 5" xfId="19427"/>
    <cellStyle name="Normal 109 2 6" xfId="11130"/>
    <cellStyle name="Normal 109 3" xfId="3277"/>
    <cellStyle name="Normal 109 3 2" xfId="5405"/>
    <cellStyle name="Normal 109 3 2 2" xfId="9561"/>
    <cellStyle name="Normal 109 3 2 2 2" xfId="26158"/>
    <cellStyle name="Normal 109 3 2 2 3" xfId="17861"/>
    <cellStyle name="Normal 109 3 2 3" xfId="22018"/>
    <cellStyle name="Normal 109 3 2 4" xfId="13721"/>
    <cellStyle name="Normal 109 3 3" xfId="7489"/>
    <cellStyle name="Normal 109 3 3 2" xfId="24086"/>
    <cellStyle name="Normal 109 3 3 3" xfId="15789"/>
    <cellStyle name="Normal 109 3 4" xfId="19946"/>
    <cellStyle name="Normal 109 3 5" xfId="11649"/>
    <cellStyle name="Normal 109 4" xfId="4357"/>
    <cellStyle name="Normal 109 4 2" xfId="8525"/>
    <cellStyle name="Normal 109 4 2 2" xfId="25122"/>
    <cellStyle name="Normal 109 4 2 3" xfId="16825"/>
    <cellStyle name="Normal 109 4 3" xfId="20982"/>
    <cellStyle name="Normal 109 4 4" xfId="12685"/>
    <cellStyle name="Normal 109 5" xfId="6448"/>
    <cellStyle name="Normal 109 5 2" xfId="23052"/>
    <cellStyle name="Normal 109 5 3" xfId="14755"/>
    <cellStyle name="Normal 109 6" xfId="18909"/>
    <cellStyle name="Normal 109 7" xfId="10612"/>
    <cellStyle name="Normal 11" xfId="1403"/>
    <cellStyle name="Normal 11 10" xfId="6449"/>
    <cellStyle name="Normal 11 10 2" xfId="23053"/>
    <cellStyle name="Normal 11 10 3" xfId="14756"/>
    <cellStyle name="Normal 11 11" xfId="18910"/>
    <cellStyle name="Normal 11 12" xfId="10613"/>
    <cellStyle name="Normal 11 2" xfId="1404"/>
    <cellStyle name="Normal 11 2 2" xfId="1405"/>
    <cellStyle name="Normal 11 2 2 2" xfId="2752"/>
    <cellStyle name="Normal 11 2 2 2 2" xfId="3798"/>
    <cellStyle name="Normal 11 2 2 2 2 2" xfId="5923"/>
    <cellStyle name="Normal 11 2 2 2 2 2 2" xfId="10079"/>
    <cellStyle name="Normal 11 2 2 2 2 2 2 2" xfId="26676"/>
    <cellStyle name="Normal 11 2 2 2 2 2 2 3" xfId="18379"/>
    <cellStyle name="Normal 11 2 2 2 2 2 3" xfId="22536"/>
    <cellStyle name="Normal 11 2 2 2 2 2 4" xfId="14239"/>
    <cellStyle name="Normal 11 2 2 2 2 3" xfId="8007"/>
    <cellStyle name="Normal 11 2 2 2 2 3 2" xfId="24604"/>
    <cellStyle name="Normal 11 2 2 2 2 3 3" xfId="16307"/>
    <cellStyle name="Normal 11 2 2 2 2 4" xfId="20464"/>
    <cellStyle name="Normal 11 2 2 2 2 5" xfId="12167"/>
    <cellStyle name="Normal 11 2 2 2 3" xfId="4889"/>
    <cellStyle name="Normal 11 2 2 2 3 2" xfId="9045"/>
    <cellStyle name="Normal 11 2 2 2 3 2 2" xfId="25642"/>
    <cellStyle name="Normal 11 2 2 2 3 2 3" xfId="17345"/>
    <cellStyle name="Normal 11 2 2 2 3 3" xfId="21502"/>
    <cellStyle name="Normal 11 2 2 2 3 4" xfId="13205"/>
    <cellStyle name="Normal 11 2 2 2 4" xfId="6973"/>
    <cellStyle name="Normal 11 2 2 2 4 2" xfId="23570"/>
    <cellStyle name="Normal 11 2 2 2 4 3" xfId="15273"/>
    <cellStyle name="Normal 11 2 2 2 5" xfId="19430"/>
    <cellStyle name="Normal 11 2 2 2 6" xfId="11133"/>
    <cellStyle name="Normal 11 2 2 3" xfId="3280"/>
    <cellStyle name="Normal 11 2 2 3 2" xfId="5408"/>
    <cellStyle name="Normal 11 2 2 3 2 2" xfId="9564"/>
    <cellStyle name="Normal 11 2 2 3 2 2 2" xfId="26161"/>
    <cellStyle name="Normal 11 2 2 3 2 2 3" xfId="17864"/>
    <cellStyle name="Normal 11 2 2 3 2 3" xfId="22021"/>
    <cellStyle name="Normal 11 2 2 3 2 4" xfId="13724"/>
    <cellStyle name="Normal 11 2 2 3 3" xfId="7492"/>
    <cellStyle name="Normal 11 2 2 3 3 2" xfId="24089"/>
    <cellStyle name="Normal 11 2 2 3 3 3" xfId="15792"/>
    <cellStyle name="Normal 11 2 2 3 4" xfId="19949"/>
    <cellStyle name="Normal 11 2 2 3 5" xfId="11652"/>
    <cellStyle name="Normal 11 2 2 4" xfId="4360"/>
    <cellStyle name="Normal 11 2 2 4 2" xfId="8528"/>
    <cellStyle name="Normal 11 2 2 4 2 2" xfId="25125"/>
    <cellStyle name="Normal 11 2 2 4 2 3" xfId="16828"/>
    <cellStyle name="Normal 11 2 2 4 3" xfId="20985"/>
    <cellStyle name="Normal 11 2 2 4 4" xfId="12688"/>
    <cellStyle name="Normal 11 2 2 5" xfId="6451"/>
    <cellStyle name="Normal 11 2 2 5 2" xfId="23055"/>
    <cellStyle name="Normal 11 2 2 5 3" xfId="14758"/>
    <cellStyle name="Normal 11 2 2 6" xfId="18912"/>
    <cellStyle name="Normal 11 2 2 7" xfId="10615"/>
    <cellStyle name="Normal 11 2 3" xfId="2751"/>
    <cellStyle name="Normal 11 2 3 2" xfId="3797"/>
    <cellStyle name="Normal 11 2 3 2 2" xfId="5922"/>
    <cellStyle name="Normal 11 2 3 2 2 2" xfId="10078"/>
    <cellStyle name="Normal 11 2 3 2 2 2 2" xfId="26675"/>
    <cellStyle name="Normal 11 2 3 2 2 2 3" xfId="18378"/>
    <cellStyle name="Normal 11 2 3 2 2 3" xfId="22535"/>
    <cellStyle name="Normal 11 2 3 2 2 4" xfId="14238"/>
    <cellStyle name="Normal 11 2 3 2 3" xfId="8006"/>
    <cellStyle name="Normal 11 2 3 2 3 2" xfId="24603"/>
    <cellStyle name="Normal 11 2 3 2 3 3" xfId="16306"/>
    <cellStyle name="Normal 11 2 3 2 4" xfId="20463"/>
    <cellStyle name="Normal 11 2 3 2 5" xfId="12166"/>
    <cellStyle name="Normal 11 2 3 3" xfId="4888"/>
    <cellStyle name="Normal 11 2 3 3 2" xfId="9044"/>
    <cellStyle name="Normal 11 2 3 3 2 2" xfId="25641"/>
    <cellStyle name="Normal 11 2 3 3 2 3" xfId="17344"/>
    <cellStyle name="Normal 11 2 3 3 3" xfId="21501"/>
    <cellStyle name="Normal 11 2 3 3 4" xfId="13204"/>
    <cellStyle name="Normal 11 2 3 4" xfId="6972"/>
    <cellStyle name="Normal 11 2 3 4 2" xfId="23569"/>
    <cellStyle name="Normal 11 2 3 4 3" xfId="15272"/>
    <cellStyle name="Normal 11 2 3 5" xfId="19429"/>
    <cellStyle name="Normal 11 2 3 6" xfId="11132"/>
    <cellStyle name="Normal 11 2 4" xfId="3279"/>
    <cellStyle name="Normal 11 2 4 2" xfId="5407"/>
    <cellStyle name="Normal 11 2 4 2 2" xfId="9563"/>
    <cellStyle name="Normal 11 2 4 2 2 2" xfId="26160"/>
    <cellStyle name="Normal 11 2 4 2 2 3" xfId="17863"/>
    <cellStyle name="Normal 11 2 4 2 3" xfId="22020"/>
    <cellStyle name="Normal 11 2 4 2 4" xfId="13723"/>
    <cellStyle name="Normal 11 2 4 3" xfId="7491"/>
    <cellStyle name="Normal 11 2 4 3 2" xfId="24088"/>
    <cellStyle name="Normal 11 2 4 3 3" xfId="15791"/>
    <cellStyle name="Normal 11 2 4 4" xfId="19948"/>
    <cellStyle name="Normal 11 2 4 5" xfId="11651"/>
    <cellStyle name="Normal 11 2 5" xfId="4359"/>
    <cellStyle name="Normal 11 2 5 2" xfId="8527"/>
    <cellStyle name="Normal 11 2 5 2 2" xfId="25124"/>
    <cellStyle name="Normal 11 2 5 2 3" xfId="16827"/>
    <cellStyle name="Normal 11 2 5 3" xfId="20984"/>
    <cellStyle name="Normal 11 2 5 4" xfId="12687"/>
    <cellStyle name="Normal 11 2 6" xfId="6450"/>
    <cellStyle name="Normal 11 2 6 2" xfId="23054"/>
    <cellStyle name="Normal 11 2 6 3" xfId="14757"/>
    <cellStyle name="Normal 11 2 7" xfId="18911"/>
    <cellStyle name="Normal 11 2 8" xfId="10614"/>
    <cellStyle name="Normal 11 3" xfId="1406"/>
    <cellStyle name="Normal 11 3 2" xfId="1407"/>
    <cellStyle name="Normal 11 3 2 2" xfId="2754"/>
    <cellStyle name="Normal 11 3 2 2 2" xfId="3800"/>
    <cellStyle name="Normal 11 3 2 2 2 2" xfId="5925"/>
    <cellStyle name="Normal 11 3 2 2 2 2 2" xfId="10081"/>
    <cellStyle name="Normal 11 3 2 2 2 2 2 2" xfId="26678"/>
    <cellStyle name="Normal 11 3 2 2 2 2 2 3" xfId="18381"/>
    <cellStyle name="Normal 11 3 2 2 2 2 3" xfId="22538"/>
    <cellStyle name="Normal 11 3 2 2 2 2 4" xfId="14241"/>
    <cellStyle name="Normal 11 3 2 2 2 3" xfId="8009"/>
    <cellStyle name="Normal 11 3 2 2 2 3 2" xfId="24606"/>
    <cellStyle name="Normal 11 3 2 2 2 3 3" xfId="16309"/>
    <cellStyle name="Normal 11 3 2 2 2 4" xfId="20466"/>
    <cellStyle name="Normal 11 3 2 2 2 5" xfId="12169"/>
    <cellStyle name="Normal 11 3 2 2 3" xfId="4891"/>
    <cellStyle name="Normal 11 3 2 2 3 2" xfId="9047"/>
    <cellStyle name="Normal 11 3 2 2 3 2 2" xfId="25644"/>
    <cellStyle name="Normal 11 3 2 2 3 2 3" xfId="17347"/>
    <cellStyle name="Normal 11 3 2 2 3 3" xfId="21504"/>
    <cellStyle name="Normal 11 3 2 2 3 4" xfId="13207"/>
    <cellStyle name="Normal 11 3 2 2 4" xfId="6975"/>
    <cellStyle name="Normal 11 3 2 2 4 2" xfId="23572"/>
    <cellStyle name="Normal 11 3 2 2 4 3" xfId="15275"/>
    <cellStyle name="Normal 11 3 2 2 5" xfId="19432"/>
    <cellStyle name="Normal 11 3 2 2 6" xfId="11135"/>
    <cellStyle name="Normal 11 3 2 3" xfId="3282"/>
    <cellStyle name="Normal 11 3 2 3 2" xfId="5410"/>
    <cellStyle name="Normal 11 3 2 3 2 2" xfId="9566"/>
    <cellStyle name="Normal 11 3 2 3 2 2 2" xfId="26163"/>
    <cellStyle name="Normal 11 3 2 3 2 2 3" xfId="17866"/>
    <cellStyle name="Normal 11 3 2 3 2 3" xfId="22023"/>
    <cellStyle name="Normal 11 3 2 3 2 4" xfId="13726"/>
    <cellStyle name="Normal 11 3 2 3 3" xfId="7494"/>
    <cellStyle name="Normal 11 3 2 3 3 2" xfId="24091"/>
    <cellStyle name="Normal 11 3 2 3 3 3" xfId="15794"/>
    <cellStyle name="Normal 11 3 2 3 4" xfId="19951"/>
    <cellStyle name="Normal 11 3 2 3 5" xfId="11654"/>
    <cellStyle name="Normal 11 3 2 4" xfId="4362"/>
    <cellStyle name="Normal 11 3 2 4 2" xfId="8530"/>
    <cellStyle name="Normal 11 3 2 4 2 2" xfId="25127"/>
    <cellStyle name="Normal 11 3 2 4 2 3" xfId="16830"/>
    <cellStyle name="Normal 11 3 2 4 3" xfId="20987"/>
    <cellStyle name="Normal 11 3 2 4 4" xfId="12690"/>
    <cellStyle name="Normal 11 3 2 5" xfId="6453"/>
    <cellStyle name="Normal 11 3 2 5 2" xfId="23057"/>
    <cellStyle name="Normal 11 3 2 5 3" xfId="14760"/>
    <cellStyle name="Normal 11 3 2 6" xfId="18914"/>
    <cellStyle name="Normal 11 3 2 7" xfId="10617"/>
    <cellStyle name="Normal 11 3 3" xfId="2753"/>
    <cellStyle name="Normal 11 3 3 2" xfId="3799"/>
    <cellStyle name="Normal 11 3 3 2 2" xfId="5924"/>
    <cellStyle name="Normal 11 3 3 2 2 2" xfId="10080"/>
    <cellStyle name="Normal 11 3 3 2 2 2 2" xfId="26677"/>
    <cellStyle name="Normal 11 3 3 2 2 2 3" xfId="18380"/>
    <cellStyle name="Normal 11 3 3 2 2 3" xfId="22537"/>
    <cellStyle name="Normal 11 3 3 2 2 4" xfId="14240"/>
    <cellStyle name="Normal 11 3 3 2 3" xfId="8008"/>
    <cellStyle name="Normal 11 3 3 2 3 2" xfId="24605"/>
    <cellStyle name="Normal 11 3 3 2 3 3" xfId="16308"/>
    <cellStyle name="Normal 11 3 3 2 4" xfId="20465"/>
    <cellStyle name="Normal 11 3 3 2 5" xfId="12168"/>
    <cellStyle name="Normal 11 3 3 3" xfId="4890"/>
    <cellStyle name="Normal 11 3 3 3 2" xfId="9046"/>
    <cellStyle name="Normal 11 3 3 3 2 2" xfId="25643"/>
    <cellStyle name="Normal 11 3 3 3 2 3" xfId="17346"/>
    <cellStyle name="Normal 11 3 3 3 3" xfId="21503"/>
    <cellStyle name="Normal 11 3 3 3 4" xfId="13206"/>
    <cellStyle name="Normal 11 3 3 4" xfId="6974"/>
    <cellStyle name="Normal 11 3 3 4 2" xfId="23571"/>
    <cellStyle name="Normal 11 3 3 4 3" xfId="15274"/>
    <cellStyle name="Normal 11 3 3 5" xfId="19431"/>
    <cellStyle name="Normal 11 3 3 6" xfId="11134"/>
    <cellStyle name="Normal 11 3 4" xfId="3281"/>
    <cellStyle name="Normal 11 3 4 2" xfId="5409"/>
    <cellStyle name="Normal 11 3 4 2 2" xfId="9565"/>
    <cellStyle name="Normal 11 3 4 2 2 2" xfId="26162"/>
    <cellStyle name="Normal 11 3 4 2 2 3" xfId="17865"/>
    <cellStyle name="Normal 11 3 4 2 3" xfId="22022"/>
    <cellStyle name="Normal 11 3 4 2 4" xfId="13725"/>
    <cellStyle name="Normal 11 3 4 3" xfId="7493"/>
    <cellStyle name="Normal 11 3 4 3 2" xfId="24090"/>
    <cellStyle name="Normal 11 3 4 3 3" xfId="15793"/>
    <cellStyle name="Normal 11 3 4 4" xfId="19950"/>
    <cellStyle name="Normal 11 3 4 5" xfId="11653"/>
    <cellStyle name="Normal 11 3 5" xfId="4361"/>
    <cellStyle name="Normal 11 3 5 2" xfId="8529"/>
    <cellStyle name="Normal 11 3 5 2 2" xfId="25126"/>
    <cellStyle name="Normal 11 3 5 2 3" xfId="16829"/>
    <cellStyle name="Normal 11 3 5 3" xfId="20986"/>
    <cellStyle name="Normal 11 3 5 4" xfId="12689"/>
    <cellStyle name="Normal 11 3 6" xfId="6452"/>
    <cellStyle name="Normal 11 3 6 2" xfId="23056"/>
    <cellStyle name="Normal 11 3 6 3" xfId="14759"/>
    <cellStyle name="Normal 11 3 7" xfId="18913"/>
    <cellStyle name="Normal 11 3 8" xfId="10616"/>
    <cellStyle name="Normal 11 4" xfId="1408"/>
    <cellStyle name="Normal 11 4 2" xfId="1409"/>
    <cellStyle name="Normal 11 4 2 2" xfId="2756"/>
    <cellStyle name="Normal 11 4 2 2 2" xfId="3802"/>
    <cellStyle name="Normal 11 4 2 2 2 2" xfId="5927"/>
    <cellStyle name="Normal 11 4 2 2 2 2 2" xfId="10083"/>
    <cellStyle name="Normal 11 4 2 2 2 2 2 2" xfId="26680"/>
    <cellStyle name="Normal 11 4 2 2 2 2 2 3" xfId="18383"/>
    <cellStyle name="Normal 11 4 2 2 2 2 3" xfId="22540"/>
    <cellStyle name="Normal 11 4 2 2 2 2 4" xfId="14243"/>
    <cellStyle name="Normal 11 4 2 2 2 3" xfId="8011"/>
    <cellStyle name="Normal 11 4 2 2 2 3 2" xfId="24608"/>
    <cellStyle name="Normal 11 4 2 2 2 3 3" xfId="16311"/>
    <cellStyle name="Normal 11 4 2 2 2 4" xfId="20468"/>
    <cellStyle name="Normal 11 4 2 2 2 5" xfId="12171"/>
    <cellStyle name="Normal 11 4 2 2 3" xfId="4893"/>
    <cellStyle name="Normal 11 4 2 2 3 2" xfId="9049"/>
    <cellStyle name="Normal 11 4 2 2 3 2 2" xfId="25646"/>
    <cellStyle name="Normal 11 4 2 2 3 2 3" xfId="17349"/>
    <cellStyle name="Normal 11 4 2 2 3 3" xfId="21506"/>
    <cellStyle name="Normal 11 4 2 2 3 4" xfId="13209"/>
    <cellStyle name="Normal 11 4 2 2 4" xfId="6977"/>
    <cellStyle name="Normal 11 4 2 2 4 2" xfId="23574"/>
    <cellStyle name="Normal 11 4 2 2 4 3" xfId="15277"/>
    <cellStyle name="Normal 11 4 2 2 5" xfId="19434"/>
    <cellStyle name="Normal 11 4 2 2 6" xfId="11137"/>
    <cellStyle name="Normal 11 4 2 3" xfId="3284"/>
    <cellStyle name="Normal 11 4 2 3 2" xfId="5412"/>
    <cellStyle name="Normal 11 4 2 3 2 2" xfId="9568"/>
    <cellStyle name="Normal 11 4 2 3 2 2 2" xfId="26165"/>
    <cellStyle name="Normal 11 4 2 3 2 2 3" xfId="17868"/>
    <cellStyle name="Normal 11 4 2 3 2 3" xfId="22025"/>
    <cellStyle name="Normal 11 4 2 3 2 4" xfId="13728"/>
    <cellStyle name="Normal 11 4 2 3 3" xfId="7496"/>
    <cellStyle name="Normal 11 4 2 3 3 2" xfId="24093"/>
    <cellStyle name="Normal 11 4 2 3 3 3" xfId="15796"/>
    <cellStyle name="Normal 11 4 2 3 4" xfId="19953"/>
    <cellStyle name="Normal 11 4 2 3 5" xfId="11656"/>
    <cellStyle name="Normal 11 4 2 4" xfId="4364"/>
    <cellStyle name="Normal 11 4 2 4 2" xfId="8532"/>
    <cellStyle name="Normal 11 4 2 4 2 2" xfId="25129"/>
    <cellStyle name="Normal 11 4 2 4 2 3" xfId="16832"/>
    <cellStyle name="Normal 11 4 2 4 3" xfId="20989"/>
    <cellStyle name="Normal 11 4 2 4 4" xfId="12692"/>
    <cellStyle name="Normal 11 4 2 5" xfId="6455"/>
    <cellStyle name="Normal 11 4 2 5 2" xfId="23059"/>
    <cellStyle name="Normal 11 4 2 5 3" xfId="14762"/>
    <cellStyle name="Normal 11 4 2 6" xfId="18916"/>
    <cellStyle name="Normal 11 4 2 7" xfId="10619"/>
    <cellStyle name="Normal 11 4 3" xfId="2755"/>
    <cellStyle name="Normal 11 4 3 2" xfId="3801"/>
    <cellStyle name="Normal 11 4 3 2 2" xfId="5926"/>
    <cellStyle name="Normal 11 4 3 2 2 2" xfId="10082"/>
    <cellStyle name="Normal 11 4 3 2 2 2 2" xfId="26679"/>
    <cellStyle name="Normal 11 4 3 2 2 2 3" xfId="18382"/>
    <cellStyle name="Normal 11 4 3 2 2 3" xfId="22539"/>
    <cellStyle name="Normal 11 4 3 2 2 4" xfId="14242"/>
    <cellStyle name="Normal 11 4 3 2 3" xfId="8010"/>
    <cellStyle name="Normal 11 4 3 2 3 2" xfId="24607"/>
    <cellStyle name="Normal 11 4 3 2 3 3" xfId="16310"/>
    <cellStyle name="Normal 11 4 3 2 4" xfId="20467"/>
    <cellStyle name="Normal 11 4 3 2 5" xfId="12170"/>
    <cellStyle name="Normal 11 4 3 3" xfId="4892"/>
    <cellStyle name="Normal 11 4 3 3 2" xfId="9048"/>
    <cellStyle name="Normal 11 4 3 3 2 2" xfId="25645"/>
    <cellStyle name="Normal 11 4 3 3 2 3" xfId="17348"/>
    <cellStyle name="Normal 11 4 3 3 3" xfId="21505"/>
    <cellStyle name="Normal 11 4 3 3 4" xfId="13208"/>
    <cellStyle name="Normal 11 4 3 4" xfId="6976"/>
    <cellStyle name="Normal 11 4 3 4 2" xfId="23573"/>
    <cellStyle name="Normal 11 4 3 4 3" xfId="15276"/>
    <cellStyle name="Normal 11 4 3 5" xfId="19433"/>
    <cellStyle name="Normal 11 4 3 6" xfId="11136"/>
    <cellStyle name="Normal 11 4 4" xfId="3283"/>
    <cellStyle name="Normal 11 4 4 2" xfId="5411"/>
    <cellStyle name="Normal 11 4 4 2 2" xfId="9567"/>
    <cellStyle name="Normal 11 4 4 2 2 2" xfId="26164"/>
    <cellStyle name="Normal 11 4 4 2 2 3" xfId="17867"/>
    <cellStyle name="Normal 11 4 4 2 3" xfId="22024"/>
    <cellStyle name="Normal 11 4 4 2 4" xfId="13727"/>
    <cellStyle name="Normal 11 4 4 3" xfId="7495"/>
    <cellStyle name="Normal 11 4 4 3 2" xfId="24092"/>
    <cellStyle name="Normal 11 4 4 3 3" xfId="15795"/>
    <cellStyle name="Normal 11 4 4 4" xfId="19952"/>
    <cellStyle name="Normal 11 4 4 5" xfId="11655"/>
    <cellStyle name="Normal 11 4 5" xfId="4363"/>
    <cellStyle name="Normal 11 4 5 2" xfId="8531"/>
    <cellStyle name="Normal 11 4 5 2 2" xfId="25128"/>
    <cellStyle name="Normal 11 4 5 2 3" xfId="16831"/>
    <cellStyle name="Normal 11 4 5 3" xfId="20988"/>
    <cellStyle name="Normal 11 4 5 4" xfId="12691"/>
    <cellStyle name="Normal 11 4 6" xfId="6454"/>
    <cellStyle name="Normal 11 4 6 2" xfId="23058"/>
    <cellStyle name="Normal 11 4 6 3" xfId="14761"/>
    <cellStyle name="Normal 11 4 7" xfId="18915"/>
    <cellStyle name="Normal 11 4 8" xfId="10618"/>
    <cellStyle name="Normal 11 5" xfId="1410"/>
    <cellStyle name="Normal 11 5 2" xfId="2757"/>
    <cellStyle name="Normal 11 5 2 2" xfId="3803"/>
    <cellStyle name="Normal 11 5 2 2 2" xfId="5928"/>
    <cellStyle name="Normal 11 5 2 2 2 2" xfId="10084"/>
    <cellStyle name="Normal 11 5 2 2 2 2 2" xfId="26681"/>
    <cellStyle name="Normal 11 5 2 2 2 2 3" xfId="18384"/>
    <cellStyle name="Normal 11 5 2 2 2 3" xfId="22541"/>
    <cellStyle name="Normal 11 5 2 2 2 4" xfId="14244"/>
    <cellStyle name="Normal 11 5 2 2 3" xfId="8012"/>
    <cellStyle name="Normal 11 5 2 2 3 2" xfId="24609"/>
    <cellStyle name="Normal 11 5 2 2 3 3" xfId="16312"/>
    <cellStyle name="Normal 11 5 2 2 4" xfId="20469"/>
    <cellStyle name="Normal 11 5 2 2 5" xfId="12172"/>
    <cellStyle name="Normal 11 5 2 3" xfId="4894"/>
    <cellStyle name="Normal 11 5 2 3 2" xfId="9050"/>
    <cellStyle name="Normal 11 5 2 3 2 2" xfId="25647"/>
    <cellStyle name="Normal 11 5 2 3 2 3" xfId="17350"/>
    <cellStyle name="Normal 11 5 2 3 3" xfId="21507"/>
    <cellStyle name="Normal 11 5 2 3 4" xfId="13210"/>
    <cellStyle name="Normal 11 5 2 4" xfId="6978"/>
    <cellStyle name="Normal 11 5 2 4 2" xfId="23575"/>
    <cellStyle name="Normal 11 5 2 4 3" xfId="15278"/>
    <cellStyle name="Normal 11 5 2 5" xfId="19435"/>
    <cellStyle name="Normal 11 5 2 6" xfId="11138"/>
    <cellStyle name="Normal 11 5 3" xfId="3285"/>
    <cellStyle name="Normal 11 5 3 2" xfId="5413"/>
    <cellStyle name="Normal 11 5 3 2 2" xfId="9569"/>
    <cellStyle name="Normal 11 5 3 2 2 2" xfId="26166"/>
    <cellStyle name="Normal 11 5 3 2 2 3" xfId="17869"/>
    <cellStyle name="Normal 11 5 3 2 3" xfId="22026"/>
    <cellStyle name="Normal 11 5 3 2 4" xfId="13729"/>
    <cellStyle name="Normal 11 5 3 3" xfId="7497"/>
    <cellStyle name="Normal 11 5 3 3 2" xfId="24094"/>
    <cellStyle name="Normal 11 5 3 3 3" xfId="15797"/>
    <cellStyle name="Normal 11 5 3 4" xfId="19954"/>
    <cellStyle name="Normal 11 5 3 5" xfId="11657"/>
    <cellStyle name="Normal 11 5 4" xfId="4365"/>
    <cellStyle name="Normal 11 5 4 2" xfId="8533"/>
    <cellStyle name="Normal 11 5 4 2 2" xfId="25130"/>
    <cellStyle name="Normal 11 5 4 2 3" xfId="16833"/>
    <cellStyle name="Normal 11 5 4 3" xfId="20990"/>
    <cellStyle name="Normal 11 5 4 4" xfId="12693"/>
    <cellStyle name="Normal 11 5 5" xfId="6456"/>
    <cellStyle name="Normal 11 5 5 2" xfId="23060"/>
    <cellStyle name="Normal 11 5 5 3" xfId="14763"/>
    <cellStyle name="Normal 11 5 6" xfId="18917"/>
    <cellStyle name="Normal 11 5 7" xfId="10620"/>
    <cellStyle name="Normal 11 6" xfId="1411"/>
    <cellStyle name="Normal 11 6 2" xfId="2758"/>
    <cellStyle name="Normal 11 6 2 2" xfId="3804"/>
    <cellStyle name="Normal 11 6 2 2 2" xfId="5929"/>
    <cellStyle name="Normal 11 6 2 2 2 2" xfId="10085"/>
    <cellStyle name="Normal 11 6 2 2 2 2 2" xfId="26682"/>
    <cellStyle name="Normal 11 6 2 2 2 2 3" xfId="18385"/>
    <cellStyle name="Normal 11 6 2 2 2 3" xfId="22542"/>
    <cellStyle name="Normal 11 6 2 2 2 4" xfId="14245"/>
    <cellStyle name="Normal 11 6 2 2 3" xfId="8013"/>
    <cellStyle name="Normal 11 6 2 2 3 2" xfId="24610"/>
    <cellStyle name="Normal 11 6 2 2 3 3" xfId="16313"/>
    <cellStyle name="Normal 11 6 2 2 4" xfId="20470"/>
    <cellStyle name="Normal 11 6 2 2 5" xfId="12173"/>
    <cellStyle name="Normal 11 6 2 3" xfId="4895"/>
    <cellStyle name="Normal 11 6 2 3 2" xfId="9051"/>
    <cellStyle name="Normal 11 6 2 3 2 2" xfId="25648"/>
    <cellStyle name="Normal 11 6 2 3 2 3" xfId="17351"/>
    <cellStyle name="Normal 11 6 2 3 3" xfId="21508"/>
    <cellStyle name="Normal 11 6 2 3 4" xfId="13211"/>
    <cellStyle name="Normal 11 6 2 4" xfId="6979"/>
    <cellStyle name="Normal 11 6 2 4 2" xfId="23576"/>
    <cellStyle name="Normal 11 6 2 4 3" xfId="15279"/>
    <cellStyle name="Normal 11 6 2 5" xfId="19436"/>
    <cellStyle name="Normal 11 6 2 6" xfId="11139"/>
    <cellStyle name="Normal 11 6 3" xfId="3286"/>
    <cellStyle name="Normal 11 6 3 2" xfId="5414"/>
    <cellStyle name="Normal 11 6 3 2 2" xfId="9570"/>
    <cellStyle name="Normal 11 6 3 2 2 2" xfId="26167"/>
    <cellStyle name="Normal 11 6 3 2 2 3" xfId="17870"/>
    <cellStyle name="Normal 11 6 3 2 3" xfId="22027"/>
    <cellStyle name="Normal 11 6 3 2 4" xfId="13730"/>
    <cellStyle name="Normal 11 6 3 3" xfId="7498"/>
    <cellStyle name="Normal 11 6 3 3 2" xfId="24095"/>
    <cellStyle name="Normal 11 6 3 3 3" xfId="15798"/>
    <cellStyle name="Normal 11 6 3 4" xfId="19955"/>
    <cellStyle name="Normal 11 6 3 5" xfId="11658"/>
    <cellStyle name="Normal 11 6 4" xfId="4366"/>
    <cellStyle name="Normal 11 6 4 2" xfId="8534"/>
    <cellStyle name="Normal 11 6 4 2 2" xfId="25131"/>
    <cellStyle name="Normal 11 6 4 2 3" xfId="16834"/>
    <cellStyle name="Normal 11 6 4 3" xfId="20991"/>
    <cellStyle name="Normal 11 6 4 4" xfId="12694"/>
    <cellStyle name="Normal 11 6 5" xfId="6457"/>
    <cellStyle name="Normal 11 6 5 2" xfId="23061"/>
    <cellStyle name="Normal 11 6 5 3" xfId="14764"/>
    <cellStyle name="Normal 11 6 6" xfId="18918"/>
    <cellStyle name="Normal 11 6 7" xfId="10621"/>
    <cellStyle name="Normal 11 7" xfId="2750"/>
    <cellStyle name="Normal 11 7 2" xfId="3796"/>
    <cellStyle name="Normal 11 7 2 2" xfId="5921"/>
    <cellStyle name="Normal 11 7 2 2 2" xfId="10077"/>
    <cellStyle name="Normal 11 7 2 2 2 2" xfId="26674"/>
    <cellStyle name="Normal 11 7 2 2 2 3" xfId="18377"/>
    <cellStyle name="Normal 11 7 2 2 3" xfId="22534"/>
    <cellStyle name="Normal 11 7 2 2 4" xfId="14237"/>
    <cellStyle name="Normal 11 7 2 3" xfId="8005"/>
    <cellStyle name="Normal 11 7 2 3 2" xfId="24602"/>
    <cellStyle name="Normal 11 7 2 3 3" xfId="16305"/>
    <cellStyle name="Normal 11 7 2 4" xfId="20462"/>
    <cellStyle name="Normal 11 7 2 5" xfId="12165"/>
    <cellStyle name="Normal 11 7 3" xfId="4887"/>
    <cellStyle name="Normal 11 7 3 2" xfId="9043"/>
    <cellStyle name="Normal 11 7 3 2 2" xfId="25640"/>
    <cellStyle name="Normal 11 7 3 2 3" xfId="17343"/>
    <cellStyle name="Normal 11 7 3 3" xfId="21500"/>
    <cellStyle name="Normal 11 7 3 4" xfId="13203"/>
    <cellStyle name="Normal 11 7 4" xfId="6971"/>
    <cellStyle name="Normal 11 7 4 2" xfId="23568"/>
    <cellStyle name="Normal 11 7 4 3" xfId="15271"/>
    <cellStyle name="Normal 11 7 5" xfId="19428"/>
    <cellStyle name="Normal 11 7 6" xfId="11131"/>
    <cellStyle name="Normal 11 8" xfId="3278"/>
    <cellStyle name="Normal 11 8 2" xfId="5406"/>
    <cellStyle name="Normal 11 8 2 2" xfId="9562"/>
    <cellStyle name="Normal 11 8 2 2 2" xfId="26159"/>
    <cellStyle name="Normal 11 8 2 2 3" xfId="17862"/>
    <cellStyle name="Normal 11 8 2 3" xfId="22019"/>
    <cellStyle name="Normal 11 8 2 4" xfId="13722"/>
    <cellStyle name="Normal 11 8 3" xfId="7490"/>
    <cellStyle name="Normal 11 8 3 2" xfId="24087"/>
    <cellStyle name="Normal 11 8 3 3" xfId="15790"/>
    <cellStyle name="Normal 11 8 4" xfId="19947"/>
    <cellStyle name="Normal 11 8 5" xfId="11650"/>
    <cellStyle name="Normal 11 9" xfId="4358"/>
    <cellStyle name="Normal 11 9 2" xfId="8526"/>
    <cellStyle name="Normal 11 9 2 2" xfId="25123"/>
    <cellStyle name="Normal 11 9 2 3" xfId="16826"/>
    <cellStyle name="Normal 11 9 3" xfId="20983"/>
    <cellStyle name="Normal 11 9 4" xfId="12686"/>
    <cellStyle name="Normal 110" xfId="1412"/>
    <cellStyle name="Normal 110 2" xfId="2759"/>
    <cellStyle name="Normal 110 2 2" xfId="3805"/>
    <cellStyle name="Normal 110 2 2 2" xfId="5930"/>
    <cellStyle name="Normal 110 2 2 2 2" xfId="10086"/>
    <cellStyle name="Normal 110 2 2 2 2 2" xfId="26683"/>
    <cellStyle name="Normal 110 2 2 2 2 3" xfId="18386"/>
    <cellStyle name="Normal 110 2 2 2 3" xfId="22543"/>
    <cellStyle name="Normal 110 2 2 2 4" xfId="14246"/>
    <cellStyle name="Normal 110 2 2 3" xfId="8014"/>
    <cellStyle name="Normal 110 2 2 3 2" xfId="24611"/>
    <cellStyle name="Normal 110 2 2 3 3" xfId="16314"/>
    <cellStyle name="Normal 110 2 2 4" xfId="20471"/>
    <cellStyle name="Normal 110 2 2 5" xfId="12174"/>
    <cellStyle name="Normal 110 2 3" xfId="4896"/>
    <cellStyle name="Normal 110 2 3 2" xfId="9052"/>
    <cellStyle name="Normal 110 2 3 2 2" xfId="25649"/>
    <cellStyle name="Normal 110 2 3 2 3" xfId="17352"/>
    <cellStyle name="Normal 110 2 3 3" xfId="21509"/>
    <cellStyle name="Normal 110 2 3 4" xfId="13212"/>
    <cellStyle name="Normal 110 2 4" xfId="6980"/>
    <cellStyle name="Normal 110 2 4 2" xfId="23577"/>
    <cellStyle name="Normal 110 2 4 3" xfId="15280"/>
    <cellStyle name="Normal 110 2 5" xfId="19437"/>
    <cellStyle name="Normal 110 2 6" xfId="11140"/>
    <cellStyle name="Normal 110 3" xfId="3287"/>
    <cellStyle name="Normal 110 3 2" xfId="5415"/>
    <cellStyle name="Normal 110 3 2 2" xfId="9571"/>
    <cellStyle name="Normal 110 3 2 2 2" xfId="26168"/>
    <cellStyle name="Normal 110 3 2 2 3" xfId="17871"/>
    <cellStyle name="Normal 110 3 2 3" xfId="22028"/>
    <cellStyle name="Normal 110 3 2 4" xfId="13731"/>
    <cellStyle name="Normal 110 3 3" xfId="7499"/>
    <cellStyle name="Normal 110 3 3 2" xfId="24096"/>
    <cellStyle name="Normal 110 3 3 3" xfId="15799"/>
    <cellStyle name="Normal 110 3 4" xfId="19956"/>
    <cellStyle name="Normal 110 3 5" xfId="11659"/>
    <cellStyle name="Normal 110 4" xfId="4367"/>
    <cellStyle name="Normal 110 4 2" xfId="8535"/>
    <cellStyle name="Normal 110 4 2 2" xfId="25132"/>
    <cellStyle name="Normal 110 4 2 3" xfId="16835"/>
    <cellStyle name="Normal 110 4 3" xfId="20992"/>
    <cellStyle name="Normal 110 4 4" xfId="12695"/>
    <cellStyle name="Normal 110 5" xfId="6458"/>
    <cellStyle name="Normal 110 5 2" xfId="23062"/>
    <cellStyle name="Normal 110 5 3" xfId="14765"/>
    <cellStyle name="Normal 110 6" xfId="18919"/>
    <cellStyle name="Normal 110 7" xfId="10622"/>
    <cellStyle name="Normal 111" xfId="1413"/>
    <cellStyle name="Normal 111 2" xfId="2760"/>
    <cellStyle name="Normal 111 2 2" xfId="3806"/>
    <cellStyle name="Normal 111 2 2 2" xfId="5931"/>
    <cellStyle name="Normal 111 2 2 2 2" xfId="10087"/>
    <cellStyle name="Normal 111 2 2 2 2 2" xfId="26684"/>
    <cellStyle name="Normal 111 2 2 2 2 3" xfId="18387"/>
    <cellStyle name="Normal 111 2 2 2 3" xfId="22544"/>
    <cellStyle name="Normal 111 2 2 2 4" xfId="14247"/>
    <cellStyle name="Normal 111 2 2 3" xfId="8015"/>
    <cellStyle name="Normal 111 2 2 3 2" xfId="24612"/>
    <cellStyle name="Normal 111 2 2 3 3" xfId="16315"/>
    <cellStyle name="Normal 111 2 2 4" xfId="20472"/>
    <cellStyle name="Normal 111 2 2 5" xfId="12175"/>
    <cellStyle name="Normal 111 2 3" xfId="4897"/>
    <cellStyle name="Normal 111 2 3 2" xfId="9053"/>
    <cellStyle name="Normal 111 2 3 2 2" xfId="25650"/>
    <cellStyle name="Normal 111 2 3 2 3" xfId="17353"/>
    <cellStyle name="Normal 111 2 3 3" xfId="21510"/>
    <cellStyle name="Normal 111 2 3 4" xfId="13213"/>
    <cellStyle name="Normal 111 2 4" xfId="6981"/>
    <cellStyle name="Normal 111 2 4 2" xfId="23578"/>
    <cellStyle name="Normal 111 2 4 3" xfId="15281"/>
    <cellStyle name="Normal 111 2 5" xfId="19438"/>
    <cellStyle name="Normal 111 2 6" xfId="11141"/>
    <cellStyle name="Normal 111 3" xfId="3288"/>
    <cellStyle name="Normal 111 3 2" xfId="5416"/>
    <cellStyle name="Normal 111 3 2 2" xfId="9572"/>
    <cellStyle name="Normal 111 3 2 2 2" xfId="26169"/>
    <cellStyle name="Normal 111 3 2 2 3" xfId="17872"/>
    <cellStyle name="Normal 111 3 2 3" xfId="22029"/>
    <cellStyle name="Normal 111 3 2 4" xfId="13732"/>
    <cellStyle name="Normal 111 3 3" xfId="7500"/>
    <cellStyle name="Normal 111 3 3 2" xfId="24097"/>
    <cellStyle name="Normal 111 3 3 3" xfId="15800"/>
    <cellStyle name="Normal 111 3 4" xfId="19957"/>
    <cellStyle name="Normal 111 3 5" xfId="11660"/>
    <cellStyle name="Normal 111 4" xfId="4368"/>
    <cellStyle name="Normal 111 4 2" xfId="8536"/>
    <cellStyle name="Normal 111 4 2 2" xfId="25133"/>
    <cellStyle name="Normal 111 4 2 3" xfId="16836"/>
    <cellStyle name="Normal 111 4 3" xfId="20993"/>
    <cellStyle name="Normal 111 4 4" xfId="12696"/>
    <cellStyle name="Normal 111 5" xfId="6459"/>
    <cellStyle name="Normal 111 5 2" xfId="23063"/>
    <cellStyle name="Normal 111 5 3" xfId="14766"/>
    <cellStyle name="Normal 111 6" xfId="18920"/>
    <cellStyle name="Normal 111 7" xfId="10623"/>
    <cellStyle name="Normal 112" xfId="1414"/>
    <cellStyle name="Normal 112 2" xfId="2761"/>
    <cellStyle name="Normal 112 2 2" xfId="3807"/>
    <cellStyle name="Normal 112 2 2 2" xfId="5932"/>
    <cellStyle name="Normal 112 2 2 2 2" xfId="10088"/>
    <cellStyle name="Normal 112 2 2 2 2 2" xfId="26685"/>
    <cellStyle name="Normal 112 2 2 2 2 3" xfId="18388"/>
    <cellStyle name="Normal 112 2 2 2 3" xfId="22545"/>
    <cellStyle name="Normal 112 2 2 2 4" xfId="14248"/>
    <cellStyle name="Normal 112 2 2 3" xfId="8016"/>
    <cellStyle name="Normal 112 2 2 3 2" xfId="24613"/>
    <cellStyle name="Normal 112 2 2 3 3" xfId="16316"/>
    <cellStyle name="Normal 112 2 2 4" xfId="20473"/>
    <cellStyle name="Normal 112 2 2 5" xfId="12176"/>
    <cellStyle name="Normal 112 2 3" xfId="4898"/>
    <cellStyle name="Normal 112 2 3 2" xfId="9054"/>
    <cellStyle name="Normal 112 2 3 2 2" xfId="25651"/>
    <cellStyle name="Normal 112 2 3 2 3" xfId="17354"/>
    <cellStyle name="Normal 112 2 3 3" xfId="21511"/>
    <cellStyle name="Normal 112 2 3 4" xfId="13214"/>
    <cellStyle name="Normal 112 2 4" xfId="6982"/>
    <cellStyle name="Normal 112 2 4 2" xfId="23579"/>
    <cellStyle name="Normal 112 2 4 3" xfId="15282"/>
    <cellStyle name="Normal 112 2 5" xfId="19439"/>
    <cellStyle name="Normal 112 2 6" xfId="11142"/>
    <cellStyle name="Normal 112 3" xfId="3289"/>
    <cellStyle name="Normal 112 3 2" xfId="5417"/>
    <cellStyle name="Normal 112 3 2 2" xfId="9573"/>
    <cellStyle name="Normal 112 3 2 2 2" xfId="26170"/>
    <cellStyle name="Normal 112 3 2 2 3" xfId="17873"/>
    <cellStyle name="Normal 112 3 2 3" xfId="22030"/>
    <cellStyle name="Normal 112 3 2 4" xfId="13733"/>
    <cellStyle name="Normal 112 3 3" xfId="7501"/>
    <cellStyle name="Normal 112 3 3 2" xfId="24098"/>
    <cellStyle name="Normal 112 3 3 3" xfId="15801"/>
    <cellStyle name="Normal 112 3 4" xfId="19958"/>
    <cellStyle name="Normal 112 3 5" xfId="11661"/>
    <cellStyle name="Normal 112 4" xfId="4369"/>
    <cellStyle name="Normal 112 4 2" xfId="8537"/>
    <cellStyle name="Normal 112 4 2 2" xfId="25134"/>
    <cellStyle name="Normal 112 4 2 3" xfId="16837"/>
    <cellStyle name="Normal 112 4 3" xfId="20994"/>
    <cellStyle name="Normal 112 4 4" xfId="12697"/>
    <cellStyle name="Normal 112 5" xfId="6460"/>
    <cellStyle name="Normal 112 5 2" xfId="23064"/>
    <cellStyle name="Normal 112 5 3" xfId="14767"/>
    <cellStyle name="Normal 112 6" xfId="18921"/>
    <cellStyle name="Normal 112 7" xfId="10624"/>
    <cellStyle name="Normal 113" xfId="1415"/>
    <cellStyle name="Normal 113 2" xfId="2762"/>
    <cellStyle name="Normal 113 2 2" xfId="3808"/>
    <cellStyle name="Normal 113 2 2 2" xfId="5933"/>
    <cellStyle name="Normal 113 2 2 2 2" xfId="10089"/>
    <cellStyle name="Normal 113 2 2 2 2 2" xfId="26686"/>
    <cellStyle name="Normal 113 2 2 2 2 3" xfId="18389"/>
    <cellStyle name="Normal 113 2 2 2 3" xfId="22546"/>
    <cellStyle name="Normal 113 2 2 2 4" xfId="14249"/>
    <cellStyle name="Normal 113 2 2 3" xfId="8017"/>
    <cellStyle name="Normal 113 2 2 3 2" xfId="24614"/>
    <cellStyle name="Normal 113 2 2 3 3" xfId="16317"/>
    <cellStyle name="Normal 113 2 2 4" xfId="20474"/>
    <cellStyle name="Normal 113 2 2 5" xfId="12177"/>
    <cellStyle name="Normal 113 2 3" xfId="4899"/>
    <cellStyle name="Normal 113 2 3 2" xfId="9055"/>
    <cellStyle name="Normal 113 2 3 2 2" xfId="25652"/>
    <cellStyle name="Normal 113 2 3 2 3" xfId="17355"/>
    <cellStyle name="Normal 113 2 3 3" xfId="21512"/>
    <cellStyle name="Normal 113 2 3 4" xfId="13215"/>
    <cellStyle name="Normal 113 2 4" xfId="6983"/>
    <cellStyle name="Normal 113 2 4 2" xfId="23580"/>
    <cellStyle name="Normal 113 2 4 3" xfId="15283"/>
    <cellStyle name="Normal 113 2 5" xfId="19440"/>
    <cellStyle name="Normal 113 2 6" xfId="11143"/>
    <cellStyle name="Normal 113 3" xfId="3290"/>
    <cellStyle name="Normal 113 3 2" xfId="5418"/>
    <cellStyle name="Normal 113 3 2 2" xfId="9574"/>
    <cellStyle name="Normal 113 3 2 2 2" xfId="26171"/>
    <cellStyle name="Normal 113 3 2 2 3" xfId="17874"/>
    <cellStyle name="Normal 113 3 2 3" xfId="22031"/>
    <cellStyle name="Normal 113 3 2 4" xfId="13734"/>
    <cellStyle name="Normal 113 3 3" xfId="7502"/>
    <cellStyle name="Normal 113 3 3 2" xfId="24099"/>
    <cellStyle name="Normal 113 3 3 3" xfId="15802"/>
    <cellStyle name="Normal 113 3 4" xfId="19959"/>
    <cellStyle name="Normal 113 3 5" xfId="11662"/>
    <cellStyle name="Normal 113 4" xfId="4370"/>
    <cellStyle name="Normal 113 4 2" xfId="8538"/>
    <cellStyle name="Normal 113 4 2 2" xfId="25135"/>
    <cellStyle name="Normal 113 4 2 3" xfId="16838"/>
    <cellStyle name="Normal 113 4 3" xfId="20995"/>
    <cellStyle name="Normal 113 4 4" xfId="12698"/>
    <cellStyle name="Normal 113 5" xfId="6461"/>
    <cellStyle name="Normal 113 5 2" xfId="23065"/>
    <cellStyle name="Normal 113 5 3" xfId="14768"/>
    <cellStyle name="Normal 113 6" xfId="18922"/>
    <cellStyle name="Normal 113 7" xfId="10625"/>
    <cellStyle name="Normal 114" xfId="1416"/>
    <cellStyle name="Normal 114 2" xfId="2763"/>
    <cellStyle name="Normal 114 2 2" xfId="3809"/>
    <cellStyle name="Normal 114 2 2 2" xfId="5934"/>
    <cellStyle name="Normal 114 2 2 2 2" xfId="10090"/>
    <cellStyle name="Normal 114 2 2 2 2 2" xfId="26687"/>
    <cellStyle name="Normal 114 2 2 2 2 3" xfId="18390"/>
    <cellStyle name="Normal 114 2 2 2 3" xfId="22547"/>
    <cellStyle name="Normal 114 2 2 2 4" xfId="14250"/>
    <cellStyle name="Normal 114 2 2 3" xfId="8018"/>
    <cellStyle name="Normal 114 2 2 3 2" xfId="24615"/>
    <cellStyle name="Normal 114 2 2 3 3" xfId="16318"/>
    <cellStyle name="Normal 114 2 2 4" xfId="20475"/>
    <cellStyle name="Normal 114 2 2 5" xfId="12178"/>
    <cellStyle name="Normal 114 2 3" xfId="4900"/>
    <cellStyle name="Normal 114 2 3 2" xfId="9056"/>
    <cellStyle name="Normal 114 2 3 2 2" xfId="25653"/>
    <cellStyle name="Normal 114 2 3 2 3" xfId="17356"/>
    <cellStyle name="Normal 114 2 3 3" xfId="21513"/>
    <cellStyle name="Normal 114 2 3 4" xfId="13216"/>
    <cellStyle name="Normal 114 2 4" xfId="6984"/>
    <cellStyle name="Normal 114 2 4 2" xfId="23581"/>
    <cellStyle name="Normal 114 2 4 3" xfId="15284"/>
    <cellStyle name="Normal 114 2 5" xfId="19441"/>
    <cellStyle name="Normal 114 2 6" xfId="11144"/>
    <cellStyle name="Normal 114 3" xfId="3291"/>
    <cellStyle name="Normal 114 3 2" xfId="5419"/>
    <cellStyle name="Normal 114 3 2 2" xfId="9575"/>
    <cellStyle name="Normal 114 3 2 2 2" xfId="26172"/>
    <cellStyle name="Normal 114 3 2 2 3" xfId="17875"/>
    <cellStyle name="Normal 114 3 2 3" xfId="22032"/>
    <cellStyle name="Normal 114 3 2 4" xfId="13735"/>
    <cellStyle name="Normal 114 3 3" xfId="7503"/>
    <cellStyle name="Normal 114 3 3 2" xfId="24100"/>
    <cellStyle name="Normal 114 3 3 3" xfId="15803"/>
    <cellStyle name="Normal 114 3 4" xfId="19960"/>
    <cellStyle name="Normal 114 3 5" xfId="11663"/>
    <cellStyle name="Normal 114 4" xfId="4371"/>
    <cellStyle name="Normal 114 4 2" xfId="8539"/>
    <cellStyle name="Normal 114 4 2 2" xfId="25136"/>
    <cellStyle name="Normal 114 4 2 3" xfId="16839"/>
    <cellStyle name="Normal 114 4 3" xfId="20996"/>
    <cellStyle name="Normal 114 4 4" xfId="12699"/>
    <cellStyle name="Normal 114 5" xfId="6462"/>
    <cellStyle name="Normal 114 5 2" xfId="23066"/>
    <cellStyle name="Normal 114 5 3" xfId="14769"/>
    <cellStyle name="Normal 114 6" xfId="18923"/>
    <cellStyle name="Normal 114 7" xfId="10626"/>
    <cellStyle name="Normal 115" xfId="1417"/>
    <cellStyle name="Normal 115 2" xfId="2764"/>
    <cellStyle name="Normal 115 2 2" xfId="3810"/>
    <cellStyle name="Normal 115 2 2 2" xfId="5935"/>
    <cellStyle name="Normal 115 2 2 2 2" xfId="10091"/>
    <cellStyle name="Normal 115 2 2 2 2 2" xfId="26688"/>
    <cellStyle name="Normal 115 2 2 2 2 3" xfId="18391"/>
    <cellStyle name="Normal 115 2 2 2 3" xfId="22548"/>
    <cellStyle name="Normal 115 2 2 2 4" xfId="14251"/>
    <cellStyle name="Normal 115 2 2 3" xfId="8019"/>
    <cellStyle name="Normal 115 2 2 3 2" xfId="24616"/>
    <cellStyle name="Normal 115 2 2 3 3" xfId="16319"/>
    <cellStyle name="Normal 115 2 2 4" xfId="20476"/>
    <cellStyle name="Normal 115 2 2 5" xfId="12179"/>
    <cellStyle name="Normal 115 2 3" xfId="4901"/>
    <cellStyle name="Normal 115 2 3 2" xfId="9057"/>
    <cellStyle name="Normal 115 2 3 2 2" xfId="25654"/>
    <cellStyle name="Normal 115 2 3 2 3" xfId="17357"/>
    <cellStyle name="Normal 115 2 3 3" xfId="21514"/>
    <cellStyle name="Normal 115 2 3 4" xfId="13217"/>
    <cellStyle name="Normal 115 2 4" xfId="6985"/>
    <cellStyle name="Normal 115 2 4 2" xfId="23582"/>
    <cellStyle name="Normal 115 2 4 3" xfId="15285"/>
    <cellStyle name="Normal 115 2 5" xfId="19442"/>
    <cellStyle name="Normal 115 2 6" xfId="11145"/>
    <cellStyle name="Normal 115 3" xfId="3292"/>
    <cellStyle name="Normal 115 3 2" xfId="5420"/>
    <cellStyle name="Normal 115 3 2 2" xfId="9576"/>
    <cellStyle name="Normal 115 3 2 2 2" xfId="26173"/>
    <cellStyle name="Normal 115 3 2 2 3" xfId="17876"/>
    <cellStyle name="Normal 115 3 2 3" xfId="22033"/>
    <cellStyle name="Normal 115 3 2 4" xfId="13736"/>
    <cellStyle name="Normal 115 3 3" xfId="7504"/>
    <cellStyle name="Normal 115 3 3 2" xfId="24101"/>
    <cellStyle name="Normal 115 3 3 3" xfId="15804"/>
    <cellStyle name="Normal 115 3 4" xfId="19961"/>
    <cellStyle name="Normal 115 3 5" xfId="11664"/>
    <cellStyle name="Normal 115 4" xfId="4372"/>
    <cellStyle name="Normal 115 4 2" xfId="8540"/>
    <cellStyle name="Normal 115 4 2 2" xfId="25137"/>
    <cellStyle name="Normal 115 4 2 3" xfId="16840"/>
    <cellStyle name="Normal 115 4 3" xfId="20997"/>
    <cellStyle name="Normal 115 4 4" xfId="12700"/>
    <cellStyle name="Normal 115 5" xfId="6463"/>
    <cellStyle name="Normal 115 5 2" xfId="23067"/>
    <cellStyle name="Normal 115 5 3" xfId="14770"/>
    <cellStyle name="Normal 115 6" xfId="18924"/>
    <cellStyle name="Normal 115 7" xfId="10627"/>
    <cellStyle name="Normal 116" xfId="1418"/>
    <cellStyle name="Normal 116 2" xfId="2765"/>
    <cellStyle name="Normal 116 2 2" xfId="3811"/>
    <cellStyle name="Normal 116 2 2 2" xfId="5936"/>
    <cellStyle name="Normal 116 2 2 2 2" xfId="10092"/>
    <cellStyle name="Normal 116 2 2 2 2 2" xfId="26689"/>
    <cellStyle name="Normal 116 2 2 2 2 3" xfId="18392"/>
    <cellStyle name="Normal 116 2 2 2 3" xfId="22549"/>
    <cellStyle name="Normal 116 2 2 2 4" xfId="14252"/>
    <cellStyle name="Normal 116 2 2 3" xfId="8020"/>
    <cellStyle name="Normal 116 2 2 3 2" xfId="24617"/>
    <cellStyle name="Normal 116 2 2 3 3" xfId="16320"/>
    <cellStyle name="Normal 116 2 2 4" xfId="20477"/>
    <cellStyle name="Normal 116 2 2 5" xfId="12180"/>
    <cellStyle name="Normal 116 2 3" xfId="4902"/>
    <cellStyle name="Normal 116 2 3 2" xfId="9058"/>
    <cellStyle name="Normal 116 2 3 2 2" xfId="25655"/>
    <cellStyle name="Normal 116 2 3 2 3" xfId="17358"/>
    <cellStyle name="Normal 116 2 3 3" xfId="21515"/>
    <cellStyle name="Normal 116 2 3 4" xfId="13218"/>
    <cellStyle name="Normal 116 2 4" xfId="6986"/>
    <cellStyle name="Normal 116 2 4 2" xfId="23583"/>
    <cellStyle name="Normal 116 2 4 3" xfId="15286"/>
    <cellStyle name="Normal 116 2 5" xfId="19443"/>
    <cellStyle name="Normal 116 2 6" xfId="11146"/>
    <cellStyle name="Normal 116 3" xfId="3293"/>
    <cellStyle name="Normal 116 3 2" xfId="5421"/>
    <cellStyle name="Normal 116 3 2 2" xfId="9577"/>
    <cellStyle name="Normal 116 3 2 2 2" xfId="26174"/>
    <cellStyle name="Normal 116 3 2 2 3" xfId="17877"/>
    <cellStyle name="Normal 116 3 2 3" xfId="22034"/>
    <cellStyle name="Normal 116 3 2 4" xfId="13737"/>
    <cellStyle name="Normal 116 3 3" xfId="7505"/>
    <cellStyle name="Normal 116 3 3 2" xfId="24102"/>
    <cellStyle name="Normal 116 3 3 3" xfId="15805"/>
    <cellStyle name="Normal 116 3 4" xfId="19962"/>
    <cellStyle name="Normal 116 3 5" xfId="11665"/>
    <cellStyle name="Normal 116 4" xfId="4373"/>
    <cellStyle name="Normal 116 4 2" xfId="8541"/>
    <cellStyle name="Normal 116 4 2 2" xfId="25138"/>
    <cellStyle name="Normal 116 4 2 3" xfId="16841"/>
    <cellStyle name="Normal 116 4 3" xfId="20998"/>
    <cellStyle name="Normal 116 4 4" xfId="12701"/>
    <cellStyle name="Normal 116 5" xfId="6464"/>
    <cellStyle name="Normal 116 5 2" xfId="23068"/>
    <cellStyle name="Normal 116 5 3" xfId="14771"/>
    <cellStyle name="Normal 116 6" xfId="18925"/>
    <cellStyle name="Normal 116 7" xfId="10628"/>
    <cellStyle name="Normal 117" xfId="1419"/>
    <cellStyle name="Normal 117 2" xfId="2766"/>
    <cellStyle name="Normal 117 2 2" xfId="3812"/>
    <cellStyle name="Normal 117 2 2 2" xfId="5937"/>
    <cellStyle name="Normal 117 2 2 2 2" xfId="10093"/>
    <cellStyle name="Normal 117 2 2 2 2 2" xfId="26690"/>
    <cellStyle name="Normal 117 2 2 2 2 3" xfId="18393"/>
    <cellStyle name="Normal 117 2 2 2 3" xfId="22550"/>
    <cellStyle name="Normal 117 2 2 2 4" xfId="14253"/>
    <cellStyle name="Normal 117 2 2 3" xfId="8021"/>
    <cellStyle name="Normal 117 2 2 3 2" xfId="24618"/>
    <cellStyle name="Normal 117 2 2 3 3" xfId="16321"/>
    <cellStyle name="Normal 117 2 2 4" xfId="20478"/>
    <cellStyle name="Normal 117 2 2 5" xfId="12181"/>
    <cellStyle name="Normal 117 2 3" xfId="4903"/>
    <cellStyle name="Normal 117 2 3 2" xfId="9059"/>
    <cellStyle name="Normal 117 2 3 2 2" xfId="25656"/>
    <cellStyle name="Normal 117 2 3 2 3" xfId="17359"/>
    <cellStyle name="Normal 117 2 3 3" xfId="21516"/>
    <cellStyle name="Normal 117 2 3 4" xfId="13219"/>
    <cellStyle name="Normal 117 2 4" xfId="6987"/>
    <cellStyle name="Normal 117 2 4 2" xfId="23584"/>
    <cellStyle name="Normal 117 2 4 3" xfId="15287"/>
    <cellStyle name="Normal 117 2 5" xfId="19444"/>
    <cellStyle name="Normal 117 2 6" xfId="11147"/>
    <cellStyle name="Normal 117 3" xfId="3294"/>
    <cellStyle name="Normal 117 3 2" xfId="5422"/>
    <cellStyle name="Normal 117 3 2 2" xfId="9578"/>
    <cellStyle name="Normal 117 3 2 2 2" xfId="26175"/>
    <cellStyle name="Normal 117 3 2 2 3" xfId="17878"/>
    <cellStyle name="Normal 117 3 2 3" xfId="22035"/>
    <cellStyle name="Normal 117 3 2 4" xfId="13738"/>
    <cellStyle name="Normal 117 3 3" xfId="7506"/>
    <cellStyle name="Normal 117 3 3 2" xfId="24103"/>
    <cellStyle name="Normal 117 3 3 3" xfId="15806"/>
    <cellStyle name="Normal 117 3 4" xfId="19963"/>
    <cellStyle name="Normal 117 3 5" xfId="11666"/>
    <cellStyle name="Normal 117 4" xfId="4374"/>
    <cellStyle name="Normal 117 4 2" xfId="8542"/>
    <cellStyle name="Normal 117 4 2 2" xfId="25139"/>
    <cellStyle name="Normal 117 4 2 3" xfId="16842"/>
    <cellStyle name="Normal 117 4 3" xfId="20999"/>
    <cellStyle name="Normal 117 4 4" xfId="12702"/>
    <cellStyle name="Normal 117 5" xfId="6465"/>
    <cellStyle name="Normal 117 5 2" xfId="23069"/>
    <cellStyle name="Normal 117 5 3" xfId="14772"/>
    <cellStyle name="Normal 117 6" xfId="18926"/>
    <cellStyle name="Normal 117 7" xfId="10629"/>
    <cellStyle name="Normal 118" xfId="1420"/>
    <cellStyle name="Normal 118 2" xfId="2767"/>
    <cellStyle name="Normal 118 2 2" xfId="3813"/>
    <cellStyle name="Normal 118 2 2 2" xfId="5938"/>
    <cellStyle name="Normal 118 2 2 2 2" xfId="10094"/>
    <cellStyle name="Normal 118 2 2 2 2 2" xfId="26691"/>
    <cellStyle name="Normal 118 2 2 2 2 3" xfId="18394"/>
    <cellStyle name="Normal 118 2 2 2 3" xfId="22551"/>
    <cellStyle name="Normal 118 2 2 2 4" xfId="14254"/>
    <cellStyle name="Normal 118 2 2 3" xfId="8022"/>
    <cellStyle name="Normal 118 2 2 3 2" xfId="24619"/>
    <cellStyle name="Normal 118 2 2 3 3" xfId="16322"/>
    <cellStyle name="Normal 118 2 2 4" xfId="20479"/>
    <cellStyle name="Normal 118 2 2 5" xfId="12182"/>
    <cellStyle name="Normal 118 2 3" xfId="4904"/>
    <cellStyle name="Normal 118 2 3 2" xfId="9060"/>
    <cellStyle name="Normal 118 2 3 2 2" xfId="25657"/>
    <cellStyle name="Normal 118 2 3 2 3" xfId="17360"/>
    <cellStyle name="Normal 118 2 3 3" xfId="21517"/>
    <cellStyle name="Normal 118 2 3 4" xfId="13220"/>
    <cellStyle name="Normal 118 2 4" xfId="6988"/>
    <cellStyle name="Normal 118 2 4 2" xfId="23585"/>
    <cellStyle name="Normal 118 2 4 3" xfId="15288"/>
    <cellStyle name="Normal 118 2 5" xfId="19445"/>
    <cellStyle name="Normal 118 2 6" xfId="11148"/>
    <cellStyle name="Normal 118 3" xfId="3295"/>
    <cellStyle name="Normal 118 3 2" xfId="5423"/>
    <cellStyle name="Normal 118 3 2 2" xfId="9579"/>
    <cellStyle name="Normal 118 3 2 2 2" xfId="26176"/>
    <cellStyle name="Normal 118 3 2 2 3" xfId="17879"/>
    <cellStyle name="Normal 118 3 2 3" xfId="22036"/>
    <cellStyle name="Normal 118 3 2 4" xfId="13739"/>
    <cellStyle name="Normal 118 3 3" xfId="7507"/>
    <cellStyle name="Normal 118 3 3 2" xfId="24104"/>
    <cellStyle name="Normal 118 3 3 3" xfId="15807"/>
    <cellStyle name="Normal 118 3 4" xfId="19964"/>
    <cellStyle name="Normal 118 3 5" xfId="11667"/>
    <cellStyle name="Normal 118 4" xfId="4375"/>
    <cellStyle name="Normal 118 4 2" xfId="8543"/>
    <cellStyle name="Normal 118 4 2 2" xfId="25140"/>
    <cellStyle name="Normal 118 4 2 3" xfId="16843"/>
    <cellStyle name="Normal 118 4 3" xfId="21000"/>
    <cellStyle name="Normal 118 4 4" xfId="12703"/>
    <cellStyle name="Normal 118 5" xfId="6466"/>
    <cellStyle name="Normal 118 5 2" xfId="23070"/>
    <cellStyle name="Normal 118 5 3" xfId="14773"/>
    <cellStyle name="Normal 118 6" xfId="18927"/>
    <cellStyle name="Normal 118 7" xfId="10630"/>
    <cellStyle name="Normal 119" xfId="1421"/>
    <cellStyle name="Normal 119 2" xfId="2768"/>
    <cellStyle name="Normal 119 2 2" xfId="3814"/>
    <cellStyle name="Normal 119 2 2 2" xfId="5939"/>
    <cellStyle name="Normal 119 2 2 2 2" xfId="10095"/>
    <cellStyle name="Normal 119 2 2 2 2 2" xfId="26692"/>
    <cellStyle name="Normal 119 2 2 2 2 3" xfId="18395"/>
    <cellStyle name="Normal 119 2 2 2 3" xfId="22552"/>
    <cellStyle name="Normal 119 2 2 2 4" xfId="14255"/>
    <cellStyle name="Normal 119 2 2 3" xfId="8023"/>
    <cellStyle name="Normal 119 2 2 3 2" xfId="24620"/>
    <cellStyle name="Normal 119 2 2 3 3" xfId="16323"/>
    <cellStyle name="Normal 119 2 2 4" xfId="20480"/>
    <cellStyle name="Normal 119 2 2 5" xfId="12183"/>
    <cellStyle name="Normal 119 2 3" xfId="4905"/>
    <cellStyle name="Normal 119 2 3 2" xfId="9061"/>
    <cellStyle name="Normal 119 2 3 2 2" xfId="25658"/>
    <cellStyle name="Normal 119 2 3 2 3" xfId="17361"/>
    <cellStyle name="Normal 119 2 3 3" xfId="21518"/>
    <cellStyle name="Normal 119 2 3 4" xfId="13221"/>
    <cellStyle name="Normal 119 2 4" xfId="6989"/>
    <cellStyle name="Normal 119 2 4 2" xfId="23586"/>
    <cellStyle name="Normal 119 2 4 3" xfId="15289"/>
    <cellStyle name="Normal 119 2 5" xfId="19446"/>
    <cellStyle name="Normal 119 2 6" xfId="11149"/>
    <cellStyle name="Normal 119 3" xfId="3296"/>
    <cellStyle name="Normal 119 3 2" xfId="5424"/>
    <cellStyle name="Normal 119 3 2 2" xfId="9580"/>
    <cellStyle name="Normal 119 3 2 2 2" xfId="26177"/>
    <cellStyle name="Normal 119 3 2 2 3" xfId="17880"/>
    <cellStyle name="Normal 119 3 2 3" xfId="22037"/>
    <cellStyle name="Normal 119 3 2 4" xfId="13740"/>
    <cellStyle name="Normal 119 3 3" xfId="7508"/>
    <cellStyle name="Normal 119 3 3 2" xfId="24105"/>
    <cellStyle name="Normal 119 3 3 3" xfId="15808"/>
    <cellStyle name="Normal 119 3 4" xfId="19965"/>
    <cellStyle name="Normal 119 3 5" xfId="11668"/>
    <cellStyle name="Normal 119 4" xfId="4376"/>
    <cellStyle name="Normal 119 4 2" xfId="8544"/>
    <cellStyle name="Normal 119 4 2 2" xfId="25141"/>
    <cellStyle name="Normal 119 4 2 3" xfId="16844"/>
    <cellStyle name="Normal 119 4 3" xfId="21001"/>
    <cellStyle name="Normal 119 4 4" xfId="12704"/>
    <cellStyle name="Normal 119 5" xfId="6467"/>
    <cellStyle name="Normal 119 5 2" xfId="23071"/>
    <cellStyle name="Normal 119 5 3" xfId="14774"/>
    <cellStyle name="Normal 119 6" xfId="18928"/>
    <cellStyle name="Normal 119 7" xfId="10631"/>
    <cellStyle name="Normal 12" xfId="1422"/>
    <cellStyle name="Normal 12 10" xfId="6468"/>
    <cellStyle name="Normal 12 10 2" xfId="23072"/>
    <cellStyle name="Normal 12 10 3" xfId="14775"/>
    <cellStyle name="Normal 12 11" xfId="18929"/>
    <cellStyle name="Normal 12 12" xfId="10632"/>
    <cellStyle name="Normal 12 2" xfId="1423"/>
    <cellStyle name="Normal 12 2 2" xfId="1424"/>
    <cellStyle name="Normal 12 2 2 2" xfId="2771"/>
    <cellStyle name="Normal 12 2 2 2 2" xfId="3817"/>
    <cellStyle name="Normal 12 2 2 2 2 2" xfId="5942"/>
    <cellStyle name="Normal 12 2 2 2 2 2 2" xfId="10098"/>
    <cellStyle name="Normal 12 2 2 2 2 2 2 2" xfId="26695"/>
    <cellStyle name="Normal 12 2 2 2 2 2 2 3" xfId="18398"/>
    <cellStyle name="Normal 12 2 2 2 2 2 3" xfId="22555"/>
    <cellStyle name="Normal 12 2 2 2 2 2 4" xfId="14258"/>
    <cellStyle name="Normal 12 2 2 2 2 3" xfId="8026"/>
    <cellStyle name="Normal 12 2 2 2 2 3 2" xfId="24623"/>
    <cellStyle name="Normal 12 2 2 2 2 3 3" xfId="16326"/>
    <cellStyle name="Normal 12 2 2 2 2 4" xfId="20483"/>
    <cellStyle name="Normal 12 2 2 2 2 5" xfId="12186"/>
    <cellStyle name="Normal 12 2 2 2 3" xfId="4908"/>
    <cellStyle name="Normal 12 2 2 2 3 2" xfId="9064"/>
    <cellStyle name="Normal 12 2 2 2 3 2 2" xfId="25661"/>
    <cellStyle name="Normal 12 2 2 2 3 2 3" xfId="17364"/>
    <cellStyle name="Normal 12 2 2 2 3 3" xfId="21521"/>
    <cellStyle name="Normal 12 2 2 2 3 4" xfId="13224"/>
    <cellStyle name="Normal 12 2 2 2 4" xfId="6992"/>
    <cellStyle name="Normal 12 2 2 2 4 2" xfId="23589"/>
    <cellStyle name="Normal 12 2 2 2 4 3" xfId="15292"/>
    <cellStyle name="Normal 12 2 2 2 5" xfId="19449"/>
    <cellStyle name="Normal 12 2 2 2 6" xfId="11152"/>
    <cellStyle name="Normal 12 2 2 3" xfId="3299"/>
    <cellStyle name="Normal 12 2 2 3 2" xfId="5427"/>
    <cellStyle name="Normal 12 2 2 3 2 2" xfId="9583"/>
    <cellStyle name="Normal 12 2 2 3 2 2 2" xfId="26180"/>
    <cellStyle name="Normal 12 2 2 3 2 2 3" xfId="17883"/>
    <cellStyle name="Normal 12 2 2 3 2 3" xfId="22040"/>
    <cellStyle name="Normal 12 2 2 3 2 4" xfId="13743"/>
    <cellStyle name="Normal 12 2 2 3 3" xfId="7511"/>
    <cellStyle name="Normal 12 2 2 3 3 2" xfId="24108"/>
    <cellStyle name="Normal 12 2 2 3 3 3" xfId="15811"/>
    <cellStyle name="Normal 12 2 2 3 4" xfId="19968"/>
    <cellStyle name="Normal 12 2 2 3 5" xfId="11671"/>
    <cellStyle name="Normal 12 2 2 4" xfId="4379"/>
    <cellStyle name="Normal 12 2 2 4 2" xfId="8547"/>
    <cellStyle name="Normal 12 2 2 4 2 2" xfId="25144"/>
    <cellStyle name="Normal 12 2 2 4 2 3" xfId="16847"/>
    <cellStyle name="Normal 12 2 2 4 3" xfId="21004"/>
    <cellStyle name="Normal 12 2 2 4 4" xfId="12707"/>
    <cellStyle name="Normal 12 2 2 5" xfId="6470"/>
    <cellStyle name="Normal 12 2 2 5 2" xfId="23074"/>
    <cellStyle name="Normal 12 2 2 5 3" xfId="14777"/>
    <cellStyle name="Normal 12 2 2 6" xfId="18931"/>
    <cellStyle name="Normal 12 2 2 7" xfId="10634"/>
    <cellStyle name="Normal 12 2 3" xfId="2770"/>
    <cellStyle name="Normal 12 2 3 2" xfId="3816"/>
    <cellStyle name="Normal 12 2 3 2 2" xfId="5941"/>
    <cellStyle name="Normal 12 2 3 2 2 2" xfId="10097"/>
    <cellStyle name="Normal 12 2 3 2 2 2 2" xfId="26694"/>
    <cellStyle name="Normal 12 2 3 2 2 2 3" xfId="18397"/>
    <cellStyle name="Normal 12 2 3 2 2 3" xfId="22554"/>
    <cellStyle name="Normal 12 2 3 2 2 4" xfId="14257"/>
    <cellStyle name="Normal 12 2 3 2 3" xfId="8025"/>
    <cellStyle name="Normal 12 2 3 2 3 2" xfId="24622"/>
    <cellStyle name="Normal 12 2 3 2 3 3" xfId="16325"/>
    <cellStyle name="Normal 12 2 3 2 4" xfId="20482"/>
    <cellStyle name="Normal 12 2 3 2 5" xfId="12185"/>
    <cellStyle name="Normal 12 2 3 3" xfId="4907"/>
    <cellStyle name="Normal 12 2 3 3 2" xfId="9063"/>
    <cellStyle name="Normal 12 2 3 3 2 2" xfId="25660"/>
    <cellStyle name="Normal 12 2 3 3 2 3" xfId="17363"/>
    <cellStyle name="Normal 12 2 3 3 3" xfId="21520"/>
    <cellStyle name="Normal 12 2 3 3 4" xfId="13223"/>
    <cellStyle name="Normal 12 2 3 4" xfId="6991"/>
    <cellStyle name="Normal 12 2 3 4 2" xfId="23588"/>
    <cellStyle name="Normal 12 2 3 4 3" xfId="15291"/>
    <cellStyle name="Normal 12 2 3 5" xfId="19448"/>
    <cellStyle name="Normal 12 2 3 6" xfId="11151"/>
    <cellStyle name="Normal 12 2 4" xfId="3298"/>
    <cellStyle name="Normal 12 2 4 2" xfId="5426"/>
    <cellStyle name="Normal 12 2 4 2 2" xfId="9582"/>
    <cellStyle name="Normal 12 2 4 2 2 2" xfId="26179"/>
    <cellStyle name="Normal 12 2 4 2 2 3" xfId="17882"/>
    <cellStyle name="Normal 12 2 4 2 3" xfId="22039"/>
    <cellStyle name="Normal 12 2 4 2 4" xfId="13742"/>
    <cellStyle name="Normal 12 2 4 3" xfId="7510"/>
    <cellStyle name="Normal 12 2 4 3 2" xfId="24107"/>
    <cellStyle name="Normal 12 2 4 3 3" xfId="15810"/>
    <cellStyle name="Normal 12 2 4 4" xfId="19967"/>
    <cellStyle name="Normal 12 2 4 5" xfId="11670"/>
    <cellStyle name="Normal 12 2 5" xfId="4378"/>
    <cellStyle name="Normal 12 2 5 2" xfId="8546"/>
    <cellStyle name="Normal 12 2 5 2 2" xfId="25143"/>
    <cellStyle name="Normal 12 2 5 2 3" xfId="16846"/>
    <cellStyle name="Normal 12 2 5 3" xfId="21003"/>
    <cellStyle name="Normal 12 2 5 4" xfId="12706"/>
    <cellStyle name="Normal 12 2 6" xfId="6469"/>
    <cellStyle name="Normal 12 2 6 2" xfId="23073"/>
    <cellStyle name="Normal 12 2 6 3" xfId="14776"/>
    <cellStyle name="Normal 12 2 7" xfId="18930"/>
    <cellStyle name="Normal 12 2 8" xfId="10633"/>
    <cellStyle name="Normal 12 3" xfId="1425"/>
    <cellStyle name="Normal 12 3 2" xfId="1426"/>
    <cellStyle name="Normal 12 3 2 2" xfId="2773"/>
    <cellStyle name="Normal 12 3 2 2 2" xfId="3819"/>
    <cellStyle name="Normal 12 3 2 2 2 2" xfId="5944"/>
    <cellStyle name="Normal 12 3 2 2 2 2 2" xfId="10100"/>
    <cellStyle name="Normal 12 3 2 2 2 2 2 2" xfId="26697"/>
    <cellStyle name="Normal 12 3 2 2 2 2 2 3" xfId="18400"/>
    <cellStyle name="Normal 12 3 2 2 2 2 3" xfId="22557"/>
    <cellStyle name="Normal 12 3 2 2 2 2 4" xfId="14260"/>
    <cellStyle name="Normal 12 3 2 2 2 3" xfId="8028"/>
    <cellStyle name="Normal 12 3 2 2 2 3 2" xfId="24625"/>
    <cellStyle name="Normal 12 3 2 2 2 3 3" xfId="16328"/>
    <cellStyle name="Normal 12 3 2 2 2 4" xfId="20485"/>
    <cellStyle name="Normal 12 3 2 2 2 5" xfId="12188"/>
    <cellStyle name="Normal 12 3 2 2 3" xfId="4910"/>
    <cellStyle name="Normal 12 3 2 2 3 2" xfId="9066"/>
    <cellStyle name="Normal 12 3 2 2 3 2 2" xfId="25663"/>
    <cellStyle name="Normal 12 3 2 2 3 2 3" xfId="17366"/>
    <cellStyle name="Normal 12 3 2 2 3 3" xfId="21523"/>
    <cellStyle name="Normal 12 3 2 2 3 4" xfId="13226"/>
    <cellStyle name="Normal 12 3 2 2 4" xfId="6994"/>
    <cellStyle name="Normal 12 3 2 2 4 2" xfId="23591"/>
    <cellStyle name="Normal 12 3 2 2 4 3" xfId="15294"/>
    <cellStyle name="Normal 12 3 2 2 5" xfId="19451"/>
    <cellStyle name="Normal 12 3 2 2 6" xfId="11154"/>
    <cellStyle name="Normal 12 3 2 3" xfId="3301"/>
    <cellStyle name="Normal 12 3 2 3 2" xfId="5429"/>
    <cellStyle name="Normal 12 3 2 3 2 2" xfId="9585"/>
    <cellStyle name="Normal 12 3 2 3 2 2 2" xfId="26182"/>
    <cellStyle name="Normal 12 3 2 3 2 2 3" xfId="17885"/>
    <cellStyle name="Normal 12 3 2 3 2 3" xfId="22042"/>
    <cellStyle name="Normal 12 3 2 3 2 4" xfId="13745"/>
    <cellStyle name="Normal 12 3 2 3 3" xfId="7513"/>
    <cellStyle name="Normal 12 3 2 3 3 2" xfId="24110"/>
    <cellStyle name="Normal 12 3 2 3 3 3" xfId="15813"/>
    <cellStyle name="Normal 12 3 2 3 4" xfId="19970"/>
    <cellStyle name="Normal 12 3 2 3 5" xfId="11673"/>
    <cellStyle name="Normal 12 3 2 4" xfId="4381"/>
    <cellStyle name="Normal 12 3 2 4 2" xfId="8549"/>
    <cellStyle name="Normal 12 3 2 4 2 2" xfId="25146"/>
    <cellStyle name="Normal 12 3 2 4 2 3" xfId="16849"/>
    <cellStyle name="Normal 12 3 2 4 3" xfId="21006"/>
    <cellStyle name="Normal 12 3 2 4 4" xfId="12709"/>
    <cellStyle name="Normal 12 3 2 5" xfId="6472"/>
    <cellStyle name="Normal 12 3 2 5 2" xfId="23076"/>
    <cellStyle name="Normal 12 3 2 5 3" xfId="14779"/>
    <cellStyle name="Normal 12 3 2 6" xfId="18933"/>
    <cellStyle name="Normal 12 3 2 7" xfId="10636"/>
    <cellStyle name="Normal 12 3 3" xfId="2772"/>
    <cellStyle name="Normal 12 3 3 2" xfId="3818"/>
    <cellStyle name="Normal 12 3 3 2 2" xfId="5943"/>
    <cellStyle name="Normal 12 3 3 2 2 2" xfId="10099"/>
    <cellStyle name="Normal 12 3 3 2 2 2 2" xfId="26696"/>
    <cellStyle name="Normal 12 3 3 2 2 2 3" xfId="18399"/>
    <cellStyle name="Normal 12 3 3 2 2 3" xfId="22556"/>
    <cellStyle name="Normal 12 3 3 2 2 4" xfId="14259"/>
    <cellStyle name="Normal 12 3 3 2 3" xfId="8027"/>
    <cellStyle name="Normal 12 3 3 2 3 2" xfId="24624"/>
    <cellStyle name="Normal 12 3 3 2 3 3" xfId="16327"/>
    <cellStyle name="Normal 12 3 3 2 4" xfId="20484"/>
    <cellStyle name="Normal 12 3 3 2 5" xfId="12187"/>
    <cellStyle name="Normal 12 3 3 3" xfId="4909"/>
    <cellStyle name="Normal 12 3 3 3 2" xfId="9065"/>
    <cellStyle name="Normal 12 3 3 3 2 2" xfId="25662"/>
    <cellStyle name="Normal 12 3 3 3 2 3" xfId="17365"/>
    <cellStyle name="Normal 12 3 3 3 3" xfId="21522"/>
    <cellStyle name="Normal 12 3 3 3 4" xfId="13225"/>
    <cellStyle name="Normal 12 3 3 4" xfId="6993"/>
    <cellStyle name="Normal 12 3 3 4 2" xfId="23590"/>
    <cellStyle name="Normal 12 3 3 4 3" xfId="15293"/>
    <cellStyle name="Normal 12 3 3 5" xfId="19450"/>
    <cellStyle name="Normal 12 3 3 6" xfId="11153"/>
    <cellStyle name="Normal 12 3 4" xfId="3300"/>
    <cellStyle name="Normal 12 3 4 2" xfId="5428"/>
    <cellStyle name="Normal 12 3 4 2 2" xfId="9584"/>
    <cellStyle name="Normal 12 3 4 2 2 2" xfId="26181"/>
    <cellStyle name="Normal 12 3 4 2 2 3" xfId="17884"/>
    <cellStyle name="Normal 12 3 4 2 3" xfId="22041"/>
    <cellStyle name="Normal 12 3 4 2 4" xfId="13744"/>
    <cellStyle name="Normal 12 3 4 3" xfId="7512"/>
    <cellStyle name="Normal 12 3 4 3 2" xfId="24109"/>
    <cellStyle name="Normal 12 3 4 3 3" xfId="15812"/>
    <cellStyle name="Normal 12 3 4 4" xfId="19969"/>
    <cellStyle name="Normal 12 3 4 5" xfId="11672"/>
    <cellStyle name="Normal 12 3 5" xfId="4380"/>
    <cellStyle name="Normal 12 3 5 2" xfId="8548"/>
    <cellStyle name="Normal 12 3 5 2 2" xfId="25145"/>
    <cellStyle name="Normal 12 3 5 2 3" xfId="16848"/>
    <cellStyle name="Normal 12 3 5 3" xfId="21005"/>
    <cellStyle name="Normal 12 3 5 4" xfId="12708"/>
    <cellStyle name="Normal 12 3 6" xfId="6471"/>
    <cellStyle name="Normal 12 3 6 2" xfId="23075"/>
    <cellStyle name="Normal 12 3 6 3" xfId="14778"/>
    <cellStyle name="Normal 12 3 7" xfId="18932"/>
    <cellStyle name="Normal 12 3 8" xfId="10635"/>
    <cellStyle name="Normal 12 4" xfId="1427"/>
    <cellStyle name="Normal 12 4 2" xfId="1428"/>
    <cellStyle name="Normal 12 4 2 2" xfId="2775"/>
    <cellStyle name="Normal 12 4 2 2 2" xfId="3821"/>
    <cellStyle name="Normal 12 4 2 2 2 2" xfId="5946"/>
    <cellStyle name="Normal 12 4 2 2 2 2 2" xfId="10102"/>
    <cellStyle name="Normal 12 4 2 2 2 2 2 2" xfId="26699"/>
    <cellStyle name="Normal 12 4 2 2 2 2 2 3" xfId="18402"/>
    <cellStyle name="Normal 12 4 2 2 2 2 3" xfId="22559"/>
    <cellStyle name="Normal 12 4 2 2 2 2 4" xfId="14262"/>
    <cellStyle name="Normal 12 4 2 2 2 3" xfId="8030"/>
    <cellStyle name="Normal 12 4 2 2 2 3 2" xfId="24627"/>
    <cellStyle name="Normal 12 4 2 2 2 3 3" xfId="16330"/>
    <cellStyle name="Normal 12 4 2 2 2 4" xfId="20487"/>
    <cellStyle name="Normal 12 4 2 2 2 5" xfId="12190"/>
    <cellStyle name="Normal 12 4 2 2 3" xfId="4912"/>
    <cellStyle name="Normal 12 4 2 2 3 2" xfId="9068"/>
    <cellStyle name="Normal 12 4 2 2 3 2 2" xfId="25665"/>
    <cellStyle name="Normal 12 4 2 2 3 2 3" xfId="17368"/>
    <cellStyle name="Normal 12 4 2 2 3 3" xfId="21525"/>
    <cellStyle name="Normal 12 4 2 2 3 4" xfId="13228"/>
    <cellStyle name="Normal 12 4 2 2 4" xfId="6996"/>
    <cellStyle name="Normal 12 4 2 2 4 2" xfId="23593"/>
    <cellStyle name="Normal 12 4 2 2 4 3" xfId="15296"/>
    <cellStyle name="Normal 12 4 2 2 5" xfId="19453"/>
    <cellStyle name="Normal 12 4 2 2 6" xfId="11156"/>
    <cellStyle name="Normal 12 4 2 3" xfId="3303"/>
    <cellStyle name="Normal 12 4 2 3 2" xfId="5431"/>
    <cellStyle name="Normal 12 4 2 3 2 2" xfId="9587"/>
    <cellStyle name="Normal 12 4 2 3 2 2 2" xfId="26184"/>
    <cellStyle name="Normal 12 4 2 3 2 2 3" xfId="17887"/>
    <cellStyle name="Normal 12 4 2 3 2 3" xfId="22044"/>
    <cellStyle name="Normal 12 4 2 3 2 4" xfId="13747"/>
    <cellStyle name="Normal 12 4 2 3 3" xfId="7515"/>
    <cellStyle name="Normal 12 4 2 3 3 2" xfId="24112"/>
    <cellStyle name="Normal 12 4 2 3 3 3" xfId="15815"/>
    <cellStyle name="Normal 12 4 2 3 4" xfId="19972"/>
    <cellStyle name="Normal 12 4 2 3 5" xfId="11675"/>
    <cellStyle name="Normal 12 4 2 4" xfId="4383"/>
    <cellStyle name="Normal 12 4 2 4 2" xfId="8551"/>
    <cellStyle name="Normal 12 4 2 4 2 2" xfId="25148"/>
    <cellStyle name="Normal 12 4 2 4 2 3" xfId="16851"/>
    <cellStyle name="Normal 12 4 2 4 3" xfId="21008"/>
    <cellStyle name="Normal 12 4 2 4 4" xfId="12711"/>
    <cellStyle name="Normal 12 4 2 5" xfId="6474"/>
    <cellStyle name="Normal 12 4 2 5 2" xfId="23078"/>
    <cellStyle name="Normal 12 4 2 5 3" xfId="14781"/>
    <cellStyle name="Normal 12 4 2 6" xfId="18935"/>
    <cellStyle name="Normal 12 4 2 7" xfId="10638"/>
    <cellStyle name="Normal 12 4 3" xfId="2774"/>
    <cellStyle name="Normal 12 4 3 2" xfId="3820"/>
    <cellStyle name="Normal 12 4 3 2 2" xfId="5945"/>
    <cellStyle name="Normal 12 4 3 2 2 2" xfId="10101"/>
    <cellStyle name="Normal 12 4 3 2 2 2 2" xfId="26698"/>
    <cellStyle name="Normal 12 4 3 2 2 2 3" xfId="18401"/>
    <cellStyle name="Normal 12 4 3 2 2 3" xfId="22558"/>
    <cellStyle name="Normal 12 4 3 2 2 4" xfId="14261"/>
    <cellStyle name="Normal 12 4 3 2 3" xfId="8029"/>
    <cellStyle name="Normal 12 4 3 2 3 2" xfId="24626"/>
    <cellStyle name="Normal 12 4 3 2 3 3" xfId="16329"/>
    <cellStyle name="Normal 12 4 3 2 4" xfId="20486"/>
    <cellStyle name="Normal 12 4 3 2 5" xfId="12189"/>
    <cellStyle name="Normal 12 4 3 3" xfId="4911"/>
    <cellStyle name="Normal 12 4 3 3 2" xfId="9067"/>
    <cellStyle name="Normal 12 4 3 3 2 2" xfId="25664"/>
    <cellStyle name="Normal 12 4 3 3 2 3" xfId="17367"/>
    <cellStyle name="Normal 12 4 3 3 3" xfId="21524"/>
    <cellStyle name="Normal 12 4 3 3 4" xfId="13227"/>
    <cellStyle name="Normal 12 4 3 4" xfId="6995"/>
    <cellStyle name="Normal 12 4 3 4 2" xfId="23592"/>
    <cellStyle name="Normal 12 4 3 4 3" xfId="15295"/>
    <cellStyle name="Normal 12 4 3 5" xfId="19452"/>
    <cellStyle name="Normal 12 4 3 6" xfId="11155"/>
    <cellStyle name="Normal 12 4 4" xfId="3302"/>
    <cellStyle name="Normal 12 4 4 2" xfId="5430"/>
    <cellStyle name="Normal 12 4 4 2 2" xfId="9586"/>
    <cellStyle name="Normal 12 4 4 2 2 2" xfId="26183"/>
    <cellStyle name="Normal 12 4 4 2 2 3" xfId="17886"/>
    <cellStyle name="Normal 12 4 4 2 3" xfId="22043"/>
    <cellStyle name="Normal 12 4 4 2 4" xfId="13746"/>
    <cellStyle name="Normal 12 4 4 3" xfId="7514"/>
    <cellStyle name="Normal 12 4 4 3 2" xfId="24111"/>
    <cellStyle name="Normal 12 4 4 3 3" xfId="15814"/>
    <cellStyle name="Normal 12 4 4 4" xfId="19971"/>
    <cellStyle name="Normal 12 4 4 5" xfId="11674"/>
    <cellStyle name="Normal 12 4 5" xfId="4382"/>
    <cellStyle name="Normal 12 4 5 2" xfId="8550"/>
    <cellStyle name="Normal 12 4 5 2 2" xfId="25147"/>
    <cellStyle name="Normal 12 4 5 2 3" xfId="16850"/>
    <cellStyle name="Normal 12 4 5 3" xfId="21007"/>
    <cellStyle name="Normal 12 4 5 4" xfId="12710"/>
    <cellStyle name="Normal 12 4 6" xfId="6473"/>
    <cellStyle name="Normal 12 4 6 2" xfId="23077"/>
    <cellStyle name="Normal 12 4 6 3" xfId="14780"/>
    <cellStyle name="Normal 12 4 7" xfId="18934"/>
    <cellStyle name="Normal 12 4 8" xfId="10637"/>
    <cellStyle name="Normal 12 5" xfId="1429"/>
    <cellStyle name="Normal 12 5 2" xfId="2776"/>
    <cellStyle name="Normal 12 5 2 2" xfId="3822"/>
    <cellStyle name="Normal 12 5 2 2 2" xfId="5947"/>
    <cellStyle name="Normal 12 5 2 2 2 2" xfId="10103"/>
    <cellStyle name="Normal 12 5 2 2 2 2 2" xfId="26700"/>
    <cellStyle name="Normal 12 5 2 2 2 2 3" xfId="18403"/>
    <cellStyle name="Normal 12 5 2 2 2 3" xfId="22560"/>
    <cellStyle name="Normal 12 5 2 2 2 4" xfId="14263"/>
    <cellStyle name="Normal 12 5 2 2 3" xfId="8031"/>
    <cellStyle name="Normal 12 5 2 2 3 2" xfId="24628"/>
    <cellStyle name="Normal 12 5 2 2 3 3" xfId="16331"/>
    <cellStyle name="Normal 12 5 2 2 4" xfId="20488"/>
    <cellStyle name="Normal 12 5 2 2 5" xfId="12191"/>
    <cellStyle name="Normal 12 5 2 3" xfId="4913"/>
    <cellStyle name="Normal 12 5 2 3 2" xfId="9069"/>
    <cellStyle name="Normal 12 5 2 3 2 2" xfId="25666"/>
    <cellStyle name="Normal 12 5 2 3 2 3" xfId="17369"/>
    <cellStyle name="Normal 12 5 2 3 3" xfId="21526"/>
    <cellStyle name="Normal 12 5 2 3 4" xfId="13229"/>
    <cellStyle name="Normal 12 5 2 4" xfId="6997"/>
    <cellStyle name="Normal 12 5 2 4 2" xfId="23594"/>
    <cellStyle name="Normal 12 5 2 4 3" xfId="15297"/>
    <cellStyle name="Normal 12 5 2 5" xfId="19454"/>
    <cellStyle name="Normal 12 5 2 6" xfId="11157"/>
    <cellStyle name="Normal 12 5 3" xfId="3304"/>
    <cellStyle name="Normal 12 5 3 2" xfId="5432"/>
    <cellStyle name="Normal 12 5 3 2 2" xfId="9588"/>
    <cellStyle name="Normal 12 5 3 2 2 2" xfId="26185"/>
    <cellStyle name="Normal 12 5 3 2 2 3" xfId="17888"/>
    <cellStyle name="Normal 12 5 3 2 3" xfId="22045"/>
    <cellStyle name="Normal 12 5 3 2 4" xfId="13748"/>
    <cellStyle name="Normal 12 5 3 3" xfId="7516"/>
    <cellStyle name="Normal 12 5 3 3 2" xfId="24113"/>
    <cellStyle name="Normal 12 5 3 3 3" xfId="15816"/>
    <cellStyle name="Normal 12 5 3 4" xfId="19973"/>
    <cellStyle name="Normal 12 5 3 5" xfId="11676"/>
    <cellStyle name="Normal 12 5 4" xfId="4384"/>
    <cellStyle name="Normal 12 5 4 2" xfId="8552"/>
    <cellStyle name="Normal 12 5 4 2 2" xfId="25149"/>
    <cellStyle name="Normal 12 5 4 2 3" xfId="16852"/>
    <cellStyle name="Normal 12 5 4 3" xfId="21009"/>
    <cellStyle name="Normal 12 5 4 4" xfId="12712"/>
    <cellStyle name="Normal 12 5 5" xfId="6475"/>
    <cellStyle name="Normal 12 5 5 2" xfId="23079"/>
    <cellStyle name="Normal 12 5 5 3" xfId="14782"/>
    <cellStyle name="Normal 12 5 6" xfId="18936"/>
    <cellStyle name="Normal 12 5 7" xfId="10639"/>
    <cellStyle name="Normal 12 6" xfId="1430"/>
    <cellStyle name="Normal 12 6 2" xfId="2777"/>
    <cellStyle name="Normal 12 6 2 2" xfId="3823"/>
    <cellStyle name="Normal 12 6 2 2 2" xfId="5948"/>
    <cellStyle name="Normal 12 6 2 2 2 2" xfId="10104"/>
    <cellStyle name="Normal 12 6 2 2 2 2 2" xfId="26701"/>
    <cellStyle name="Normal 12 6 2 2 2 2 3" xfId="18404"/>
    <cellStyle name="Normal 12 6 2 2 2 3" xfId="22561"/>
    <cellStyle name="Normal 12 6 2 2 2 4" xfId="14264"/>
    <cellStyle name="Normal 12 6 2 2 3" xfId="8032"/>
    <cellStyle name="Normal 12 6 2 2 3 2" xfId="24629"/>
    <cellStyle name="Normal 12 6 2 2 3 3" xfId="16332"/>
    <cellStyle name="Normal 12 6 2 2 4" xfId="20489"/>
    <cellStyle name="Normal 12 6 2 2 5" xfId="12192"/>
    <cellStyle name="Normal 12 6 2 3" xfId="4914"/>
    <cellStyle name="Normal 12 6 2 3 2" xfId="9070"/>
    <cellStyle name="Normal 12 6 2 3 2 2" xfId="25667"/>
    <cellStyle name="Normal 12 6 2 3 2 3" xfId="17370"/>
    <cellStyle name="Normal 12 6 2 3 3" xfId="21527"/>
    <cellStyle name="Normal 12 6 2 3 4" xfId="13230"/>
    <cellStyle name="Normal 12 6 2 4" xfId="6998"/>
    <cellStyle name="Normal 12 6 2 4 2" xfId="23595"/>
    <cellStyle name="Normal 12 6 2 4 3" xfId="15298"/>
    <cellStyle name="Normal 12 6 2 5" xfId="19455"/>
    <cellStyle name="Normal 12 6 2 6" xfId="11158"/>
    <cellStyle name="Normal 12 6 3" xfId="3305"/>
    <cellStyle name="Normal 12 6 3 2" xfId="5433"/>
    <cellStyle name="Normal 12 6 3 2 2" xfId="9589"/>
    <cellStyle name="Normal 12 6 3 2 2 2" xfId="26186"/>
    <cellStyle name="Normal 12 6 3 2 2 3" xfId="17889"/>
    <cellStyle name="Normal 12 6 3 2 3" xfId="22046"/>
    <cellStyle name="Normal 12 6 3 2 4" xfId="13749"/>
    <cellStyle name="Normal 12 6 3 3" xfId="7517"/>
    <cellStyle name="Normal 12 6 3 3 2" xfId="24114"/>
    <cellStyle name="Normal 12 6 3 3 3" xfId="15817"/>
    <cellStyle name="Normal 12 6 3 4" xfId="19974"/>
    <cellStyle name="Normal 12 6 3 5" xfId="11677"/>
    <cellStyle name="Normal 12 6 4" xfId="4385"/>
    <cellStyle name="Normal 12 6 4 2" xfId="8553"/>
    <cellStyle name="Normal 12 6 4 2 2" xfId="25150"/>
    <cellStyle name="Normal 12 6 4 2 3" xfId="16853"/>
    <cellStyle name="Normal 12 6 4 3" xfId="21010"/>
    <cellStyle name="Normal 12 6 4 4" xfId="12713"/>
    <cellStyle name="Normal 12 6 5" xfId="6476"/>
    <cellStyle name="Normal 12 6 5 2" xfId="23080"/>
    <cellStyle name="Normal 12 6 5 3" xfId="14783"/>
    <cellStyle name="Normal 12 6 6" xfId="18937"/>
    <cellStyle name="Normal 12 6 7" xfId="10640"/>
    <cellStyle name="Normal 12 7" xfId="2769"/>
    <cellStyle name="Normal 12 7 2" xfId="3815"/>
    <cellStyle name="Normal 12 7 2 2" xfId="5940"/>
    <cellStyle name="Normal 12 7 2 2 2" xfId="10096"/>
    <cellStyle name="Normal 12 7 2 2 2 2" xfId="26693"/>
    <cellStyle name="Normal 12 7 2 2 2 3" xfId="18396"/>
    <cellStyle name="Normal 12 7 2 2 3" xfId="22553"/>
    <cellStyle name="Normal 12 7 2 2 4" xfId="14256"/>
    <cellStyle name="Normal 12 7 2 3" xfId="8024"/>
    <cellStyle name="Normal 12 7 2 3 2" xfId="24621"/>
    <cellStyle name="Normal 12 7 2 3 3" xfId="16324"/>
    <cellStyle name="Normal 12 7 2 4" xfId="20481"/>
    <cellStyle name="Normal 12 7 2 5" xfId="12184"/>
    <cellStyle name="Normal 12 7 3" xfId="4906"/>
    <cellStyle name="Normal 12 7 3 2" xfId="9062"/>
    <cellStyle name="Normal 12 7 3 2 2" xfId="25659"/>
    <cellStyle name="Normal 12 7 3 2 3" xfId="17362"/>
    <cellStyle name="Normal 12 7 3 3" xfId="21519"/>
    <cellStyle name="Normal 12 7 3 4" xfId="13222"/>
    <cellStyle name="Normal 12 7 4" xfId="6990"/>
    <cellStyle name="Normal 12 7 4 2" xfId="23587"/>
    <cellStyle name="Normal 12 7 4 3" xfId="15290"/>
    <cellStyle name="Normal 12 7 5" xfId="19447"/>
    <cellStyle name="Normal 12 7 6" xfId="11150"/>
    <cellStyle name="Normal 12 8" xfId="3297"/>
    <cellStyle name="Normal 12 8 2" xfId="5425"/>
    <cellStyle name="Normal 12 8 2 2" xfId="9581"/>
    <cellStyle name="Normal 12 8 2 2 2" xfId="26178"/>
    <cellStyle name="Normal 12 8 2 2 3" xfId="17881"/>
    <cellStyle name="Normal 12 8 2 3" xfId="22038"/>
    <cellStyle name="Normal 12 8 2 4" xfId="13741"/>
    <cellStyle name="Normal 12 8 3" xfId="7509"/>
    <cellStyle name="Normal 12 8 3 2" xfId="24106"/>
    <cellStyle name="Normal 12 8 3 3" xfId="15809"/>
    <cellStyle name="Normal 12 8 4" xfId="19966"/>
    <cellStyle name="Normal 12 8 5" xfId="11669"/>
    <cellStyle name="Normal 12 9" xfId="4377"/>
    <cellStyle name="Normal 12 9 2" xfId="8545"/>
    <cellStyle name="Normal 12 9 2 2" xfId="25142"/>
    <cellStyle name="Normal 12 9 2 3" xfId="16845"/>
    <cellStyle name="Normal 12 9 3" xfId="21002"/>
    <cellStyle name="Normal 12 9 4" xfId="12705"/>
    <cellStyle name="Normal 120" xfId="1431"/>
    <cellStyle name="Normal 120 2" xfId="2778"/>
    <cellStyle name="Normal 120 2 2" xfId="3824"/>
    <cellStyle name="Normal 120 2 2 2" xfId="5949"/>
    <cellStyle name="Normal 120 2 2 2 2" xfId="10105"/>
    <cellStyle name="Normal 120 2 2 2 2 2" xfId="26702"/>
    <cellStyle name="Normal 120 2 2 2 2 3" xfId="18405"/>
    <cellStyle name="Normal 120 2 2 2 3" xfId="22562"/>
    <cellStyle name="Normal 120 2 2 2 4" xfId="14265"/>
    <cellStyle name="Normal 120 2 2 3" xfId="8033"/>
    <cellStyle name="Normal 120 2 2 3 2" xfId="24630"/>
    <cellStyle name="Normal 120 2 2 3 3" xfId="16333"/>
    <cellStyle name="Normal 120 2 2 4" xfId="20490"/>
    <cellStyle name="Normal 120 2 2 5" xfId="12193"/>
    <cellStyle name="Normal 120 2 3" xfId="4915"/>
    <cellStyle name="Normal 120 2 3 2" xfId="9071"/>
    <cellStyle name="Normal 120 2 3 2 2" xfId="25668"/>
    <cellStyle name="Normal 120 2 3 2 3" xfId="17371"/>
    <cellStyle name="Normal 120 2 3 3" xfId="21528"/>
    <cellStyle name="Normal 120 2 3 4" xfId="13231"/>
    <cellStyle name="Normal 120 2 4" xfId="6999"/>
    <cellStyle name="Normal 120 2 4 2" xfId="23596"/>
    <cellStyle name="Normal 120 2 4 3" xfId="15299"/>
    <cellStyle name="Normal 120 2 5" xfId="19456"/>
    <cellStyle name="Normal 120 2 6" xfId="11159"/>
    <cellStyle name="Normal 120 3" xfId="3306"/>
    <cellStyle name="Normal 120 3 2" xfId="5434"/>
    <cellStyle name="Normal 120 3 2 2" xfId="9590"/>
    <cellStyle name="Normal 120 3 2 2 2" xfId="26187"/>
    <cellStyle name="Normal 120 3 2 2 3" xfId="17890"/>
    <cellStyle name="Normal 120 3 2 3" xfId="22047"/>
    <cellStyle name="Normal 120 3 2 4" xfId="13750"/>
    <cellStyle name="Normal 120 3 3" xfId="7518"/>
    <cellStyle name="Normal 120 3 3 2" xfId="24115"/>
    <cellStyle name="Normal 120 3 3 3" xfId="15818"/>
    <cellStyle name="Normal 120 3 4" xfId="19975"/>
    <cellStyle name="Normal 120 3 5" xfId="11678"/>
    <cellStyle name="Normal 120 4" xfId="4386"/>
    <cellStyle name="Normal 120 4 2" xfId="8554"/>
    <cellStyle name="Normal 120 4 2 2" xfId="25151"/>
    <cellStyle name="Normal 120 4 2 3" xfId="16854"/>
    <cellStyle name="Normal 120 4 3" xfId="21011"/>
    <cellStyle name="Normal 120 4 4" xfId="12714"/>
    <cellStyle name="Normal 120 5" xfId="6477"/>
    <cellStyle name="Normal 120 5 2" xfId="23081"/>
    <cellStyle name="Normal 120 5 3" xfId="14784"/>
    <cellStyle name="Normal 120 6" xfId="18938"/>
    <cellStyle name="Normal 120 7" xfId="10641"/>
    <cellStyle name="Normal 121" xfId="1432"/>
    <cellStyle name="Normal 121 2" xfId="2779"/>
    <cellStyle name="Normal 121 2 2" xfId="3825"/>
    <cellStyle name="Normal 121 2 2 2" xfId="5950"/>
    <cellStyle name="Normal 121 2 2 2 2" xfId="10106"/>
    <cellStyle name="Normal 121 2 2 2 2 2" xfId="26703"/>
    <cellStyle name="Normal 121 2 2 2 2 3" xfId="18406"/>
    <cellStyle name="Normal 121 2 2 2 3" xfId="22563"/>
    <cellStyle name="Normal 121 2 2 2 4" xfId="14266"/>
    <cellStyle name="Normal 121 2 2 3" xfId="8034"/>
    <cellStyle name="Normal 121 2 2 3 2" xfId="24631"/>
    <cellStyle name="Normal 121 2 2 3 3" xfId="16334"/>
    <cellStyle name="Normal 121 2 2 4" xfId="20491"/>
    <cellStyle name="Normal 121 2 2 5" xfId="12194"/>
    <cellStyle name="Normal 121 2 3" xfId="4916"/>
    <cellStyle name="Normal 121 2 3 2" xfId="9072"/>
    <cellStyle name="Normal 121 2 3 2 2" xfId="25669"/>
    <cellStyle name="Normal 121 2 3 2 3" xfId="17372"/>
    <cellStyle name="Normal 121 2 3 3" xfId="21529"/>
    <cellStyle name="Normal 121 2 3 4" xfId="13232"/>
    <cellStyle name="Normal 121 2 4" xfId="7000"/>
    <cellStyle name="Normal 121 2 4 2" xfId="23597"/>
    <cellStyle name="Normal 121 2 4 3" xfId="15300"/>
    <cellStyle name="Normal 121 2 5" xfId="19457"/>
    <cellStyle name="Normal 121 2 6" xfId="11160"/>
    <cellStyle name="Normal 121 3" xfId="3307"/>
    <cellStyle name="Normal 121 3 2" xfId="5435"/>
    <cellStyle name="Normal 121 3 2 2" xfId="9591"/>
    <cellStyle name="Normal 121 3 2 2 2" xfId="26188"/>
    <cellStyle name="Normal 121 3 2 2 3" xfId="17891"/>
    <cellStyle name="Normal 121 3 2 3" xfId="22048"/>
    <cellStyle name="Normal 121 3 2 4" xfId="13751"/>
    <cellStyle name="Normal 121 3 3" xfId="7519"/>
    <cellStyle name="Normal 121 3 3 2" xfId="24116"/>
    <cellStyle name="Normal 121 3 3 3" xfId="15819"/>
    <cellStyle name="Normal 121 3 4" xfId="19976"/>
    <cellStyle name="Normal 121 3 5" xfId="11679"/>
    <cellStyle name="Normal 121 4" xfId="4387"/>
    <cellStyle name="Normal 121 4 2" xfId="8555"/>
    <cellStyle name="Normal 121 4 2 2" xfId="25152"/>
    <cellStyle name="Normal 121 4 2 3" xfId="16855"/>
    <cellStyle name="Normal 121 4 3" xfId="21012"/>
    <cellStyle name="Normal 121 4 4" xfId="12715"/>
    <cellStyle name="Normal 121 5" xfId="6478"/>
    <cellStyle name="Normal 121 5 2" xfId="23082"/>
    <cellStyle name="Normal 121 5 3" xfId="14785"/>
    <cellStyle name="Normal 121 6" xfId="18939"/>
    <cellStyle name="Normal 121 7" xfId="10642"/>
    <cellStyle name="Normal 122" xfId="1433"/>
    <cellStyle name="Normal 122 2" xfId="2780"/>
    <cellStyle name="Normal 122 2 2" xfId="3826"/>
    <cellStyle name="Normal 122 2 2 2" xfId="5951"/>
    <cellStyle name="Normal 122 2 2 2 2" xfId="10107"/>
    <cellStyle name="Normal 122 2 2 2 2 2" xfId="26704"/>
    <cellStyle name="Normal 122 2 2 2 2 3" xfId="18407"/>
    <cellStyle name="Normal 122 2 2 2 3" xfId="22564"/>
    <cellStyle name="Normal 122 2 2 2 4" xfId="14267"/>
    <cellStyle name="Normal 122 2 2 3" xfId="8035"/>
    <cellStyle name="Normal 122 2 2 3 2" xfId="24632"/>
    <cellStyle name="Normal 122 2 2 3 3" xfId="16335"/>
    <cellStyle name="Normal 122 2 2 4" xfId="20492"/>
    <cellStyle name="Normal 122 2 2 5" xfId="12195"/>
    <cellStyle name="Normal 122 2 3" xfId="4917"/>
    <cellStyle name="Normal 122 2 3 2" xfId="9073"/>
    <cellStyle name="Normal 122 2 3 2 2" xfId="25670"/>
    <cellStyle name="Normal 122 2 3 2 3" xfId="17373"/>
    <cellStyle name="Normal 122 2 3 3" xfId="21530"/>
    <cellStyle name="Normal 122 2 3 4" xfId="13233"/>
    <cellStyle name="Normal 122 2 4" xfId="7001"/>
    <cellStyle name="Normal 122 2 4 2" xfId="23598"/>
    <cellStyle name="Normal 122 2 4 3" xfId="15301"/>
    <cellStyle name="Normal 122 2 5" xfId="19458"/>
    <cellStyle name="Normal 122 2 6" xfId="11161"/>
    <cellStyle name="Normal 122 3" xfId="3308"/>
    <cellStyle name="Normal 122 3 2" xfId="5436"/>
    <cellStyle name="Normal 122 3 2 2" xfId="9592"/>
    <cellStyle name="Normal 122 3 2 2 2" xfId="26189"/>
    <cellStyle name="Normal 122 3 2 2 3" xfId="17892"/>
    <cellStyle name="Normal 122 3 2 3" xfId="22049"/>
    <cellStyle name="Normal 122 3 2 4" xfId="13752"/>
    <cellStyle name="Normal 122 3 3" xfId="7520"/>
    <cellStyle name="Normal 122 3 3 2" xfId="24117"/>
    <cellStyle name="Normal 122 3 3 3" xfId="15820"/>
    <cellStyle name="Normal 122 3 4" xfId="19977"/>
    <cellStyle name="Normal 122 3 5" xfId="11680"/>
    <cellStyle name="Normal 122 4" xfId="4388"/>
    <cellStyle name="Normal 122 4 2" xfId="8556"/>
    <cellStyle name="Normal 122 4 2 2" xfId="25153"/>
    <cellStyle name="Normal 122 4 2 3" xfId="16856"/>
    <cellStyle name="Normal 122 4 3" xfId="21013"/>
    <cellStyle name="Normal 122 4 4" xfId="12716"/>
    <cellStyle name="Normal 122 5" xfId="6479"/>
    <cellStyle name="Normal 122 5 2" xfId="23083"/>
    <cellStyle name="Normal 122 5 3" xfId="14786"/>
    <cellStyle name="Normal 122 6" xfId="18940"/>
    <cellStyle name="Normal 122 7" xfId="10643"/>
    <cellStyle name="Normal 123" xfId="1434"/>
    <cellStyle name="Normal 123 2" xfId="2781"/>
    <cellStyle name="Normal 123 2 2" xfId="3827"/>
    <cellStyle name="Normal 123 2 2 2" xfId="5952"/>
    <cellStyle name="Normal 123 2 2 2 2" xfId="10108"/>
    <cellStyle name="Normal 123 2 2 2 2 2" xfId="26705"/>
    <cellStyle name="Normal 123 2 2 2 2 3" xfId="18408"/>
    <cellStyle name="Normal 123 2 2 2 3" xfId="22565"/>
    <cellStyle name="Normal 123 2 2 2 4" xfId="14268"/>
    <cellStyle name="Normal 123 2 2 3" xfId="8036"/>
    <cellStyle name="Normal 123 2 2 3 2" xfId="24633"/>
    <cellStyle name="Normal 123 2 2 3 3" xfId="16336"/>
    <cellStyle name="Normal 123 2 2 4" xfId="20493"/>
    <cellStyle name="Normal 123 2 2 5" xfId="12196"/>
    <cellStyle name="Normal 123 2 3" xfId="4918"/>
    <cellStyle name="Normal 123 2 3 2" xfId="9074"/>
    <cellStyle name="Normal 123 2 3 2 2" xfId="25671"/>
    <cellStyle name="Normal 123 2 3 2 3" xfId="17374"/>
    <cellStyle name="Normal 123 2 3 3" xfId="21531"/>
    <cellStyle name="Normal 123 2 3 4" xfId="13234"/>
    <cellStyle name="Normal 123 2 4" xfId="7002"/>
    <cellStyle name="Normal 123 2 4 2" xfId="23599"/>
    <cellStyle name="Normal 123 2 4 3" xfId="15302"/>
    <cellStyle name="Normal 123 2 5" xfId="19459"/>
    <cellStyle name="Normal 123 2 6" xfId="11162"/>
    <cellStyle name="Normal 123 3" xfId="3309"/>
    <cellStyle name="Normal 123 3 2" xfId="5437"/>
    <cellStyle name="Normal 123 3 2 2" xfId="9593"/>
    <cellStyle name="Normal 123 3 2 2 2" xfId="26190"/>
    <cellStyle name="Normal 123 3 2 2 3" xfId="17893"/>
    <cellStyle name="Normal 123 3 2 3" xfId="22050"/>
    <cellStyle name="Normal 123 3 2 4" xfId="13753"/>
    <cellStyle name="Normal 123 3 3" xfId="7521"/>
    <cellStyle name="Normal 123 3 3 2" xfId="24118"/>
    <cellStyle name="Normal 123 3 3 3" xfId="15821"/>
    <cellStyle name="Normal 123 3 4" xfId="19978"/>
    <cellStyle name="Normal 123 3 5" xfId="11681"/>
    <cellStyle name="Normal 123 4" xfId="4389"/>
    <cellStyle name="Normal 123 4 2" xfId="8557"/>
    <cellStyle name="Normal 123 4 2 2" xfId="25154"/>
    <cellStyle name="Normal 123 4 2 3" xfId="16857"/>
    <cellStyle name="Normal 123 4 3" xfId="21014"/>
    <cellStyle name="Normal 123 4 4" xfId="12717"/>
    <cellStyle name="Normal 123 5" xfId="6480"/>
    <cellStyle name="Normal 123 5 2" xfId="23084"/>
    <cellStyle name="Normal 123 5 3" xfId="14787"/>
    <cellStyle name="Normal 123 6" xfId="18941"/>
    <cellStyle name="Normal 123 7" xfId="10644"/>
    <cellStyle name="Normal 124" xfId="1435"/>
    <cellStyle name="Normal 124 2" xfId="2782"/>
    <cellStyle name="Normal 124 2 2" xfId="3828"/>
    <cellStyle name="Normal 124 2 2 2" xfId="5953"/>
    <cellStyle name="Normal 124 2 2 2 2" xfId="10109"/>
    <cellStyle name="Normal 124 2 2 2 2 2" xfId="26706"/>
    <cellStyle name="Normal 124 2 2 2 2 3" xfId="18409"/>
    <cellStyle name="Normal 124 2 2 2 3" xfId="22566"/>
    <cellStyle name="Normal 124 2 2 2 4" xfId="14269"/>
    <cellStyle name="Normal 124 2 2 3" xfId="8037"/>
    <cellStyle name="Normal 124 2 2 3 2" xfId="24634"/>
    <cellStyle name="Normal 124 2 2 3 3" xfId="16337"/>
    <cellStyle name="Normal 124 2 2 4" xfId="20494"/>
    <cellStyle name="Normal 124 2 2 5" xfId="12197"/>
    <cellStyle name="Normal 124 2 3" xfId="4919"/>
    <cellStyle name="Normal 124 2 3 2" xfId="9075"/>
    <cellStyle name="Normal 124 2 3 2 2" xfId="25672"/>
    <cellStyle name="Normal 124 2 3 2 3" xfId="17375"/>
    <cellStyle name="Normal 124 2 3 3" xfId="21532"/>
    <cellStyle name="Normal 124 2 3 4" xfId="13235"/>
    <cellStyle name="Normal 124 2 4" xfId="7003"/>
    <cellStyle name="Normal 124 2 4 2" xfId="23600"/>
    <cellStyle name="Normal 124 2 4 3" xfId="15303"/>
    <cellStyle name="Normal 124 2 5" xfId="19460"/>
    <cellStyle name="Normal 124 2 6" xfId="11163"/>
    <cellStyle name="Normal 124 3" xfId="3310"/>
    <cellStyle name="Normal 124 3 2" xfId="5438"/>
    <cellStyle name="Normal 124 3 2 2" xfId="9594"/>
    <cellStyle name="Normal 124 3 2 2 2" xfId="26191"/>
    <cellStyle name="Normal 124 3 2 2 3" xfId="17894"/>
    <cellStyle name="Normal 124 3 2 3" xfId="22051"/>
    <cellStyle name="Normal 124 3 2 4" xfId="13754"/>
    <cellStyle name="Normal 124 3 3" xfId="7522"/>
    <cellStyle name="Normal 124 3 3 2" xfId="24119"/>
    <cellStyle name="Normal 124 3 3 3" xfId="15822"/>
    <cellStyle name="Normal 124 3 4" xfId="19979"/>
    <cellStyle name="Normal 124 3 5" xfId="11682"/>
    <cellStyle name="Normal 124 4" xfId="4390"/>
    <cellStyle name="Normal 124 4 2" xfId="8558"/>
    <cellStyle name="Normal 124 4 2 2" xfId="25155"/>
    <cellStyle name="Normal 124 4 2 3" xfId="16858"/>
    <cellStyle name="Normal 124 4 3" xfId="21015"/>
    <cellStyle name="Normal 124 4 4" xfId="12718"/>
    <cellStyle name="Normal 124 5" xfId="6481"/>
    <cellStyle name="Normal 124 5 2" xfId="23085"/>
    <cellStyle name="Normal 124 5 3" xfId="14788"/>
    <cellStyle name="Normal 124 6" xfId="18942"/>
    <cellStyle name="Normal 124 7" xfId="10645"/>
    <cellStyle name="Normal 125" xfId="1436"/>
    <cellStyle name="Normal 125 2" xfId="2783"/>
    <cellStyle name="Normal 125 2 2" xfId="3829"/>
    <cellStyle name="Normal 125 2 2 2" xfId="5954"/>
    <cellStyle name="Normal 125 2 2 2 2" xfId="10110"/>
    <cellStyle name="Normal 125 2 2 2 2 2" xfId="26707"/>
    <cellStyle name="Normal 125 2 2 2 2 3" xfId="18410"/>
    <cellStyle name="Normal 125 2 2 2 3" xfId="22567"/>
    <cellStyle name="Normal 125 2 2 2 4" xfId="14270"/>
    <cellStyle name="Normal 125 2 2 3" xfId="8038"/>
    <cellStyle name="Normal 125 2 2 3 2" xfId="24635"/>
    <cellStyle name="Normal 125 2 2 3 3" xfId="16338"/>
    <cellStyle name="Normal 125 2 2 4" xfId="20495"/>
    <cellStyle name="Normal 125 2 2 5" xfId="12198"/>
    <cellStyle name="Normal 125 2 3" xfId="4920"/>
    <cellStyle name="Normal 125 2 3 2" xfId="9076"/>
    <cellStyle name="Normal 125 2 3 2 2" xfId="25673"/>
    <cellStyle name="Normal 125 2 3 2 3" xfId="17376"/>
    <cellStyle name="Normal 125 2 3 3" xfId="21533"/>
    <cellStyle name="Normal 125 2 3 4" xfId="13236"/>
    <cellStyle name="Normal 125 2 4" xfId="7004"/>
    <cellStyle name="Normal 125 2 4 2" xfId="23601"/>
    <cellStyle name="Normal 125 2 4 3" xfId="15304"/>
    <cellStyle name="Normal 125 2 5" xfId="19461"/>
    <cellStyle name="Normal 125 2 6" xfId="11164"/>
    <cellStyle name="Normal 125 3" xfId="3311"/>
    <cellStyle name="Normal 125 3 2" xfId="5439"/>
    <cellStyle name="Normal 125 3 2 2" xfId="9595"/>
    <cellStyle name="Normal 125 3 2 2 2" xfId="26192"/>
    <cellStyle name="Normal 125 3 2 2 3" xfId="17895"/>
    <cellStyle name="Normal 125 3 2 3" xfId="22052"/>
    <cellStyle name="Normal 125 3 2 4" xfId="13755"/>
    <cellStyle name="Normal 125 3 3" xfId="7523"/>
    <cellStyle name="Normal 125 3 3 2" xfId="24120"/>
    <cellStyle name="Normal 125 3 3 3" xfId="15823"/>
    <cellStyle name="Normal 125 3 4" xfId="19980"/>
    <cellStyle name="Normal 125 3 5" xfId="11683"/>
    <cellStyle name="Normal 125 4" xfId="4391"/>
    <cellStyle name="Normal 125 4 2" xfId="8559"/>
    <cellStyle name="Normal 125 4 2 2" xfId="25156"/>
    <cellStyle name="Normal 125 4 2 3" xfId="16859"/>
    <cellStyle name="Normal 125 4 3" xfId="21016"/>
    <cellStyle name="Normal 125 4 4" xfId="12719"/>
    <cellStyle name="Normal 125 5" xfId="6482"/>
    <cellStyle name="Normal 125 5 2" xfId="23086"/>
    <cellStyle name="Normal 125 5 3" xfId="14789"/>
    <cellStyle name="Normal 125 6" xfId="18943"/>
    <cellStyle name="Normal 125 7" xfId="10646"/>
    <cellStyle name="Normal 126" xfId="1437"/>
    <cellStyle name="Normal 126 2" xfId="2784"/>
    <cellStyle name="Normal 126 2 2" xfId="3830"/>
    <cellStyle name="Normal 126 2 2 2" xfId="5955"/>
    <cellStyle name="Normal 126 2 2 2 2" xfId="10111"/>
    <cellStyle name="Normal 126 2 2 2 2 2" xfId="26708"/>
    <cellStyle name="Normal 126 2 2 2 2 3" xfId="18411"/>
    <cellStyle name="Normal 126 2 2 2 3" xfId="22568"/>
    <cellStyle name="Normal 126 2 2 2 4" xfId="14271"/>
    <cellStyle name="Normal 126 2 2 3" xfId="8039"/>
    <cellStyle name="Normal 126 2 2 3 2" xfId="24636"/>
    <cellStyle name="Normal 126 2 2 3 3" xfId="16339"/>
    <cellStyle name="Normal 126 2 2 4" xfId="20496"/>
    <cellStyle name="Normal 126 2 2 5" xfId="12199"/>
    <cellStyle name="Normal 126 2 3" xfId="4921"/>
    <cellStyle name="Normal 126 2 3 2" xfId="9077"/>
    <cellStyle name="Normal 126 2 3 2 2" xfId="25674"/>
    <cellStyle name="Normal 126 2 3 2 3" xfId="17377"/>
    <cellStyle name="Normal 126 2 3 3" xfId="21534"/>
    <cellStyle name="Normal 126 2 3 4" xfId="13237"/>
    <cellStyle name="Normal 126 2 4" xfId="7005"/>
    <cellStyle name="Normal 126 2 4 2" xfId="23602"/>
    <cellStyle name="Normal 126 2 4 3" xfId="15305"/>
    <cellStyle name="Normal 126 2 5" xfId="19462"/>
    <cellStyle name="Normal 126 2 6" xfId="11165"/>
    <cellStyle name="Normal 126 3" xfId="3312"/>
    <cellStyle name="Normal 126 3 2" xfId="5440"/>
    <cellStyle name="Normal 126 3 2 2" xfId="9596"/>
    <cellStyle name="Normal 126 3 2 2 2" xfId="26193"/>
    <cellStyle name="Normal 126 3 2 2 3" xfId="17896"/>
    <cellStyle name="Normal 126 3 2 3" xfId="22053"/>
    <cellStyle name="Normal 126 3 2 4" xfId="13756"/>
    <cellStyle name="Normal 126 3 3" xfId="7524"/>
    <cellStyle name="Normal 126 3 3 2" xfId="24121"/>
    <cellStyle name="Normal 126 3 3 3" xfId="15824"/>
    <cellStyle name="Normal 126 3 4" xfId="19981"/>
    <cellStyle name="Normal 126 3 5" xfId="11684"/>
    <cellStyle name="Normal 126 4" xfId="4392"/>
    <cellStyle name="Normal 126 4 2" xfId="8560"/>
    <cellStyle name="Normal 126 4 2 2" xfId="25157"/>
    <cellStyle name="Normal 126 4 2 3" xfId="16860"/>
    <cellStyle name="Normal 126 4 3" xfId="21017"/>
    <cellStyle name="Normal 126 4 4" xfId="12720"/>
    <cellStyle name="Normal 126 5" xfId="6483"/>
    <cellStyle name="Normal 126 5 2" xfId="23087"/>
    <cellStyle name="Normal 126 5 3" xfId="14790"/>
    <cellStyle name="Normal 126 6" xfId="18944"/>
    <cellStyle name="Normal 126 7" xfId="10647"/>
    <cellStyle name="Normal 127" xfId="1438"/>
    <cellStyle name="Normal 127 2" xfId="2785"/>
    <cellStyle name="Normal 127 2 2" xfId="3831"/>
    <cellStyle name="Normal 127 2 2 2" xfId="5956"/>
    <cellStyle name="Normal 127 2 2 2 2" xfId="10112"/>
    <cellStyle name="Normal 127 2 2 2 2 2" xfId="26709"/>
    <cellStyle name="Normal 127 2 2 2 2 3" xfId="18412"/>
    <cellStyle name="Normal 127 2 2 2 3" xfId="22569"/>
    <cellStyle name="Normal 127 2 2 2 4" xfId="14272"/>
    <cellStyle name="Normal 127 2 2 3" xfId="8040"/>
    <cellStyle name="Normal 127 2 2 3 2" xfId="24637"/>
    <cellStyle name="Normal 127 2 2 3 3" xfId="16340"/>
    <cellStyle name="Normal 127 2 2 4" xfId="20497"/>
    <cellStyle name="Normal 127 2 2 5" xfId="12200"/>
    <cellStyle name="Normal 127 2 3" xfId="4922"/>
    <cellStyle name="Normal 127 2 3 2" xfId="9078"/>
    <cellStyle name="Normal 127 2 3 2 2" xfId="25675"/>
    <cellStyle name="Normal 127 2 3 2 3" xfId="17378"/>
    <cellStyle name="Normal 127 2 3 3" xfId="21535"/>
    <cellStyle name="Normal 127 2 3 4" xfId="13238"/>
    <cellStyle name="Normal 127 2 4" xfId="7006"/>
    <cellStyle name="Normal 127 2 4 2" xfId="23603"/>
    <cellStyle name="Normal 127 2 4 3" xfId="15306"/>
    <cellStyle name="Normal 127 2 5" xfId="19463"/>
    <cellStyle name="Normal 127 2 6" xfId="11166"/>
    <cellStyle name="Normal 127 3" xfId="3313"/>
    <cellStyle name="Normal 127 3 2" xfId="5441"/>
    <cellStyle name="Normal 127 3 2 2" xfId="9597"/>
    <cellStyle name="Normal 127 3 2 2 2" xfId="26194"/>
    <cellStyle name="Normal 127 3 2 2 3" xfId="17897"/>
    <cellStyle name="Normal 127 3 2 3" xfId="22054"/>
    <cellStyle name="Normal 127 3 2 4" xfId="13757"/>
    <cellStyle name="Normal 127 3 3" xfId="7525"/>
    <cellStyle name="Normal 127 3 3 2" xfId="24122"/>
    <cellStyle name="Normal 127 3 3 3" xfId="15825"/>
    <cellStyle name="Normal 127 3 4" xfId="19982"/>
    <cellStyle name="Normal 127 3 5" xfId="11685"/>
    <cellStyle name="Normal 127 4" xfId="4393"/>
    <cellStyle name="Normal 127 4 2" xfId="8561"/>
    <cellStyle name="Normal 127 4 2 2" xfId="25158"/>
    <cellStyle name="Normal 127 4 2 3" xfId="16861"/>
    <cellStyle name="Normal 127 4 3" xfId="21018"/>
    <cellStyle name="Normal 127 4 4" xfId="12721"/>
    <cellStyle name="Normal 127 5" xfId="6484"/>
    <cellStyle name="Normal 127 5 2" xfId="23088"/>
    <cellStyle name="Normal 127 5 3" xfId="14791"/>
    <cellStyle name="Normal 127 6" xfId="18945"/>
    <cellStyle name="Normal 127 7" xfId="10648"/>
    <cellStyle name="Normal 128" xfId="1439"/>
    <cellStyle name="Normal 128 2" xfId="2786"/>
    <cellStyle name="Normal 128 2 2" xfId="3832"/>
    <cellStyle name="Normal 128 2 2 2" xfId="5957"/>
    <cellStyle name="Normal 128 2 2 2 2" xfId="10113"/>
    <cellStyle name="Normal 128 2 2 2 2 2" xfId="26710"/>
    <cellStyle name="Normal 128 2 2 2 2 3" xfId="18413"/>
    <cellStyle name="Normal 128 2 2 2 3" xfId="22570"/>
    <cellStyle name="Normal 128 2 2 2 4" xfId="14273"/>
    <cellStyle name="Normal 128 2 2 3" xfId="8041"/>
    <cellStyle name="Normal 128 2 2 3 2" xfId="24638"/>
    <cellStyle name="Normal 128 2 2 3 3" xfId="16341"/>
    <cellStyle name="Normal 128 2 2 4" xfId="20498"/>
    <cellStyle name="Normal 128 2 2 5" xfId="12201"/>
    <cellStyle name="Normal 128 2 3" xfId="4923"/>
    <cellStyle name="Normal 128 2 3 2" xfId="9079"/>
    <cellStyle name="Normal 128 2 3 2 2" xfId="25676"/>
    <cellStyle name="Normal 128 2 3 2 3" xfId="17379"/>
    <cellStyle name="Normal 128 2 3 3" xfId="21536"/>
    <cellStyle name="Normal 128 2 3 4" xfId="13239"/>
    <cellStyle name="Normal 128 2 4" xfId="7007"/>
    <cellStyle name="Normal 128 2 4 2" xfId="23604"/>
    <cellStyle name="Normal 128 2 4 3" xfId="15307"/>
    <cellStyle name="Normal 128 2 5" xfId="19464"/>
    <cellStyle name="Normal 128 2 6" xfId="11167"/>
    <cellStyle name="Normal 128 3" xfId="3314"/>
    <cellStyle name="Normal 128 3 2" xfId="5442"/>
    <cellStyle name="Normal 128 3 2 2" xfId="9598"/>
    <cellStyle name="Normal 128 3 2 2 2" xfId="26195"/>
    <cellStyle name="Normal 128 3 2 2 3" xfId="17898"/>
    <cellStyle name="Normal 128 3 2 3" xfId="22055"/>
    <cellStyle name="Normal 128 3 2 4" xfId="13758"/>
    <cellStyle name="Normal 128 3 3" xfId="7526"/>
    <cellStyle name="Normal 128 3 3 2" xfId="24123"/>
    <cellStyle name="Normal 128 3 3 3" xfId="15826"/>
    <cellStyle name="Normal 128 3 4" xfId="19983"/>
    <cellStyle name="Normal 128 3 5" xfId="11686"/>
    <cellStyle name="Normal 128 4" xfId="4394"/>
    <cellStyle name="Normal 128 4 2" xfId="8562"/>
    <cellStyle name="Normal 128 4 2 2" xfId="25159"/>
    <cellStyle name="Normal 128 4 2 3" xfId="16862"/>
    <cellStyle name="Normal 128 4 3" xfId="21019"/>
    <cellStyle name="Normal 128 4 4" xfId="12722"/>
    <cellStyle name="Normal 128 5" xfId="6485"/>
    <cellStyle name="Normal 128 5 2" xfId="23089"/>
    <cellStyle name="Normal 128 5 3" xfId="14792"/>
    <cellStyle name="Normal 128 6" xfId="18946"/>
    <cellStyle name="Normal 128 7" xfId="10649"/>
    <cellStyle name="Normal 129" xfId="1440"/>
    <cellStyle name="Normal 129 2" xfId="2787"/>
    <cellStyle name="Normal 129 2 2" xfId="3833"/>
    <cellStyle name="Normal 129 2 2 2" xfId="5958"/>
    <cellStyle name="Normal 129 2 2 2 2" xfId="10114"/>
    <cellStyle name="Normal 129 2 2 2 2 2" xfId="26711"/>
    <cellStyle name="Normal 129 2 2 2 2 3" xfId="18414"/>
    <cellStyle name="Normal 129 2 2 2 3" xfId="22571"/>
    <cellStyle name="Normal 129 2 2 2 4" xfId="14274"/>
    <cellStyle name="Normal 129 2 2 3" xfId="8042"/>
    <cellStyle name="Normal 129 2 2 3 2" xfId="24639"/>
    <cellStyle name="Normal 129 2 2 3 3" xfId="16342"/>
    <cellStyle name="Normal 129 2 2 4" xfId="20499"/>
    <cellStyle name="Normal 129 2 2 5" xfId="12202"/>
    <cellStyle name="Normal 129 2 3" xfId="4924"/>
    <cellStyle name="Normal 129 2 3 2" xfId="9080"/>
    <cellStyle name="Normal 129 2 3 2 2" xfId="25677"/>
    <cellStyle name="Normal 129 2 3 2 3" xfId="17380"/>
    <cellStyle name="Normal 129 2 3 3" xfId="21537"/>
    <cellStyle name="Normal 129 2 3 4" xfId="13240"/>
    <cellStyle name="Normal 129 2 4" xfId="7008"/>
    <cellStyle name="Normal 129 2 4 2" xfId="23605"/>
    <cellStyle name="Normal 129 2 4 3" xfId="15308"/>
    <cellStyle name="Normal 129 2 5" xfId="19465"/>
    <cellStyle name="Normal 129 2 6" xfId="11168"/>
    <cellStyle name="Normal 129 3" xfId="3315"/>
    <cellStyle name="Normal 129 3 2" xfId="5443"/>
    <cellStyle name="Normal 129 3 2 2" xfId="9599"/>
    <cellStyle name="Normal 129 3 2 2 2" xfId="26196"/>
    <cellStyle name="Normal 129 3 2 2 3" xfId="17899"/>
    <cellStyle name="Normal 129 3 2 3" xfId="22056"/>
    <cellStyle name="Normal 129 3 2 4" xfId="13759"/>
    <cellStyle name="Normal 129 3 3" xfId="7527"/>
    <cellStyle name="Normal 129 3 3 2" xfId="24124"/>
    <cellStyle name="Normal 129 3 3 3" xfId="15827"/>
    <cellStyle name="Normal 129 3 4" xfId="19984"/>
    <cellStyle name="Normal 129 3 5" xfId="11687"/>
    <cellStyle name="Normal 129 4" xfId="4395"/>
    <cellStyle name="Normal 129 4 2" xfId="8563"/>
    <cellStyle name="Normal 129 4 2 2" xfId="25160"/>
    <cellStyle name="Normal 129 4 2 3" xfId="16863"/>
    <cellStyle name="Normal 129 4 3" xfId="21020"/>
    <cellStyle name="Normal 129 4 4" xfId="12723"/>
    <cellStyle name="Normal 129 5" xfId="6486"/>
    <cellStyle name="Normal 129 5 2" xfId="23090"/>
    <cellStyle name="Normal 129 5 3" xfId="14793"/>
    <cellStyle name="Normal 129 6" xfId="18947"/>
    <cellStyle name="Normal 129 7" xfId="10650"/>
    <cellStyle name="Normal 13" xfId="1441"/>
    <cellStyle name="Normal 13 10" xfId="10651"/>
    <cellStyle name="Normal 13 2" xfId="1442"/>
    <cellStyle name="Normal 13 2 2" xfId="1443"/>
    <cellStyle name="Normal 13 2 2 2" xfId="2790"/>
    <cellStyle name="Normal 13 2 2 2 2" xfId="3836"/>
    <cellStyle name="Normal 13 2 2 2 2 2" xfId="5961"/>
    <cellStyle name="Normal 13 2 2 2 2 2 2" xfId="10117"/>
    <cellStyle name="Normal 13 2 2 2 2 2 2 2" xfId="26714"/>
    <cellStyle name="Normal 13 2 2 2 2 2 2 3" xfId="18417"/>
    <cellStyle name="Normal 13 2 2 2 2 2 3" xfId="22574"/>
    <cellStyle name="Normal 13 2 2 2 2 2 4" xfId="14277"/>
    <cellStyle name="Normal 13 2 2 2 2 3" xfId="8045"/>
    <cellStyle name="Normal 13 2 2 2 2 3 2" xfId="24642"/>
    <cellStyle name="Normal 13 2 2 2 2 3 3" xfId="16345"/>
    <cellStyle name="Normal 13 2 2 2 2 4" xfId="20502"/>
    <cellStyle name="Normal 13 2 2 2 2 5" xfId="12205"/>
    <cellStyle name="Normal 13 2 2 2 3" xfId="4927"/>
    <cellStyle name="Normal 13 2 2 2 3 2" xfId="9083"/>
    <cellStyle name="Normal 13 2 2 2 3 2 2" xfId="25680"/>
    <cellStyle name="Normal 13 2 2 2 3 2 3" xfId="17383"/>
    <cellStyle name="Normal 13 2 2 2 3 3" xfId="21540"/>
    <cellStyle name="Normal 13 2 2 2 3 4" xfId="13243"/>
    <cellStyle name="Normal 13 2 2 2 4" xfId="7011"/>
    <cellStyle name="Normal 13 2 2 2 4 2" xfId="23608"/>
    <cellStyle name="Normal 13 2 2 2 4 3" xfId="15311"/>
    <cellStyle name="Normal 13 2 2 2 5" xfId="19468"/>
    <cellStyle name="Normal 13 2 2 2 6" xfId="11171"/>
    <cellStyle name="Normal 13 2 2 3" xfId="3318"/>
    <cellStyle name="Normal 13 2 2 3 2" xfId="5446"/>
    <cellStyle name="Normal 13 2 2 3 2 2" xfId="9602"/>
    <cellStyle name="Normal 13 2 2 3 2 2 2" xfId="26199"/>
    <cellStyle name="Normal 13 2 2 3 2 2 3" xfId="17902"/>
    <cellStyle name="Normal 13 2 2 3 2 3" xfId="22059"/>
    <cellStyle name="Normal 13 2 2 3 2 4" xfId="13762"/>
    <cellStyle name="Normal 13 2 2 3 3" xfId="7530"/>
    <cellStyle name="Normal 13 2 2 3 3 2" xfId="24127"/>
    <cellStyle name="Normal 13 2 2 3 3 3" xfId="15830"/>
    <cellStyle name="Normal 13 2 2 3 4" xfId="19987"/>
    <cellStyle name="Normal 13 2 2 3 5" xfId="11690"/>
    <cellStyle name="Normal 13 2 2 4" xfId="4398"/>
    <cellStyle name="Normal 13 2 2 4 2" xfId="8566"/>
    <cellStyle name="Normal 13 2 2 4 2 2" xfId="25163"/>
    <cellStyle name="Normal 13 2 2 4 2 3" xfId="16866"/>
    <cellStyle name="Normal 13 2 2 4 3" xfId="21023"/>
    <cellStyle name="Normal 13 2 2 4 4" xfId="12726"/>
    <cellStyle name="Normal 13 2 2 5" xfId="6489"/>
    <cellStyle name="Normal 13 2 2 5 2" xfId="23093"/>
    <cellStyle name="Normal 13 2 2 5 3" xfId="14796"/>
    <cellStyle name="Normal 13 2 2 6" xfId="18950"/>
    <cellStyle name="Normal 13 2 2 7" xfId="10653"/>
    <cellStyle name="Normal 13 2 3" xfId="2789"/>
    <cellStyle name="Normal 13 2 3 2" xfId="3835"/>
    <cellStyle name="Normal 13 2 3 2 2" xfId="5960"/>
    <cellStyle name="Normal 13 2 3 2 2 2" xfId="10116"/>
    <cellStyle name="Normal 13 2 3 2 2 2 2" xfId="26713"/>
    <cellStyle name="Normal 13 2 3 2 2 2 3" xfId="18416"/>
    <cellStyle name="Normal 13 2 3 2 2 3" xfId="22573"/>
    <cellStyle name="Normal 13 2 3 2 2 4" xfId="14276"/>
    <cellStyle name="Normal 13 2 3 2 3" xfId="8044"/>
    <cellStyle name="Normal 13 2 3 2 3 2" xfId="24641"/>
    <cellStyle name="Normal 13 2 3 2 3 3" xfId="16344"/>
    <cellStyle name="Normal 13 2 3 2 4" xfId="20501"/>
    <cellStyle name="Normal 13 2 3 2 5" xfId="12204"/>
    <cellStyle name="Normal 13 2 3 3" xfId="4926"/>
    <cellStyle name="Normal 13 2 3 3 2" xfId="9082"/>
    <cellStyle name="Normal 13 2 3 3 2 2" xfId="25679"/>
    <cellStyle name="Normal 13 2 3 3 2 3" xfId="17382"/>
    <cellStyle name="Normal 13 2 3 3 3" xfId="21539"/>
    <cellStyle name="Normal 13 2 3 3 4" xfId="13242"/>
    <cellStyle name="Normal 13 2 3 4" xfId="7010"/>
    <cellStyle name="Normal 13 2 3 4 2" xfId="23607"/>
    <cellStyle name="Normal 13 2 3 4 3" xfId="15310"/>
    <cellStyle name="Normal 13 2 3 5" xfId="19467"/>
    <cellStyle name="Normal 13 2 3 6" xfId="11170"/>
    <cellStyle name="Normal 13 2 4" xfId="3317"/>
    <cellStyle name="Normal 13 2 4 2" xfId="5445"/>
    <cellStyle name="Normal 13 2 4 2 2" xfId="9601"/>
    <cellStyle name="Normal 13 2 4 2 2 2" xfId="26198"/>
    <cellStyle name="Normal 13 2 4 2 2 3" xfId="17901"/>
    <cellStyle name="Normal 13 2 4 2 3" xfId="22058"/>
    <cellStyle name="Normal 13 2 4 2 4" xfId="13761"/>
    <cellStyle name="Normal 13 2 4 3" xfId="7529"/>
    <cellStyle name="Normal 13 2 4 3 2" xfId="24126"/>
    <cellStyle name="Normal 13 2 4 3 3" xfId="15829"/>
    <cellStyle name="Normal 13 2 4 4" xfId="19986"/>
    <cellStyle name="Normal 13 2 4 5" xfId="11689"/>
    <cellStyle name="Normal 13 2 5" xfId="4397"/>
    <cellStyle name="Normal 13 2 5 2" xfId="8565"/>
    <cellStyle name="Normal 13 2 5 2 2" xfId="25162"/>
    <cellStyle name="Normal 13 2 5 2 3" xfId="16865"/>
    <cellStyle name="Normal 13 2 5 3" xfId="21022"/>
    <cellStyle name="Normal 13 2 5 4" xfId="12725"/>
    <cellStyle name="Normal 13 2 6" xfId="6488"/>
    <cellStyle name="Normal 13 2 6 2" xfId="23092"/>
    <cellStyle name="Normal 13 2 6 3" xfId="14795"/>
    <cellStyle name="Normal 13 2 7" xfId="18949"/>
    <cellStyle name="Normal 13 2 8" xfId="10652"/>
    <cellStyle name="Normal 13 3" xfId="1444"/>
    <cellStyle name="Normal 13 3 2" xfId="1445"/>
    <cellStyle name="Normal 13 3 2 2" xfId="2792"/>
    <cellStyle name="Normal 13 3 2 2 2" xfId="3838"/>
    <cellStyle name="Normal 13 3 2 2 2 2" xfId="5963"/>
    <cellStyle name="Normal 13 3 2 2 2 2 2" xfId="10119"/>
    <cellStyle name="Normal 13 3 2 2 2 2 2 2" xfId="26716"/>
    <cellStyle name="Normal 13 3 2 2 2 2 2 3" xfId="18419"/>
    <cellStyle name="Normal 13 3 2 2 2 2 3" xfId="22576"/>
    <cellStyle name="Normal 13 3 2 2 2 2 4" xfId="14279"/>
    <cellStyle name="Normal 13 3 2 2 2 3" xfId="8047"/>
    <cellStyle name="Normal 13 3 2 2 2 3 2" xfId="24644"/>
    <cellStyle name="Normal 13 3 2 2 2 3 3" xfId="16347"/>
    <cellStyle name="Normal 13 3 2 2 2 4" xfId="20504"/>
    <cellStyle name="Normal 13 3 2 2 2 5" xfId="12207"/>
    <cellStyle name="Normal 13 3 2 2 3" xfId="4929"/>
    <cellStyle name="Normal 13 3 2 2 3 2" xfId="9085"/>
    <cellStyle name="Normal 13 3 2 2 3 2 2" xfId="25682"/>
    <cellStyle name="Normal 13 3 2 2 3 2 3" xfId="17385"/>
    <cellStyle name="Normal 13 3 2 2 3 3" xfId="21542"/>
    <cellStyle name="Normal 13 3 2 2 3 4" xfId="13245"/>
    <cellStyle name="Normal 13 3 2 2 4" xfId="7013"/>
    <cellStyle name="Normal 13 3 2 2 4 2" xfId="23610"/>
    <cellStyle name="Normal 13 3 2 2 4 3" xfId="15313"/>
    <cellStyle name="Normal 13 3 2 2 5" xfId="19470"/>
    <cellStyle name="Normal 13 3 2 2 6" xfId="11173"/>
    <cellStyle name="Normal 13 3 2 3" xfId="3320"/>
    <cellStyle name="Normal 13 3 2 3 2" xfId="5448"/>
    <cellStyle name="Normal 13 3 2 3 2 2" xfId="9604"/>
    <cellStyle name="Normal 13 3 2 3 2 2 2" xfId="26201"/>
    <cellStyle name="Normal 13 3 2 3 2 2 3" xfId="17904"/>
    <cellStyle name="Normal 13 3 2 3 2 3" xfId="22061"/>
    <cellStyle name="Normal 13 3 2 3 2 4" xfId="13764"/>
    <cellStyle name="Normal 13 3 2 3 3" xfId="7532"/>
    <cellStyle name="Normal 13 3 2 3 3 2" xfId="24129"/>
    <cellStyle name="Normal 13 3 2 3 3 3" xfId="15832"/>
    <cellStyle name="Normal 13 3 2 3 4" xfId="19989"/>
    <cellStyle name="Normal 13 3 2 3 5" xfId="11692"/>
    <cellStyle name="Normal 13 3 2 4" xfId="4400"/>
    <cellStyle name="Normal 13 3 2 4 2" xfId="8568"/>
    <cellStyle name="Normal 13 3 2 4 2 2" xfId="25165"/>
    <cellStyle name="Normal 13 3 2 4 2 3" xfId="16868"/>
    <cellStyle name="Normal 13 3 2 4 3" xfId="21025"/>
    <cellStyle name="Normal 13 3 2 4 4" xfId="12728"/>
    <cellStyle name="Normal 13 3 2 5" xfId="6491"/>
    <cellStyle name="Normal 13 3 2 5 2" xfId="23095"/>
    <cellStyle name="Normal 13 3 2 5 3" xfId="14798"/>
    <cellStyle name="Normal 13 3 2 6" xfId="18952"/>
    <cellStyle name="Normal 13 3 2 7" xfId="10655"/>
    <cellStyle name="Normal 13 3 3" xfId="2791"/>
    <cellStyle name="Normal 13 3 3 2" xfId="3837"/>
    <cellStyle name="Normal 13 3 3 2 2" xfId="5962"/>
    <cellStyle name="Normal 13 3 3 2 2 2" xfId="10118"/>
    <cellStyle name="Normal 13 3 3 2 2 2 2" xfId="26715"/>
    <cellStyle name="Normal 13 3 3 2 2 2 3" xfId="18418"/>
    <cellStyle name="Normal 13 3 3 2 2 3" xfId="22575"/>
    <cellStyle name="Normal 13 3 3 2 2 4" xfId="14278"/>
    <cellStyle name="Normal 13 3 3 2 3" xfId="8046"/>
    <cellStyle name="Normal 13 3 3 2 3 2" xfId="24643"/>
    <cellStyle name="Normal 13 3 3 2 3 3" xfId="16346"/>
    <cellStyle name="Normal 13 3 3 2 4" xfId="20503"/>
    <cellStyle name="Normal 13 3 3 2 5" xfId="12206"/>
    <cellStyle name="Normal 13 3 3 3" xfId="4928"/>
    <cellStyle name="Normal 13 3 3 3 2" xfId="9084"/>
    <cellStyle name="Normal 13 3 3 3 2 2" xfId="25681"/>
    <cellStyle name="Normal 13 3 3 3 2 3" xfId="17384"/>
    <cellStyle name="Normal 13 3 3 3 3" xfId="21541"/>
    <cellStyle name="Normal 13 3 3 3 4" xfId="13244"/>
    <cellStyle name="Normal 13 3 3 4" xfId="7012"/>
    <cellStyle name="Normal 13 3 3 4 2" xfId="23609"/>
    <cellStyle name="Normal 13 3 3 4 3" xfId="15312"/>
    <cellStyle name="Normal 13 3 3 5" xfId="19469"/>
    <cellStyle name="Normal 13 3 3 6" xfId="11172"/>
    <cellStyle name="Normal 13 3 4" xfId="3319"/>
    <cellStyle name="Normal 13 3 4 2" xfId="5447"/>
    <cellStyle name="Normal 13 3 4 2 2" xfId="9603"/>
    <cellStyle name="Normal 13 3 4 2 2 2" xfId="26200"/>
    <cellStyle name="Normal 13 3 4 2 2 3" xfId="17903"/>
    <cellStyle name="Normal 13 3 4 2 3" xfId="22060"/>
    <cellStyle name="Normal 13 3 4 2 4" xfId="13763"/>
    <cellStyle name="Normal 13 3 4 3" xfId="7531"/>
    <cellStyle name="Normal 13 3 4 3 2" xfId="24128"/>
    <cellStyle name="Normal 13 3 4 3 3" xfId="15831"/>
    <cellStyle name="Normal 13 3 4 4" xfId="19988"/>
    <cellStyle name="Normal 13 3 4 5" xfId="11691"/>
    <cellStyle name="Normal 13 3 5" xfId="4399"/>
    <cellStyle name="Normal 13 3 5 2" xfId="8567"/>
    <cellStyle name="Normal 13 3 5 2 2" xfId="25164"/>
    <cellStyle name="Normal 13 3 5 2 3" xfId="16867"/>
    <cellStyle name="Normal 13 3 5 3" xfId="21024"/>
    <cellStyle name="Normal 13 3 5 4" xfId="12727"/>
    <cellStyle name="Normal 13 3 6" xfId="6490"/>
    <cellStyle name="Normal 13 3 6 2" xfId="23094"/>
    <cellStyle name="Normal 13 3 6 3" xfId="14797"/>
    <cellStyle name="Normal 13 3 7" xfId="18951"/>
    <cellStyle name="Normal 13 3 8" xfId="10654"/>
    <cellStyle name="Normal 13 4" xfId="1446"/>
    <cellStyle name="Normal 13 4 2" xfId="2793"/>
    <cellStyle name="Normal 13 4 2 2" xfId="3839"/>
    <cellStyle name="Normal 13 4 2 2 2" xfId="5964"/>
    <cellStyle name="Normal 13 4 2 2 2 2" xfId="10120"/>
    <cellStyle name="Normal 13 4 2 2 2 2 2" xfId="26717"/>
    <cellStyle name="Normal 13 4 2 2 2 2 3" xfId="18420"/>
    <cellStyle name="Normal 13 4 2 2 2 3" xfId="22577"/>
    <cellStyle name="Normal 13 4 2 2 2 4" xfId="14280"/>
    <cellStyle name="Normal 13 4 2 2 3" xfId="8048"/>
    <cellStyle name="Normal 13 4 2 2 3 2" xfId="24645"/>
    <cellStyle name="Normal 13 4 2 2 3 3" xfId="16348"/>
    <cellStyle name="Normal 13 4 2 2 4" xfId="20505"/>
    <cellStyle name="Normal 13 4 2 2 5" xfId="12208"/>
    <cellStyle name="Normal 13 4 2 3" xfId="4930"/>
    <cellStyle name="Normal 13 4 2 3 2" xfId="9086"/>
    <cellStyle name="Normal 13 4 2 3 2 2" xfId="25683"/>
    <cellStyle name="Normal 13 4 2 3 2 3" xfId="17386"/>
    <cellStyle name="Normal 13 4 2 3 3" xfId="21543"/>
    <cellStyle name="Normal 13 4 2 3 4" xfId="13246"/>
    <cellStyle name="Normal 13 4 2 4" xfId="7014"/>
    <cellStyle name="Normal 13 4 2 4 2" xfId="23611"/>
    <cellStyle name="Normal 13 4 2 4 3" xfId="15314"/>
    <cellStyle name="Normal 13 4 2 5" xfId="19471"/>
    <cellStyle name="Normal 13 4 2 6" xfId="11174"/>
    <cellStyle name="Normal 13 4 3" xfId="3321"/>
    <cellStyle name="Normal 13 4 3 2" xfId="5449"/>
    <cellStyle name="Normal 13 4 3 2 2" xfId="9605"/>
    <cellStyle name="Normal 13 4 3 2 2 2" xfId="26202"/>
    <cellStyle name="Normal 13 4 3 2 2 3" xfId="17905"/>
    <cellStyle name="Normal 13 4 3 2 3" xfId="22062"/>
    <cellStyle name="Normal 13 4 3 2 4" xfId="13765"/>
    <cellStyle name="Normal 13 4 3 3" xfId="7533"/>
    <cellStyle name="Normal 13 4 3 3 2" xfId="24130"/>
    <cellStyle name="Normal 13 4 3 3 3" xfId="15833"/>
    <cellStyle name="Normal 13 4 3 4" xfId="19990"/>
    <cellStyle name="Normal 13 4 3 5" xfId="11693"/>
    <cellStyle name="Normal 13 4 4" xfId="4401"/>
    <cellStyle name="Normal 13 4 4 2" xfId="8569"/>
    <cellStyle name="Normal 13 4 4 2 2" xfId="25166"/>
    <cellStyle name="Normal 13 4 4 2 3" xfId="16869"/>
    <cellStyle name="Normal 13 4 4 3" xfId="21026"/>
    <cellStyle name="Normal 13 4 4 4" xfId="12729"/>
    <cellStyle name="Normal 13 4 5" xfId="6492"/>
    <cellStyle name="Normal 13 4 5 2" xfId="23096"/>
    <cellStyle name="Normal 13 4 5 3" xfId="14799"/>
    <cellStyle name="Normal 13 4 6" xfId="18953"/>
    <cellStyle name="Normal 13 4 7" xfId="10656"/>
    <cellStyle name="Normal 13 5" xfId="2788"/>
    <cellStyle name="Normal 13 5 2" xfId="3834"/>
    <cellStyle name="Normal 13 5 2 2" xfId="5959"/>
    <cellStyle name="Normal 13 5 2 2 2" xfId="10115"/>
    <cellStyle name="Normal 13 5 2 2 2 2" xfId="26712"/>
    <cellStyle name="Normal 13 5 2 2 2 3" xfId="18415"/>
    <cellStyle name="Normal 13 5 2 2 3" xfId="22572"/>
    <cellStyle name="Normal 13 5 2 2 4" xfId="14275"/>
    <cellStyle name="Normal 13 5 2 3" xfId="8043"/>
    <cellStyle name="Normal 13 5 2 3 2" xfId="24640"/>
    <cellStyle name="Normal 13 5 2 3 3" xfId="16343"/>
    <cellStyle name="Normal 13 5 2 4" xfId="20500"/>
    <cellStyle name="Normal 13 5 2 5" xfId="12203"/>
    <cellStyle name="Normal 13 5 3" xfId="4925"/>
    <cellStyle name="Normal 13 5 3 2" xfId="9081"/>
    <cellStyle name="Normal 13 5 3 2 2" xfId="25678"/>
    <cellStyle name="Normal 13 5 3 2 3" xfId="17381"/>
    <cellStyle name="Normal 13 5 3 3" xfId="21538"/>
    <cellStyle name="Normal 13 5 3 4" xfId="13241"/>
    <cellStyle name="Normal 13 5 4" xfId="7009"/>
    <cellStyle name="Normal 13 5 4 2" xfId="23606"/>
    <cellStyle name="Normal 13 5 4 3" xfId="15309"/>
    <cellStyle name="Normal 13 5 5" xfId="19466"/>
    <cellStyle name="Normal 13 5 6" xfId="11169"/>
    <cellStyle name="Normal 13 6" xfId="3316"/>
    <cellStyle name="Normal 13 6 2" xfId="5444"/>
    <cellStyle name="Normal 13 6 2 2" xfId="9600"/>
    <cellStyle name="Normal 13 6 2 2 2" xfId="26197"/>
    <cellStyle name="Normal 13 6 2 2 3" xfId="17900"/>
    <cellStyle name="Normal 13 6 2 3" xfId="22057"/>
    <cellStyle name="Normal 13 6 2 4" xfId="13760"/>
    <cellStyle name="Normal 13 6 3" xfId="7528"/>
    <cellStyle name="Normal 13 6 3 2" xfId="24125"/>
    <cellStyle name="Normal 13 6 3 3" xfId="15828"/>
    <cellStyle name="Normal 13 6 4" xfId="19985"/>
    <cellStyle name="Normal 13 6 5" xfId="11688"/>
    <cellStyle name="Normal 13 7" xfId="4396"/>
    <cellStyle name="Normal 13 7 2" xfId="8564"/>
    <cellStyle name="Normal 13 7 2 2" xfId="25161"/>
    <cellStyle name="Normal 13 7 2 3" xfId="16864"/>
    <cellStyle name="Normal 13 7 3" xfId="21021"/>
    <cellStyle name="Normal 13 7 4" xfId="12724"/>
    <cellStyle name="Normal 13 8" xfId="6487"/>
    <cellStyle name="Normal 13 8 2" xfId="23091"/>
    <cellStyle name="Normal 13 8 3" xfId="14794"/>
    <cellStyle name="Normal 13 9" xfId="18948"/>
    <cellStyle name="Normal 130" xfId="1447"/>
    <cellStyle name="Normal 130 2" xfId="2794"/>
    <cellStyle name="Normal 130 2 2" xfId="3840"/>
    <cellStyle name="Normal 130 2 2 2" xfId="5965"/>
    <cellStyle name="Normal 130 2 2 2 2" xfId="10121"/>
    <cellStyle name="Normal 130 2 2 2 2 2" xfId="26718"/>
    <cellStyle name="Normal 130 2 2 2 2 3" xfId="18421"/>
    <cellStyle name="Normal 130 2 2 2 3" xfId="22578"/>
    <cellStyle name="Normal 130 2 2 2 4" xfId="14281"/>
    <cellStyle name="Normal 130 2 2 3" xfId="8049"/>
    <cellStyle name="Normal 130 2 2 3 2" xfId="24646"/>
    <cellStyle name="Normal 130 2 2 3 3" xfId="16349"/>
    <cellStyle name="Normal 130 2 2 4" xfId="20506"/>
    <cellStyle name="Normal 130 2 2 5" xfId="12209"/>
    <cellStyle name="Normal 130 2 3" xfId="4931"/>
    <cellStyle name="Normal 130 2 3 2" xfId="9087"/>
    <cellStyle name="Normal 130 2 3 2 2" xfId="25684"/>
    <cellStyle name="Normal 130 2 3 2 3" xfId="17387"/>
    <cellStyle name="Normal 130 2 3 3" xfId="21544"/>
    <cellStyle name="Normal 130 2 3 4" xfId="13247"/>
    <cellStyle name="Normal 130 2 4" xfId="7015"/>
    <cellStyle name="Normal 130 2 4 2" xfId="23612"/>
    <cellStyle name="Normal 130 2 4 3" xfId="15315"/>
    <cellStyle name="Normal 130 2 5" xfId="19472"/>
    <cellStyle name="Normal 130 2 6" xfId="11175"/>
    <cellStyle name="Normal 130 3" xfId="3322"/>
    <cellStyle name="Normal 130 3 2" xfId="5450"/>
    <cellStyle name="Normal 130 3 2 2" xfId="9606"/>
    <cellStyle name="Normal 130 3 2 2 2" xfId="26203"/>
    <cellStyle name="Normal 130 3 2 2 3" xfId="17906"/>
    <cellStyle name="Normal 130 3 2 3" xfId="22063"/>
    <cellStyle name="Normal 130 3 2 4" xfId="13766"/>
    <cellStyle name="Normal 130 3 3" xfId="7534"/>
    <cellStyle name="Normal 130 3 3 2" xfId="24131"/>
    <cellStyle name="Normal 130 3 3 3" xfId="15834"/>
    <cellStyle name="Normal 130 3 4" xfId="19991"/>
    <cellStyle name="Normal 130 3 5" xfId="11694"/>
    <cellStyle name="Normal 130 4" xfId="4402"/>
    <cellStyle name="Normal 130 4 2" xfId="8570"/>
    <cellStyle name="Normal 130 4 2 2" xfId="25167"/>
    <cellStyle name="Normal 130 4 2 3" xfId="16870"/>
    <cellStyle name="Normal 130 4 3" xfId="21027"/>
    <cellStyle name="Normal 130 4 4" xfId="12730"/>
    <cellStyle name="Normal 130 5" xfId="6493"/>
    <cellStyle name="Normal 130 5 2" xfId="23097"/>
    <cellStyle name="Normal 130 5 3" xfId="14800"/>
    <cellStyle name="Normal 130 6" xfId="18954"/>
    <cellStyle name="Normal 130 7" xfId="10657"/>
    <cellStyle name="Normal 131" xfId="1448"/>
    <cellStyle name="Normal 131 2" xfId="2795"/>
    <cellStyle name="Normal 131 2 2" xfId="3841"/>
    <cellStyle name="Normal 131 2 2 2" xfId="5966"/>
    <cellStyle name="Normal 131 2 2 2 2" xfId="10122"/>
    <cellStyle name="Normal 131 2 2 2 2 2" xfId="26719"/>
    <cellStyle name="Normal 131 2 2 2 2 3" xfId="18422"/>
    <cellStyle name="Normal 131 2 2 2 3" xfId="22579"/>
    <cellStyle name="Normal 131 2 2 2 4" xfId="14282"/>
    <cellStyle name="Normal 131 2 2 3" xfId="8050"/>
    <cellStyle name="Normal 131 2 2 3 2" xfId="24647"/>
    <cellStyle name="Normal 131 2 2 3 3" xfId="16350"/>
    <cellStyle name="Normal 131 2 2 4" xfId="20507"/>
    <cellStyle name="Normal 131 2 2 5" xfId="12210"/>
    <cellStyle name="Normal 131 2 3" xfId="4932"/>
    <cellStyle name="Normal 131 2 3 2" xfId="9088"/>
    <cellStyle name="Normal 131 2 3 2 2" xfId="25685"/>
    <cellStyle name="Normal 131 2 3 2 3" xfId="17388"/>
    <cellStyle name="Normal 131 2 3 3" xfId="21545"/>
    <cellStyle name="Normal 131 2 3 4" xfId="13248"/>
    <cellStyle name="Normal 131 2 4" xfId="7016"/>
    <cellStyle name="Normal 131 2 4 2" xfId="23613"/>
    <cellStyle name="Normal 131 2 4 3" xfId="15316"/>
    <cellStyle name="Normal 131 2 5" xfId="19473"/>
    <cellStyle name="Normal 131 2 6" xfId="11176"/>
    <cellStyle name="Normal 131 3" xfId="3323"/>
    <cellStyle name="Normal 131 3 2" xfId="5451"/>
    <cellStyle name="Normal 131 3 2 2" xfId="9607"/>
    <cellStyle name="Normal 131 3 2 2 2" xfId="26204"/>
    <cellStyle name="Normal 131 3 2 2 3" xfId="17907"/>
    <cellStyle name="Normal 131 3 2 3" xfId="22064"/>
    <cellStyle name="Normal 131 3 2 4" xfId="13767"/>
    <cellStyle name="Normal 131 3 3" xfId="7535"/>
    <cellStyle name="Normal 131 3 3 2" xfId="24132"/>
    <cellStyle name="Normal 131 3 3 3" xfId="15835"/>
    <cellStyle name="Normal 131 3 4" xfId="19992"/>
    <cellStyle name="Normal 131 3 5" xfId="11695"/>
    <cellStyle name="Normal 131 4" xfId="4403"/>
    <cellStyle name="Normal 131 4 2" xfId="8571"/>
    <cellStyle name="Normal 131 4 2 2" xfId="25168"/>
    <cellStyle name="Normal 131 4 2 3" xfId="16871"/>
    <cellStyle name="Normal 131 4 3" xfId="21028"/>
    <cellStyle name="Normal 131 4 4" xfId="12731"/>
    <cellStyle name="Normal 131 5" xfId="6494"/>
    <cellStyle name="Normal 131 5 2" xfId="23098"/>
    <cellStyle name="Normal 131 5 3" xfId="14801"/>
    <cellStyle name="Normal 131 6" xfId="18955"/>
    <cellStyle name="Normal 131 7" xfId="10658"/>
    <cellStyle name="Normal 132" xfId="1449"/>
    <cellStyle name="Normal 132 2" xfId="2796"/>
    <cellStyle name="Normal 132 2 2" xfId="3842"/>
    <cellStyle name="Normal 132 2 2 2" xfId="5967"/>
    <cellStyle name="Normal 132 2 2 2 2" xfId="10123"/>
    <cellStyle name="Normal 132 2 2 2 2 2" xfId="26720"/>
    <cellStyle name="Normal 132 2 2 2 2 3" xfId="18423"/>
    <cellStyle name="Normal 132 2 2 2 3" xfId="22580"/>
    <cellStyle name="Normal 132 2 2 2 4" xfId="14283"/>
    <cellStyle name="Normal 132 2 2 3" xfId="8051"/>
    <cellStyle name="Normal 132 2 2 3 2" xfId="24648"/>
    <cellStyle name="Normal 132 2 2 3 3" xfId="16351"/>
    <cellStyle name="Normal 132 2 2 4" xfId="20508"/>
    <cellStyle name="Normal 132 2 2 5" xfId="12211"/>
    <cellStyle name="Normal 132 2 3" xfId="4933"/>
    <cellStyle name="Normal 132 2 3 2" xfId="9089"/>
    <cellStyle name="Normal 132 2 3 2 2" xfId="25686"/>
    <cellStyle name="Normal 132 2 3 2 3" xfId="17389"/>
    <cellStyle name="Normal 132 2 3 3" xfId="21546"/>
    <cellStyle name="Normal 132 2 3 4" xfId="13249"/>
    <cellStyle name="Normal 132 2 4" xfId="7017"/>
    <cellStyle name="Normal 132 2 4 2" xfId="23614"/>
    <cellStyle name="Normal 132 2 4 3" xfId="15317"/>
    <cellStyle name="Normal 132 2 5" xfId="19474"/>
    <cellStyle name="Normal 132 2 6" xfId="11177"/>
    <cellStyle name="Normal 132 3" xfId="3324"/>
    <cellStyle name="Normal 132 3 2" xfId="5452"/>
    <cellStyle name="Normal 132 3 2 2" xfId="9608"/>
    <cellStyle name="Normal 132 3 2 2 2" xfId="26205"/>
    <cellStyle name="Normal 132 3 2 2 3" xfId="17908"/>
    <cellStyle name="Normal 132 3 2 3" xfId="22065"/>
    <cellStyle name="Normal 132 3 2 4" xfId="13768"/>
    <cellStyle name="Normal 132 3 3" xfId="7536"/>
    <cellStyle name="Normal 132 3 3 2" xfId="24133"/>
    <cellStyle name="Normal 132 3 3 3" xfId="15836"/>
    <cellStyle name="Normal 132 3 4" xfId="19993"/>
    <cellStyle name="Normal 132 3 5" xfId="11696"/>
    <cellStyle name="Normal 132 4" xfId="4404"/>
    <cellStyle name="Normal 132 4 2" xfId="8572"/>
    <cellStyle name="Normal 132 4 2 2" xfId="25169"/>
    <cellStyle name="Normal 132 4 2 3" xfId="16872"/>
    <cellStyle name="Normal 132 4 3" xfId="21029"/>
    <cellStyle name="Normal 132 4 4" xfId="12732"/>
    <cellStyle name="Normal 132 5" xfId="6495"/>
    <cellStyle name="Normal 132 5 2" xfId="23099"/>
    <cellStyle name="Normal 132 5 3" xfId="14802"/>
    <cellStyle name="Normal 132 6" xfId="18956"/>
    <cellStyle name="Normal 132 7" xfId="10659"/>
    <cellStyle name="Normal 133" xfId="1450"/>
    <cellStyle name="Normal 133 2" xfId="2797"/>
    <cellStyle name="Normal 133 2 2" xfId="3843"/>
    <cellStyle name="Normal 133 2 2 2" xfId="5968"/>
    <cellStyle name="Normal 133 2 2 2 2" xfId="10124"/>
    <cellStyle name="Normal 133 2 2 2 2 2" xfId="26721"/>
    <cellStyle name="Normal 133 2 2 2 2 3" xfId="18424"/>
    <cellStyle name="Normal 133 2 2 2 3" xfId="22581"/>
    <cellStyle name="Normal 133 2 2 2 4" xfId="14284"/>
    <cellStyle name="Normal 133 2 2 3" xfId="8052"/>
    <cellStyle name="Normal 133 2 2 3 2" xfId="24649"/>
    <cellStyle name="Normal 133 2 2 3 3" xfId="16352"/>
    <cellStyle name="Normal 133 2 2 4" xfId="20509"/>
    <cellStyle name="Normal 133 2 2 5" xfId="12212"/>
    <cellStyle name="Normal 133 2 3" xfId="4934"/>
    <cellStyle name="Normal 133 2 3 2" xfId="9090"/>
    <cellStyle name="Normal 133 2 3 2 2" xfId="25687"/>
    <cellStyle name="Normal 133 2 3 2 3" xfId="17390"/>
    <cellStyle name="Normal 133 2 3 3" xfId="21547"/>
    <cellStyle name="Normal 133 2 3 4" xfId="13250"/>
    <cellStyle name="Normal 133 2 4" xfId="7018"/>
    <cellStyle name="Normal 133 2 4 2" xfId="23615"/>
    <cellStyle name="Normal 133 2 4 3" xfId="15318"/>
    <cellStyle name="Normal 133 2 5" xfId="19475"/>
    <cellStyle name="Normal 133 2 6" xfId="11178"/>
    <cellStyle name="Normal 133 3" xfId="3325"/>
    <cellStyle name="Normal 133 3 2" xfId="5453"/>
    <cellStyle name="Normal 133 3 2 2" xfId="9609"/>
    <cellStyle name="Normal 133 3 2 2 2" xfId="26206"/>
    <cellStyle name="Normal 133 3 2 2 3" xfId="17909"/>
    <cellStyle name="Normal 133 3 2 3" xfId="22066"/>
    <cellStyle name="Normal 133 3 2 4" xfId="13769"/>
    <cellStyle name="Normal 133 3 3" xfId="7537"/>
    <cellStyle name="Normal 133 3 3 2" xfId="24134"/>
    <cellStyle name="Normal 133 3 3 3" xfId="15837"/>
    <cellStyle name="Normal 133 3 4" xfId="19994"/>
    <cellStyle name="Normal 133 3 5" xfId="11697"/>
    <cellStyle name="Normal 133 4" xfId="4405"/>
    <cellStyle name="Normal 133 4 2" xfId="8573"/>
    <cellStyle name="Normal 133 4 2 2" xfId="25170"/>
    <cellStyle name="Normal 133 4 2 3" xfId="16873"/>
    <cellStyle name="Normal 133 4 3" xfId="21030"/>
    <cellStyle name="Normal 133 4 4" xfId="12733"/>
    <cellStyle name="Normal 133 5" xfId="6496"/>
    <cellStyle name="Normal 133 5 2" xfId="23100"/>
    <cellStyle name="Normal 133 5 3" xfId="14803"/>
    <cellStyle name="Normal 133 6" xfId="18957"/>
    <cellStyle name="Normal 133 7" xfId="10660"/>
    <cellStyle name="Normal 134" xfId="1451"/>
    <cellStyle name="Normal 134 2" xfId="2798"/>
    <cellStyle name="Normal 134 2 2" xfId="3844"/>
    <cellStyle name="Normal 134 2 2 2" xfId="5969"/>
    <cellStyle name="Normal 134 2 2 2 2" xfId="10125"/>
    <cellStyle name="Normal 134 2 2 2 2 2" xfId="26722"/>
    <cellStyle name="Normal 134 2 2 2 2 3" xfId="18425"/>
    <cellStyle name="Normal 134 2 2 2 3" xfId="22582"/>
    <cellStyle name="Normal 134 2 2 2 4" xfId="14285"/>
    <cellStyle name="Normal 134 2 2 3" xfId="8053"/>
    <cellStyle name="Normal 134 2 2 3 2" xfId="24650"/>
    <cellStyle name="Normal 134 2 2 3 3" xfId="16353"/>
    <cellStyle name="Normal 134 2 2 4" xfId="20510"/>
    <cellStyle name="Normal 134 2 2 5" xfId="12213"/>
    <cellStyle name="Normal 134 2 3" xfId="4935"/>
    <cellStyle name="Normal 134 2 3 2" xfId="9091"/>
    <cellStyle name="Normal 134 2 3 2 2" xfId="25688"/>
    <cellStyle name="Normal 134 2 3 2 3" xfId="17391"/>
    <cellStyle name="Normal 134 2 3 3" xfId="21548"/>
    <cellStyle name="Normal 134 2 3 4" xfId="13251"/>
    <cellStyle name="Normal 134 2 4" xfId="7019"/>
    <cellStyle name="Normal 134 2 4 2" xfId="23616"/>
    <cellStyle name="Normal 134 2 4 3" xfId="15319"/>
    <cellStyle name="Normal 134 2 5" xfId="19476"/>
    <cellStyle name="Normal 134 2 6" xfId="11179"/>
    <cellStyle name="Normal 134 3" xfId="3326"/>
    <cellStyle name="Normal 134 3 2" xfId="5454"/>
    <cellStyle name="Normal 134 3 2 2" xfId="9610"/>
    <cellStyle name="Normal 134 3 2 2 2" xfId="26207"/>
    <cellStyle name="Normal 134 3 2 2 3" xfId="17910"/>
    <cellStyle name="Normal 134 3 2 3" xfId="22067"/>
    <cellStyle name="Normal 134 3 2 4" xfId="13770"/>
    <cellStyle name="Normal 134 3 3" xfId="7538"/>
    <cellStyle name="Normal 134 3 3 2" xfId="24135"/>
    <cellStyle name="Normal 134 3 3 3" xfId="15838"/>
    <cellStyle name="Normal 134 3 4" xfId="19995"/>
    <cellStyle name="Normal 134 3 5" xfId="11698"/>
    <cellStyle name="Normal 134 4" xfId="4406"/>
    <cellStyle name="Normal 134 4 2" xfId="8574"/>
    <cellStyle name="Normal 134 4 2 2" xfId="25171"/>
    <cellStyle name="Normal 134 4 2 3" xfId="16874"/>
    <cellStyle name="Normal 134 4 3" xfId="21031"/>
    <cellStyle name="Normal 134 4 4" xfId="12734"/>
    <cellStyle name="Normal 134 5" xfId="6497"/>
    <cellStyle name="Normal 134 5 2" xfId="23101"/>
    <cellStyle name="Normal 134 5 3" xfId="14804"/>
    <cellStyle name="Normal 134 6" xfId="18958"/>
    <cellStyle name="Normal 134 7" xfId="10661"/>
    <cellStyle name="Normal 135" xfId="1452"/>
    <cellStyle name="Normal 135 2" xfId="2799"/>
    <cellStyle name="Normal 135 2 2" xfId="3845"/>
    <cellStyle name="Normal 135 2 2 2" xfId="5970"/>
    <cellStyle name="Normal 135 2 2 2 2" xfId="10126"/>
    <cellStyle name="Normal 135 2 2 2 2 2" xfId="26723"/>
    <cellStyle name="Normal 135 2 2 2 2 3" xfId="18426"/>
    <cellStyle name="Normal 135 2 2 2 3" xfId="22583"/>
    <cellStyle name="Normal 135 2 2 2 4" xfId="14286"/>
    <cellStyle name="Normal 135 2 2 3" xfId="8054"/>
    <cellStyle name="Normal 135 2 2 3 2" xfId="24651"/>
    <cellStyle name="Normal 135 2 2 3 3" xfId="16354"/>
    <cellStyle name="Normal 135 2 2 4" xfId="20511"/>
    <cellStyle name="Normal 135 2 2 5" xfId="12214"/>
    <cellStyle name="Normal 135 2 3" xfId="4936"/>
    <cellStyle name="Normal 135 2 3 2" xfId="9092"/>
    <cellStyle name="Normal 135 2 3 2 2" xfId="25689"/>
    <cellStyle name="Normal 135 2 3 2 3" xfId="17392"/>
    <cellStyle name="Normal 135 2 3 3" xfId="21549"/>
    <cellStyle name="Normal 135 2 3 4" xfId="13252"/>
    <cellStyle name="Normal 135 2 4" xfId="7020"/>
    <cellStyle name="Normal 135 2 4 2" xfId="23617"/>
    <cellStyle name="Normal 135 2 4 3" xfId="15320"/>
    <cellStyle name="Normal 135 2 5" xfId="19477"/>
    <cellStyle name="Normal 135 2 6" xfId="11180"/>
    <cellStyle name="Normal 135 3" xfId="3327"/>
    <cellStyle name="Normal 135 3 2" xfId="5455"/>
    <cellStyle name="Normal 135 3 2 2" xfId="9611"/>
    <cellStyle name="Normal 135 3 2 2 2" xfId="26208"/>
    <cellStyle name="Normal 135 3 2 2 3" xfId="17911"/>
    <cellStyle name="Normal 135 3 2 3" xfId="22068"/>
    <cellStyle name="Normal 135 3 2 4" xfId="13771"/>
    <cellStyle name="Normal 135 3 3" xfId="7539"/>
    <cellStyle name="Normal 135 3 3 2" xfId="24136"/>
    <cellStyle name="Normal 135 3 3 3" xfId="15839"/>
    <cellStyle name="Normal 135 3 4" xfId="19996"/>
    <cellStyle name="Normal 135 3 5" xfId="11699"/>
    <cellStyle name="Normal 135 4" xfId="4407"/>
    <cellStyle name="Normal 135 4 2" xfId="8575"/>
    <cellStyle name="Normal 135 4 2 2" xfId="25172"/>
    <cellStyle name="Normal 135 4 2 3" xfId="16875"/>
    <cellStyle name="Normal 135 4 3" xfId="21032"/>
    <cellStyle name="Normal 135 4 4" xfId="12735"/>
    <cellStyle name="Normal 135 5" xfId="6498"/>
    <cellStyle name="Normal 135 5 2" xfId="23102"/>
    <cellStyle name="Normal 135 5 3" xfId="14805"/>
    <cellStyle name="Normal 135 6" xfId="18959"/>
    <cellStyle name="Normal 135 7" xfId="10662"/>
    <cellStyle name="Normal 136" xfId="1453"/>
    <cellStyle name="Normal 136 2" xfId="2800"/>
    <cellStyle name="Normal 136 2 2" xfId="3846"/>
    <cellStyle name="Normal 136 2 2 2" xfId="5971"/>
    <cellStyle name="Normal 136 2 2 2 2" xfId="10127"/>
    <cellStyle name="Normal 136 2 2 2 2 2" xfId="26724"/>
    <cellStyle name="Normal 136 2 2 2 2 3" xfId="18427"/>
    <cellStyle name="Normal 136 2 2 2 3" xfId="22584"/>
    <cellStyle name="Normal 136 2 2 2 4" xfId="14287"/>
    <cellStyle name="Normal 136 2 2 3" xfId="8055"/>
    <cellStyle name="Normal 136 2 2 3 2" xfId="24652"/>
    <cellStyle name="Normal 136 2 2 3 3" xfId="16355"/>
    <cellStyle name="Normal 136 2 2 4" xfId="20512"/>
    <cellStyle name="Normal 136 2 2 5" xfId="12215"/>
    <cellStyle name="Normal 136 2 3" xfId="4937"/>
    <cellStyle name="Normal 136 2 3 2" xfId="9093"/>
    <cellStyle name="Normal 136 2 3 2 2" xfId="25690"/>
    <cellStyle name="Normal 136 2 3 2 3" xfId="17393"/>
    <cellStyle name="Normal 136 2 3 3" xfId="21550"/>
    <cellStyle name="Normal 136 2 3 4" xfId="13253"/>
    <cellStyle name="Normal 136 2 4" xfId="7021"/>
    <cellStyle name="Normal 136 2 4 2" xfId="23618"/>
    <cellStyle name="Normal 136 2 4 3" xfId="15321"/>
    <cellStyle name="Normal 136 2 5" xfId="19478"/>
    <cellStyle name="Normal 136 2 6" xfId="11181"/>
    <cellStyle name="Normal 136 3" xfId="3328"/>
    <cellStyle name="Normal 136 3 2" xfId="5456"/>
    <cellStyle name="Normal 136 3 2 2" xfId="9612"/>
    <cellStyle name="Normal 136 3 2 2 2" xfId="26209"/>
    <cellStyle name="Normal 136 3 2 2 3" xfId="17912"/>
    <cellStyle name="Normal 136 3 2 3" xfId="22069"/>
    <cellStyle name="Normal 136 3 2 4" xfId="13772"/>
    <cellStyle name="Normal 136 3 3" xfId="7540"/>
    <cellStyle name="Normal 136 3 3 2" xfId="24137"/>
    <cellStyle name="Normal 136 3 3 3" xfId="15840"/>
    <cellStyle name="Normal 136 3 4" xfId="19997"/>
    <cellStyle name="Normal 136 3 5" xfId="11700"/>
    <cellStyle name="Normal 136 4" xfId="4408"/>
    <cellStyle name="Normal 136 4 2" xfId="8576"/>
    <cellStyle name="Normal 136 4 2 2" xfId="25173"/>
    <cellStyle name="Normal 136 4 2 3" xfId="16876"/>
    <cellStyle name="Normal 136 4 3" xfId="21033"/>
    <cellStyle name="Normal 136 4 4" xfId="12736"/>
    <cellStyle name="Normal 136 5" xfId="6499"/>
    <cellStyle name="Normal 136 5 2" xfId="23103"/>
    <cellStyle name="Normal 136 5 3" xfId="14806"/>
    <cellStyle name="Normal 136 6" xfId="18960"/>
    <cellStyle name="Normal 136 7" xfId="10663"/>
    <cellStyle name="Normal 137" xfId="1454"/>
    <cellStyle name="Normal 137 2" xfId="2801"/>
    <cellStyle name="Normal 137 2 2" xfId="3847"/>
    <cellStyle name="Normal 137 2 2 2" xfId="5972"/>
    <cellStyle name="Normal 137 2 2 2 2" xfId="10128"/>
    <cellStyle name="Normal 137 2 2 2 2 2" xfId="26725"/>
    <cellStyle name="Normal 137 2 2 2 2 3" xfId="18428"/>
    <cellStyle name="Normal 137 2 2 2 3" xfId="22585"/>
    <cellStyle name="Normal 137 2 2 2 4" xfId="14288"/>
    <cellStyle name="Normal 137 2 2 3" xfId="8056"/>
    <cellStyle name="Normal 137 2 2 3 2" xfId="24653"/>
    <cellStyle name="Normal 137 2 2 3 3" xfId="16356"/>
    <cellStyle name="Normal 137 2 2 4" xfId="20513"/>
    <cellStyle name="Normal 137 2 2 5" xfId="12216"/>
    <cellStyle name="Normal 137 2 3" xfId="4938"/>
    <cellStyle name="Normal 137 2 3 2" xfId="9094"/>
    <cellStyle name="Normal 137 2 3 2 2" xfId="25691"/>
    <cellStyle name="Normal 137 2 3 2 3" xfId="17394"/>
    <cellStyle name="Normal 137 2 3 3" xfId="21551"/>
    <cellStyle name="Normal 137 2 3 4" xfId="13254"/>
    <cellStyle name="Normal 137 2 4" xfId="7022"/>
    <cellStyle name="Normal 137 2 4 2" xfId="23619"/>
    <cellStyle name="Normal 137 2 4 3" xfId="15322"/>
    <cellStyle name="Normal 137 2 5" xfId="19479"/>
    <cellStyle name="Normal 137 2 6" xfId="11182"/>
    <cellStyle name="Normal 137 3" xfId="3329"/>
    <cellStyle name="Normal 137 3 2" xfId="5457"/>
    <cellStyle name="Normal 137 3 2 2" xfId="9613"/>
    <cellStyle name="Normal 137 3 2 2 2" xfId="26210"/>
    <cellStyle name="Normal 137 3 2 2 3" xfId="17913"/>
    <cellStyle name="Normal 137 3 2 3" xfId="22070"/>
    <cellStyle name="Normal 137 3 2 4" xfId="13773"/>
    <cellStyle name="Normal 137 3 3" xfId="7541"/>
    <cellStyle name="Normal 137 3 3 2" xfId="24138"/>
    <cellStyle name="Normal 137 3 3 3" xfId="15841"/>
    <cellStyle name="Normal 137 3 4" xfId="19998"/>
    <cellStyle name="Normal 137 3 5" xfId="11701"/>
    <cellStyle name="Normal 137 4" xfId="4409"/>
    <cellStyle name="Normal 137 4 2" xfId="8577"/>
    <cellStyle name="Normal 137 4 2 2" xfId="25174"/>
    <cellStyle name="Normal 137 4 2 3" xfId="16877"/>
    <cellStyle name="Normal 137 4 3" xfId="21034"/>
    <cellStyle name="Normal 137 4 4" xfId="12737"/>
    <cellStyle name="Normal 137 5" xfId="6500"/>
    <cellStyle name="Normal 137 5 2" xfId="23104"/>
    <cellStyle name="Normal 137 5 3" xfId="14807"/>
    <cellStyle name="Normal 137 6" xfId="18961"/>
    <cellStyle name="Normal 137 7" xfId="10664"/>
    <cellStyle name="Normal 138" xfId="1455"/>
    <cellStyle name="Normal 138 2" xfId="2802"/>
    <cellStyle name="Normal 138 2 2" xfId="3848"/>
    <cellStyle name="Normal 138 2 2 2" xfId="5973"/>
    <cellStyle name="Normal 138 2 2 2 2" xfId="10129"/>
    <cellStyle name="Normal 138 2 2 2 2 2" xfId="26726"/>
    <cellStyle name="Normal 138 2 2 2 2 3" xfId="18429"/>
    <cellStyle name="Normal 138 2 2 2 3" xfId="22586"/>
    <cellStyle name="Normal 138 2 2 2 4" xfId="14289"/>
    <cellStyle name="Normal 138 2 2 3" xfId="8057"/>
    <cellStyle name="Normal 138 2 2 3 2" xfId="24654"/>
    <cellStyle name="Normal 138 2 2 3 3" xfId="16357"/>
    <cellStyle name="Normal 138 2 2 4" xfId="20514"/>
    <cellStyle name="Normal 138 2 2 5" xfId="12217"/>
    <cellStyle name="Normal 138 2 3" xfId="4939"/>
    <cellStyle name="Normal 138 2 3 2" xfId="9095"/>
    <cellStyle name="Normal 138 2 3 2 2" xfId="25692"/>
    <cellStyle name="Normal 138 2 3 2 3" xfId="17395"/>
    <cellStyle name="Normal 138 2 3 3" xfId="21552"/>
    <cellStyle name="Normal 138 2 3 4" xfId="13255"/>
    <cellStyle name="Normal 138 2 4" xfId="7023"/>
    <cellStyle name="Normal 138 2 4 2" xfId="23620"/>
    <cellStyle name="Normal 138 2 4 3" xfId="15323"/>
    <cellStyle name="Normal 138 2 5" xfId="19480"/>
    <cellStyle name="Normal 138 2 6" xfId="11183"/>
    <cellStyle name="Normal 138 3" xfId="3330"/>
    <cellStyle name="Normal 138 3 2" xfId="5458"/>
    <cellStyle name="Normal 138 3 2 2" xfId="9614"/>
    <cellStyle name="Normal 138 3 2 2 2" xfId="26211"/>
    <cellStyle name="Normal 138 3 2 2 3" xfId="17914"/>
    <cellStyle name="Normal 138 3 2 3" xfId="22071"/>
    <cellStyle name="Normal 138 3 2 4" xfId="13774"/>
    <cellStyle name="Normal 138 3 3" xfId="7542"/>
    <cellStyle name="Normal 138 3 3 2" xfId="24139"/>
    <cellStyle name="Normal 138 3 3 3" xfId="15842"/>
    <cellStyle name="Normal 138 3 4" xfId="19999"/>
    <cellStyle name="Normal 138 3 5" xfId="11702"/>
    <cellStyle name="Normal 138 4" xfId="4410"/>
    <cellStyle name="Normal 138 4 2" xfId="8578"/>
    <cellStyle name="Normal 138 4 2 2" xfId="25175"/>
    <cellStyle name="Normal 138 4 2 3" xfId="16878"/>
    <cellStyle name="Normal 138 4 3" xfId="21035"/>
    <cellStyle name="Normal 138 4 4" xfId="12738"/>
    <cellStyle name="Normal 138 5" xfId="6501"/>
    <cellStyle name="Normal 138 5 2" xfId="23105"/>
    <cellStyle name="Normal 138 5 3" xfId="14808"/>
    <cellStyle name="Normal 138 6" xfId="18962"/>
    <cellStyle name="Normal 138 7" xfId="10665"/>
    <cellStyle name="Normal 139" xfId="1456"/>
    <cellStyle name="Normal 139 2" xfId="2803"/>
    <cellStyle name="Normal 139 2 2" xfId="3849"/>
    <cellStyle name="Normal 139 2 2 2" xfId="5974"/>
    <cellStyle name="Normal 139 2 2 2 2" xfId="10130"/>
    <cellStyle name="Normal 139 2 2 2 2 2" xfId="26727"/>
    <cellStyle name="Normal 139 2 2 2 2 3" xfId="18430"/>
    <cellStyle name="Normal 139 2 2 2 3" xfId="22587"/>
    <cellStyle name="Normal 139 2 2 2 4" xfId="14290"/>
    <cellStyle name="Normal 139 2 2 3" xfId="8058"/>
    <cellStyle name="Normal 139 2 2 3 2" xfId="24655"/>
    <cellStyle name="Normal 139 2 2 3 3" xfId="16358"/>
    <cellStyle name="Normal 139 2 2 4" xfId="20515"/>
    <cellStyle name="Normal 139 2 2 5" xfId="12218"/>
    <cellStyle name="Normal 139 2 3" xfId="4940"/>
    <cellStyle name="Normal 139 2 3 2" xfId="9096"/>
    <cellStyle name="Normal 139 2 3 2 2" xfId="25693"/>
    <cellStyle name="Normal 139 2 3 2 3" xfId="17396"/>
    <cellStyle name="Normal 139 2 3 3" xfId="21553"/>
    <cellStyle name="Normal 139 2 3 4" xfId="13256"/>
    <cellStyle name="Normal 139 2 4" xfId="7024"/>
    <cellStyle name="Normal 139 2 4 2" xfId="23621"/>
    <cellStyle name="Normal 139 2 4 3" xfId="15324"/>
    <cellStyle name="Normal 139 2 5" xfId="19481"/>
    <cellStyle name="Normal 139 2 6" xfId="11184"/>
    <cellStyle name="Normal 139 3" xfId="3331"/>
    <cellStyle name="Normal 139 3 2" xfId="5459"/>
    <cellStyle name="Normal 139 3 2 2" xfId="9615"/>
    <cellStyle name="Normal 139 3 2 2 2" xfId="26212"/>
    <cellStyle name="Normal 139 3 2 2 3" xfId="17915"/>
    <cellStyle name="Normal 139 3 2 3" xfId="22072"/>
    <cellStyle name="Normal 139 3 2 4" xfId="13775"/>
    <cellStyle name="Normal 139 3 3" xfId="7543"/>
    <cellStyle name="Normal 139 3 3 2" xfId="24140"/>
    <cellStyle name="Normal 139 3 3 3" xfId="15843"/>
    <cellStyle name="Normal 139 3 4" xfId="20000"/>
    <cellStyle name="Normal 139 3 5" xfId="11703"/>
    <cellStyle name="Normal 139 4" xfId="4411"/>
    <cellStyle name="Normal 139 4 2" xfId="8579"/>
    <cellStyle name="Normal 139 4 2 2" xfId="25176"/>
    <cellStyle name="Normal 139 4 2 3" xfId="16879"/>
    <cellStyle name="Normal 139 4 3" xfId="21036"/>
    <cellStyle name="Normal 139 4 4" xfId="12739"/>
    <cellStyle name="Normal 139 5" xfId="6502"/>
    <cellStyle name="Normal 139 5 2" xfId="23106"/>
    <cellStyle name="Normal 139 5 3" xfId="14809"/>
    <cellStyle name="Normal 139 6" xfId="18963"/>
    <cellStyle name="Normal 139 7" xfId="10666"/>
    <cellStyle name="Normal 14" xfId="1457"/>
    <cellStyle name="Normal 14 10" xfId="10667"/>
    <cellStyle name="Normal 14 2" xfId="1458"/>
    <cellStyle name="Normal 14 2 2" xfId="1459"/>
    <cellStyle name="Normal 14 2 2 2" xfId="2806"/>
    <cellStyle name="Normal 14 2 2 2 2" xfId="3852"/>
    <cellStyle name="Normal 14 2 2 2 2 2" xfId="5977"/>
    <cellStyle name="Normal 14 2 2 2 2 2 2" xfId="10133"/>
    <cellStyle name="Normal 14 2 2 2 2 2 2 2" xfId="26730"/>
    <cellStyle name="Normal 14 2 2 2 2 2 2 3" xfId="18433"/>
    <cellStyle name="Normal 14 2 2 2 2 2 3" xfId="22590"/>
    <cellStyle name="Normal 14 2 2 2 2 2 4" xfId="14293"/>
    <cellStyle name="Normal 14 2 2 2 2 3" xfId="8061"/>
    <cellStyle name="Normal 14 2 2 2 2 3 2" xfId="24658"/>
    <cellStyle name="Normal 14 2 2 2 2 3 3" xfId="16361"/>
    <cellStyle name="Normal 14 2 2 2 2 4" xfId="20518"/>
    <cellStyle name="Normal 14 2 2 2 2 5" xfId="12221"/>
    <cellStyle name="Normal 14 2 2 2 3" xfId="4943"/>
    <cellStyle name="Normal 14 2 2 2 3 2" xfId="9099"/>
    <cellStyle name="Normal 14 2 2 2 3 2 2" xfId="25696"/>
    <cellStyle name="Normal 14 2 2 2 3 2 3" xfId="17399"/>
    <cellStyle name="Normal 14 2 2 2 3 3" xfId="21556"/>
    <cellStyle name="Normal 14 2 2 2 3 4" xfId="13259"/>
    <cellStyle name="Normal 14 2 2 2 4" xfId="7027"/>
    <cellStyle name="Normal 14 2 2 2 4 2" xfId="23624"/>
    <cellStyle name="Normal 14 2 2 2 4 3" xfId="15327"/>
    <cellStyle name="Normal 14 2 2 2 5" xfId="19484"/>
    <cellStyle name="Normal 14 2 2 2 6" xfId="11187"/>
    <cellStyle name="Normal 14 2 2 3" xfId="3334"/>
    <cellStyle name="Normal 14 2 2 3 2" xfId="5462"/>
    <cellStyle name="Normal 14 2 2 3 2 2" xfId="9618"/>
    <cellStyle name="Normal 14 2 2 3 2 2 2" xfId="26215"/>
    <cellStyle name="Normal 14 2 2 3 2 2 3" xfId="17918"/>
    <cellStyle name="Normal 14 2 2 3 2 3" xfId="22075"/>
    <cellStyle name="Normal 14 2 2 3 2 4" xfId="13778"/>
    <cellStyle name="Normal 14 2 2 3 3" xfId="7546"/>
    <cellStyle name="Normal 14 2 2 3 3 2" xfId="24143"/>
    <cellStyle name="Normal 14 2 2 3 3 3" xfId="15846"/>
    <cellStyle name="Normal 14 2 2 3 4" xfId="20003"/>
    <cellStyle name="Normal 14 2 2 3 5" xfId="11706"/>
    <cellStyle name="Normal 14 2 2 4" xfId="4414"/>
    <cellStyle name="Normal 14 2 2 4 2" xfId="8582"/>
    <cellStyle name="Normal 14 2 2 4 2 2" xfId="25179"/>
    <cellStyle name="Normal 14 2 2 4 2 3" xfId="16882"/>
    <cellStyle name="Normal 14 2 2 4 3" xfId="21039"/>
    <cellStyle name="Normal 14 2 2 4 4" xfId="12742"/>
    <cellStyle name="Normal 14 2 2 5" xfId="6505"/>
    <cellStyle name="Normal 14 2 2 5 2" xfId="23109"/>
    <cellStyle name="Normal 14 2 2 5 3" xfId="14812"/>
    <cellStyle name="Normal 14 2 2 6" xfId="18966"/>
    <cellStyle name="Normal 14 2 2 7" xfId="10669"/>
    <cellStyle name="Normal 14 2 3" xfId="2805"/>
    <cellStyle name="Normal 14 2 3 2" xfId="3851"/>
    <cellStyle name="Normal 14 2 3 2 2" xfId="5976"/>
    <cellStyle name="Normal 14 2 3 2 2 2" xfId="10132"/>
    <cellStyle name="Normal 14 2 3 2 2 2 2" xfId="26729"/>
    <cellStyle name="Normal 14 2 3 2 2 2 3" xfId="18432"/>
    <cellStyle name="Normal 14 2 3 2 2 3" xfId="22589"/>
    <cellStyle name="Normal 14 2 3 2 2 4" xfId="14292"/>
    <cellStyle name="Normal 14 2 3 2 3" xfId="8060"/>
    <cellStyle name="Normal 14 2 3 2 3 2" xfId="24657"/>
    <cellStyle name="Normal 14 2 3 2 3 3" xfId="16360"/>
    <cellStyle name="Normal 14 2 3 2 4" xfId="20517"/>
    <cellStyle name="Normal 14 2 3 2 5" xfId="12220"/>
    <cellStyle name="Normal 14 2 3 3" xfId="4942"/>
    <cellStyle name="Normal 14 2 3 3 2" xfId="9098"/>
    <cellStyle name="Normal 14 2 3 3 2 2" xfId="25695"/>
    <cellStyle name="Normal 14 2 3 3 2 3" xfId="17398"/>
    <cellStyle name="Normal 14 2 3 3 3" xfId="21555"/>
    <cellStyle name="Normal 14 2 3 3 4" xfId="13258"/>
    <cellStyle name="Normal 14 2 3 4" xfId="7026"/>
    <cellStyle name="Normal 14 2 3 4 2" xfId="23623"/>
    <cellStyle name="Normal 14 2 3 4 3" xfId="15326"/>
    <cellStyle name="Normal 14 2 3 5" xfId="19483"/>
    <cellStyle name="Normal 14 2 3 6" xfId="11186"/>
    <cellStyle name="Normal 14 2 4" xfId="3333"/>
    <cellStyle name="Normal 14 2 4 2" xfId="5461"/>
    <cellStyle name="Normal 14 2 4 2 2" xfId="9617"/>
    <cellStyle name="Normal 14 2 4 2 2 2" xfId="26214"/>
    <cellStyle name="Normal 14 2 4 2 2 3" xfId="17917"/>
    <cellStyle name="Normal 14 2 4 2 3" xfId="22074"/>
    <cellStyle name="Normal 14 2 4 2 4" xfId="13777"/>
    <cellStyle name="Normal 14 2 4 3" xfId="7545"/>
    <cellStyle name="Normal 14 2 4 3 2" xfId="24142"/>
    <cellStyle name="Normal 14 2 4 3 3" xfId="15845"/>
    <cellStyle name="Normal 14 2 4 4" xfId="20002"/>
    <cellStyle name="Normal 14 2 4 5" xfId="11705"/>
    <cellStyle name="Normal 14 2 5" xfId="4413"/>
    <cellStyle name="Normal 14 2 5 2" xfId="8581"/>
    <cellStyle name="Normal 14 2 5 2 2" xfId="25178"/>
    <cellStyle name="Normal 14 2 5 2 3" xfId="16881"/>
    <cellStyle name="Normal 14 2 5 3" xfId="21038"/>
    <cellStyle name="Normal 14 2 5 4" xfId="12741"/>
    <cellStyle name="Normal 14 2 6" xfId="6504"/>
    <cellStyle name="Normal 14 2 6 2" xfId="23108"/>
    <cellStyle name="Normal 14 2 6 3" xfId="14811"/>
    <cellStyle name="Normal 14 2 7" xfId="18965"/>
    <cellStyle name="Normal 14 2 8" xfId="10668"/>
    <cellStyle name="Normal 14 3" xfId="1460"/>
    <cellStyle name="Normal 14 3 2" xfId="1461"/>
    <cellStyle name="Normal 14 3 2 2" xfId="2808"/>
    <cellStyle name="Normal 14 3 2 2 2" xfId="3854"/>
    <cellStyle name="Normal 14 3 2 2 2 2" xfId="5979"/>
    <cellStyle name="Normal 14 3 2 2 2 2 2" xfId="10135"/>
    <cellStyle name="Normal 14 3 2 2 2 2 2 2" xfId="26732"/>
    <cellStyle name="Normal 14 3 2 2 2 2 2 3" xfId="18435"/>
    <cellStyle name="Normal 14 3 2 2 2 2 3" xfId="22592"/>
    <cellStyle name="Normal 14 3 2 2 2 2 4" xfId="14295"/>
    <cellStyle name="Normal 14 3 2 2 2 3" xfId="8063"/>
    <cellStyle name="Normal 14 3 2 2 2 3 2" xfId="24660"/>
    <cellStyle name="Normal 14 3 2 2 2 3 3" xfId="16363"/>
    <cellStyle name="Normal 14 3 2 2 2 4" xfId="20520"/>
    <cellStyle name="Normal 14 3 2 2 2 5" xfId="12223"/>
    <cellStyle name="Normal 14 3 2 2 3" xfId="4945"/>
    <cellStyle name="Normal 14 3 2 2 3 2" xfId="9101"/>
    <cellStyle name="Normal 14 3 2 2 3 2 2" xfId="25698"/>
    <cellStyle name="Normal 14 3 2 2 3 2 3" xfId="17401"/>
    <cellStyle name="Normal 14 3 2 2 3 3" xfId="21558"/>
    <cellStyle name="Normal 14 3 2 2 3 4" xfId="13261"/>
    <cellStyle name="Normal 14 3 2 2 4" xfId="7029"/>
    <cellStyle name="Normal 14 3 2 2 4 2" xfId="23626"/>
    <cellStyle name="Normal 14 3 2 2 4 3" xfId="15329"/>
    <cellStyle name="Normal 14 3 2 2 5" xfId="19486"/>
    <cellStyle name="Normal 14 3 2 2 6" xfId="11189"/>
    <cellStyle name="Normal 14 3 2 3" xfId="3336"/>
    <cellStyle name="Normal 14 3 2 3 2" xfId="5464"/>
    <cellStyle name="Normal 14 3 2 3 2 2" xfId="9620"/>
    <cellStyle name="Normal 14 3 2 3 2 2 2" xfId="26217"/>
    <cellStyle name="Normal 14 3 2 3 2 2 3" xfId="17920"/>
    <cellStyle name="Normal 14 3 2 3 2 3" xfId="22077"/>
    <cellStyle name="Normal 14 3 2 3 2 4" xfId="13780"/>
    <cellStyle name="Normal 14 3 2 3 3" xfId="7548"/>
    <cellStyle name="Normal 14 3 2 3 3 2" xfId="24145"/>
    <cellStyle name="Normal 14 3 2 3 3 3" xfId="15848"/>
    <cellStyle name="Normal 14 3 2 3 4" xfId="20005"/>
    <cellStyle name="Normal 14 3 2 3 5" xfId="11708"/>
    <cellStyle name="Normal 14 3 2 4" xfId="4416"/>
    <cellStyle name="Normal 14 3 2 4 2" xfId="8584"/>
    <cellStyle name="Normal 14 3 2 4 2 2" xfId="25181"/>
    <cellStyle name="Normal 14 3 2 4 2 3" xfId="16884"/>
    <cellStyle name="Normal 14 3 2 4 3" xfId="21041"/>
    <cellStyle name="Normal 14 3 2 4 4" xfId="12744"/>
    <cellStyle name="Normal 14 3 2 5" xfId="6507"/>
    <cellStyle name="Normal 14 3 2 5 2" xfId="23111"/>
    <cellStyle name="Normal 14 3 2 5 3" xfId="14814"/>
    <cellStyle name="Normal 14 3 2 6" xfId="18968"/>
    <cellStyle name="Normal 14 3 2 7" xfId="10671"/>
    <cellStyle name="Normal 14 3 3" xfId="2807"/>
    <cellStyle name="Normal 14 3 3 2" xfId="3853"/>
    <cellStyle name="Normal 14 3 3 2 2" xfId="5978"/>
    <cellStyle name="Normal 14 3 3 2 2 2" xfId="10134"/>
    <cellStyle name="Normal 14 3 3 2 2 2 2" xfId="26731"/>
    <cellStyle name="Normal 14 3 3 2 2 2 3" xfId="18434"/>
    <cellStyle name="Normal 14 3 3 2 2 3" xfId="22591"/>
    <cellStyle name="Normal 14 3 3 2 2 4" xfId="14294"/>
    <cellStyle name="Normal 14 3 3 2 3" xfId="8062"/>
    <cellStyle name="Normal 14 3 3 2 3 2" xfId="24659"/>
    <cellStyle name="Normal 14 3 3 2 3 3" xfId="16362"/>
    <cellStyle name="Normal 14 3 3 2 4" xfId="20519"/>
    <cellStyle name="Normal 14 3 3 2 5" xfId="12222"/>
    <cellStyle name="Normal 14 3 3 3" xfId="4944"/>
    <cellStyle name="Normal 14 3 3 3 2" xfId="9100"/>
    <cellStyle name="Normal 14 3 3 3 2 2" xfId="25697"/>
    <cellStyle name="Normal 14 3 3 3 2 3" xfId="17400"/>
    <cellStyle name="Normal 14 3 3 3 3" xfId="21557"/>
    <cellStyle name="Normal 14 3 3 3 4" xfId="13260"/>
    <cellStyle name="Normal 14 3 3 4" xfId="7028"/>
    <cellStyle name="Normal 14 3 3 4 2" xfId="23625"/>
    <cellStyle name="Normal 14 3 3 4 3" xfId="15328"/>
    <cellStyle name="Normal 14 3 3 5" xfId="19485"/>
    <cellStyle name="Normal 14 3 3 6" xfId="11188"/>
    <cellStyle name="Normal 14 3 4" xfId="3335"/>
    <cellStyle name="Normal 14 3 4 2" xfId="5463"/>
    <cellStyle name="Normal 14 3 4 2 2" xfId="9619"/>
    <cellStyle name="Normal 14 3 4 2 2 2" xfId="26216"/>
    <cellStyle name="Normal 14 3 4 2 2 3" xfId="17919"/>
    <cellStyle name="Normal 14 3 4 2 3" xfId="22076"/>
    <cellStyle name="Normal 14 3 4 2 4" xfId="13779"/>
    <cellStyle name="Normal 14 3 4 3" xfId="7547"/>
    <cellStyle name="Normal 14 3 4 3 2" xfId="24144"/>
    <cellStyle name="Normal 14 3 4 3 3" xfId="15847"/>
    <cellStyle name="Normal 14 3 4 4" xfId="20004"/>
    <cellStyle name="Normal 14 3 4 5" xfId="11707"/>
    <cellStyle name="Normal 14 3 5" xfId="4415"/>
    <cellStyle name="Normal 14 3 5 2" xfId="8583"/>
    <cellStyle name="Normal 14 3 5 2 2" xfId="25180"/>
    <cellStyle name="Normal 14 3 5 2 3" xfId="16883"/>
    <cellStyle name="Normal 14 3 5 3" xfId="21040"/>
    <cellStyle name="Normal 14 3 5 4" xfId="12743"/>
    <cellStyle name="Normal 14 3 6" xfId="6506"/>
    <cellStyle name="Normal 14 3 6 2" xfId="23110"/>
    <cellStyle name="Normal 14 3 6 3" xfId="14813"/>
    <cellStyle name="Normal 14 3 7" xfId="18967"/>
    <cellStyle name="Normal 14 3 8" xfId="10670"/>
    <cellStyle name="Normal 14 4" xfId="1462"/>
    <cellStyle name="Normal 14 4 2" xfId="2809"/>
    <cellStyle name="Normal 14 4 2 2" xfId="3855"/>
    <cellStyle name="Normal 14 4 2 2 2" xfId="5980"/>
    <cellStyle name="Normal 14 4 2 2 2 2" xfId="10136"/>
    <cellStyle name="Normal 14 4 2 2 2 2 2" xfId="26733"/>
    <cellStyle name="Normal 14 4 2 2 2 2 3" xfId="18436"/>
    <cellStyle name="Normal 14 4 2 2 2 3" xfId="22593"/>
    <cellStyle name="Normal 14 4 2 2 2 4" xfId="14296"/>
    <cellStyle name="Normal 14 4 2 2 3" xfId="8064"/>
    <cellStyle name="Normal 14 4 2 2 3 2" xfId="24661"/>
    <cellStyle name="Normal 14 4 2 2 3 3" xfId="16364"/>
    <cellStyle name="Normal 14 4 2 2 4" xfId="20521"/>
    <cellStyle name="Normal 14 4 2 2 5" xfId="12224"/>
    <cellStyle name="Normal 14 4 2 3" xfId="4946"/>
    <cellStyle name="Normal 14 4 2 3 2" xfId="9102"/>
    <cellStyle name="Normal 14 4 2 3 2 2" xfId="25699"/>
    <cellStyle name="Normal 14 4 2 3 2 3" xfId="17402"/>
    <cellStyle name="Normal 14 4 2 3 3" xfId="21559"/>
    <cellStyle name="Normal 14 4 2 3 4" xfId="13262"/>
    <cellStyle name="Normal 14 4 2 4" xfId="7030"/>
    <cellStyle name="Normal 14 4 2 4 2" xfId="23627"/>
    <cellStyle name="Normal 14 4 2 4 3" xfId="15330"/>
    <cellStyle name="Normal 14 4 2 5" xfId="19487"/>
    <cellStyle name="Normal 14 4 2 6" xfId="11190"/>
    <cellStyle name="Normal 14 4 3" xfId="3337"/>
    <cellStyle name="Normal 14 4 3 2" xfId="5465"/>
    <cellStyle name="Normal 14 4 3 2 2" xfId="9621"/>
    <cellStyle name="Normal 14 4 3 2 2 2" xfId="26218"/>
    <cellStyle name="Normal 14 4 3 2 2 3" xfId="17921"/>
    <cellStyle name="Normal 14 4 3 2 3" xfId="22078"/>
    <cellStyle name="Normal 14 4 3 2 4" xfId="13781"/>
    <cellStyle name="Normal 14 4 3 3" xfId="7549"/>
    <cellStyle name="Normal 14 4 3 3 2" xfId="24146"/>
    <cellStyle name="Normal 14 4 3 3 3" xfId="15849"/>
    <cellStyle name="Normal 14 4 3 4" xfId="20006"/>
    <cellStyle name="Normal 14 4 3 5" xfId="11709"/>
    <cellStyle name="Normal 14 4 4" xfId="4417"/>
    <cellStyle name="Normal 14 4 4 2" xfId="8585"/>
    <cellStyle name="Normal 14 4 4 2 2" xfId="25182"/>
    <cellStyle name="Normal 14 4 4 2 3" xfId="16885"/>
    <cellStyle name="Normal 14 4 4 3" xfId="21042"/>
    <cellStyle name="Normal 14 4 4 4" xfId="12745"/>
    <cellStyle name="Normal 14 4 5" xfId="6508"/>
    <cellStyle name="Normal 14 4 5 2" xfId="23112"/>
    <cellStyle name="Normal 14 4 5 3" xfId="14815"/>
    <cellStyle name="Normal 14 4 6" xfId="18969"/>
    <cellStyle name="Normal 14 4 7" xfId="10672"/>
    <cellStyle name="Normal 14 5" xfId="2804"/>
    <cellStyle name="Normal 14 5 2" xfId="3850"/>
    <cellStyle name="Normal 14 5 2 2" xfId="5975"/>
    <cellStyle name="Normal 14 5 2 2 2" xfId="10131"/>
    <cellStyle name="Normal 14 5 2 2 2 2" xfId="26728"/>
    <cellStyle name="Normal 14 5 2 2 2 3" xfId="18431"/>
    <cellStyle name="Normal 14 5 2 2 3" xfId="22588"/>
    <cellStyle name="Normal 14 5 2 2 4" xfId="14291"/>
    <cellStyle name="Normal 14 5 2 3" xfId="8059"/>
    <cellStyle name="Normal 14 5 2 3 2" xfId="24656"/>
    <cellStyle name="Normal 14 5 2 3 3" xfId="16359"/>
    <cellStyle name="Normal 14 5 2 4" xfId="20516"/>
    <cellStyle name="Normal 14 5 2 5" xfId="12219"/>
    <cellStyle name="Normal 14 5 3" xfId="4941"/>
    <cellStyle name="Normal 14 5 3 2" xfId="9097"/>
    <cellStyle name="Normal 14 5 3 2 2" xfId="25694"/>
    <cellStyle name="Normal 14 5 3 2 3" xfId="17397"/>
    <cellStyle name="Normal 14 5 3 3" xfId="21554"/>
    <cellStyle name="Normal 14 5 3 4" xfId="13257"/>
    <cellStyle name="Normal 14 5 4" xfId="7025"/>
    <cellStyle name="Normal 14 5 4 2" xfId="23622"/>
    <cellStyle name="Normal 14 5 4 3" xfId="15325"/>
    <cellStyle name="Normal 14 5 5" xfId="19482"/>
    <cellStyle name="Normal 14 5 6" xfId="11185"/>
    <cellStyle name="Normal 14 6" xfId="3332"/>
    <cellStyle name="Normal 14 6 2" xfId="5460"/>
    <cellStyle name="Normal 14 6 2 2" xfId="9616"/>
    <cellStyle name="Normal 14 6 2 2 2" xfId="26213"/>
    <cellStyle name="Normal 14 6 2 2 3" xfId="17916"/>
    <cellStyle name="Normal 14 6 2 3" xfId="22073"/>
    <cellStyle name="Normal 14 6 2 4" xfId="13776"/>
    <cellStyle name="Normal 14 6 3" xfId="7544"/>
    <cellStyle name="Normal 14 6 3 2" xfId="24141"/>
    <cellStyle name="Normal 14 6 3 3" xfId="15844"/>
    <cellStyle name="Normal 14 6 4" xfId="20001"/>
    <cellStyle name="Normal 14 6 5" xfId="11704"/>
    <cellStyle name="Normal 14 7" xfId="4412"/>
    <cellStyle name="Normal 14 7 2" xfId="8580"/>
    <cellStyle name="Normal 14 7 2 2" xfId="25177"/>
    <cellStyle name="Normal 14 7 2 3" xfId="16880"/>
    <cellStyle name="Normal 14 7 3" xfId="21037"/>
    <cellStyle name="Normal 14 7 4" xfId="12740"/>
    <cellStyle name="Normal 14 8" xfId="6503"/>
    <cellStyle name="Normal 14 8 2" xfId="23107"/>
    <cellStyle name="Normal 14 8 3" xfId="14810"/>
    <cellStyle name="Normal 14 9" xfId="18964"/>
    <cellStyle name="Normal 140" xfId="1463"/>
    <cellStyle name="Normal 140 2" xfId="2810"/>
    <cellStyle name="Normal 140 2 2" xfId="3856"/>
    <cellStyle name="Normal 140 2 2 2" xfId="5981"/>
    <cellStyle name="Normal 140 2 2 2 2" xfId="10137"/>
    <cellStyle name="Normal 140 2 2 2 2 2" xfId="26734"/>
    <cellStyle name="Normal 140 2 2 2 2 3" xfId="18437"/>
    <cellStyle name="Normal 140 2 2 2 3" xfId="22594"/>
    <cellStyle name="Normal 140 2 2 2 4" xfId="14297"/>
    <cellStyle name="Normal 140 2 2 3" xfId="8065"/>
    <cellStyle name="Normal 140 2 2 3 2" xfId="24662"/>
    <cellStyle name="Normal 140 2 2 3 3" xfId="16365"/>
    <cellStyle name="Normal 140 2 2 4" xfId="20522"/>
    <cellStyle name="Normal 140 2 2 5" xfId="12225"/>
    <cellStyle name="Normal 140 2 3" xfId="4947"/>
    <cellStyle name="Normal 140 2 3 2" xfId="9103"/>
    <cellStyle name="Normal 140 2 3 2 2" xfId="25700"/>
    <cellStyle name="Normal 140 2 3 2 3" xfId="17403"/>
    <cellStyle name="Normal 140 2 3 3" xfId="21560"/>
    <cellStyle name="Normal 140 2 3 4" xfId="13263"/>
    <cellStyle name="Normal 140 2 4" xfId="7031"/>
    <cellStyle name="Normal 140 2 4 2" xfId="23628"/>
    <cellStyle name="Normal 140 2 4 3" xfId="15331"/>
    <cellStyle name="Normal 140 2 5" xfId="19488"/>
    <cellStyle name="Normal 140 2 6" xfId="11191"/>
    <cellStyle name="Normal 140 3" xfId="3338"/>
    <cellStyle name="Normal 140 3 2" xfId="5466"/>
    <cellStyle name="Normal 140 3 2 2" xfId="9622"/>
    <cellStyle name="Normal 140 3 2 2 2" xfId="26219"/>
    <cellStyle name="Normal 140 3 2 2 3" xfId="17922"/>
    <cellStyle name="Normal 140 3 2 3" xfId="22079"/>
    <cellStyle name="Normal 140 3 2 4" xfId="13782"/>
    <cellStyle name="Normal 140 3 3" xfId="7550"/>
    <cellStyle name="Normal 140 3 3 2" xfId="24147"/>
    <cellStyle name="Normal 140 3 3 3" xfId="15850"/>
    <cellStyle name="Normal 140 3 4" xfId="20007"/>
    <cellStyle name="Normal 140 3 5" xfId="11710"/>
    <cellStyle name="Normal 140 4" xfId="4418"/>
    <cellStyle name="Normal 140 4 2" xfId="8586"/>
    <cellStyle name="Normal 140 4 2 2" xfId="25183"/>
    <cellStyle name="Normal 140 4 2 3" xfId="16886"/>
    <cellStyle name="Normal 140 4 3" xfId="21043"/>
    <cellStyle name="Normal 140 4 4" xfId="12746"/>
    <cellStyle name="Normal 140 5" xfId="6509"/>
    <cellStyle name="Normal 140 5 2" xfId="23113"/>
    <cellStyle name="Normal 140 5 3" xfId="14816"/>
    <cellStyle name="Normal 140 6" xfId="18970"/>
    <cellStyle name="Normal 140 7" xfId="10673"/>
    <cellStyle name="Normal 141" xfId="1464"/>
    <cellStyle name="Normal 141 2" xfId="2811"/>
    <cellStyle name="Normal 141 2 2" xfId="3857"/>
    <cellStyle name="Normal 141 2 2 2" xfId="5982"/>
    <cellStyle name="Normal 141 2 2 2 2" xfId="10138"/>
    <cellStyle name="Normal 141 2 2 2 2 2" xfId="26735"/>
    <cellStyle name="Normal 141 2 2 2 2 3" xfId="18438"/>
    <cellStyle name="Normal 141 2 2 2 3" xfId="22595"/>
    <cellStyle name="Normal 141 2 2 2 4" xfId="14298"/>
    <cellStyle name="Normal 141 2 2 3" xfId="8066"/>
    <cellStyle name="Normal 141 2 2 3 2" xfId="24663"/>
    <cellStyle name="Normal 141 2 2 3 3" xfId="16366"/>
    <cellStyle name="Normal 141 2 2 4" xfId="20523"/>
    <cellStyle name="Normal 141 2 2 5" xfId="12226"/>
    <cellStyle name="Normal 141 2 3" xfId="4948"/>
    <cellStyle name="Normal 141 2 3 2" xfId="9104"/>
    <cellStyle name="Normal 141 2 3 2 2" xfId="25701"/>
    <cellStyle name="Normal 141 2 3 2 3" xfId="17404"/>
    <cellStyle name="Normal 141 2 3 3" xfId="21561"/>
    <cellStyle name="Normal 141 2 3 4" xfId="13264"/>
    <cellStyle name="Normal 141 2 4" xfId="7032"/>
    <cellStyle name="Normal 141 2 4 2" xfId="23629"/>
    <cellStyle name="Normal 141 2 4 3" xfId="15332"/>
    <cellStyle name="Normal 141 2 5" xfId="19489"/>
    <cellStyle name="Normal 141 2 6" xfId="11192"/>
    <cellStyle name="Normal 141 3" xfId="3339"/>
    <cellStyle name="Normal 141 3 2" xfId="5467"/>
    <cellStyle name="Normal 141 3 2 2" xfId="9623"/>
    <cellStyle name="Normal 141 3 2 2 2" xfId="26220"/>
    <cellStyle name="Normal 141 3 2 2 3" xfId="17923"/>
    <cellStyle name="Normal 141 3 2 3" xfId="22080"/>
    <cellStyle name="Normal 141 3 2 4" xfId="13783"/>
    <cellStyle name="Normal 141 3 3" xfId="7551"/>
    <cellStyle name="Normal 141 3 3 2" xfId="24148"/>
    <cellStyle name="Normal 141 3 3 3" xfId="15851"/>
    <cellStyle name="Normal 141 3 4" xfId="20008"/>
    <cellStyle name="Normal 141 3 5" xfId="11711"/>
    <cellStyle name="Normal 141 4" xfId="4419"/>
    <cellStyle name="Normal 141 4 2" xfId="8587"/>
    <cellStyle name="Normal 141 4 2 2" xfId="25184"/>
    <cellStyle name="Normal 141 4 2 3" xfId="16887"/>
    <cellStyle name="Normal 141 4 3" xfId="21044"/>
    <cellStyle name="Normal 141 4 4" xfId="12747"/>
    <cellStyle name="Normal 141 5" xfId="6510"/>
    <cellStyle name="Normal 141 5 2" xfId="23114"/>
    <cellStyle name="Normal 141 5 3" xfId="14817"/>
    <cellStyle name="Normal 141 6" xfId="18971"/>
    <cellStyle name="Normal 141 7" xfId="10674"/>
    <cellStyle name="Normal 142" xfId="1465"/>
    <cellStyle name="Normal 142 2" xfId="2812"/>
    <cellStyle name="Normal 142 2 2" xfId="3858"/>
    <cellStyle name="Normal 142 2 2 2" xfId="5983"/>
    <cellStyle name="Normal 142 2 2 2 2" xfId="10139"/>
    <cellStyle name="Normal 142 2 2 2 2 2" xfId="26736"/>
    <cellStyle name="Normal 142 2 2 2 2 3" xfId="18439"/>
    <cellStyle name="Normal 142 2 2 2 3" xfId="22596"/>
    <cellStyle name="Normal 142 2 2 2 4" xfId="14299"/>
    <cellStyle name="Normal 142 2 2 3" xfId="8067"/>
    <cellStyle name="Normal 142 2 2 3 2" xfId="24664"/>
    <cellStyle name="Normal 142 2 2 3 3" xfId="16367"/>
    <cellStyle name="Normal 142 2 2 4" xfId="20524"/>
    <cellStyle name="Normal 142 2 2 5" xfId="12227"/>
    <cellStyle name="Normal 142 2 3" xfId="4949"/>
    <cellStyle name="Normal 142 2 3 2" xfId="9105"/>
    <cellStyle name="Normal 142 2 3 2 2" xfId="25702"/>
    <cellStyle name="Normal 142 2 3 2 3" xfId="17405"/>
    <cellStyle name="Normal 142 2 3 3" xfId="21562"/>
    <cellStyle name="Normal 142 2 3 4" xfId="13265"/>
    <cellStyle name="Normal 142 2 4" xfId="7033"/>
    <cellStyle name="Normal 142 2 4 2" xfId="23630"/>
    <cellStyle name="Normal 142 2 4 3" xfId="15333"/>
    <cellStyle name="Normal 142 2 5" xfId="19490"/>
    <cellStyle name="Normal 142 2 6" xfId="11193"/>
    <cellStyle name="Normal 142 3" xfId="3340"/>
    <cellStyle name="Normal 142 3 2" xfId="5468"/>
    <cellStyle name="Normal 142 3 2 2" xfId="9624"/>
    <cellStyle name="Normal 142 3 2 2 2" xfId="26221"/>
    <cellStyle name="Normal 142 3 2 2 3" xfId="17924"/>
    <cellStyle name="Normal 142 3 2 3" xfId="22081"/>
    <cellStyle name="Normal 142 3 2 4" xfId="13784"/>
    <cellStyle name="Normal 142 3 3" xfId="7552"/>
    <cellStyle name="Normal 142 3 3 2" xfId="24149"/>
    <cellStyle name="Normal 142 3 3 3" xfId="15852"/>
    <cellStyle name="Normal 142 3 4" xfId="20009"/>
    <cellStyle name="Normal 142 3 5" xfId="11712"/>
    <cellStyle name="Normal 142 4" xfId="4420"/>
    <cellStyle name="Normal 142 4 2" xfId="8588"/>
    <cellStyle name="Normal 142 4 2 2" xfId="25185"/>
    <cellStyle name="Normal 142 4 2 3" xfId="16888"/>
    <cellStyle name="Normal 142 4 3" xfId="21045"/>
    <cellStyle name="Normal 142 4 4" xfId="12748"/>
    <cellStyle name="Normal 142 5" xfId="6511"/>
    <cellStyle name="Normal 142 5 2" xfId="23115"/>
    <cellStyle name="Normal 142 5 3" xfId="14818"/>
    <cellStyle name="Normal 142 6" xfId="18972"/>
    <cellStyle name="Normal 142 7" xfId="10675"/>
    <cellStyle name="Normal 143" xfId="1466"/>
    <cellStyle name="Normal 143 2" xfId="2813"/>
    <cellStyle name="Normal 143 2 2" xfId="3859"/>
    <cellStyle name="Normal 143 2 2 2" xfId="5984"/>
    <cellStyle name="Normal 143 2 2 2 2" xfId="10140"/>
    <cellStyle name="Normal 143 2 2 2 2 2" xfId="26737"/>
    <cellStyle name="Normal 143 2 2 2 2 3" xfId="18440"/>
    <cellStyle name="Normal 143 2 2 2 3" xfId="22597"/>
    <cellStyle name="Normal 143 2 2 2 4" xfId="14300"/>
    <cellStyle name="Normal 143 2 2 3" xfId="8068"/>
    <cellStyle name="Normal 143 2 2 3 2" xfId="24665"/>
    <cellStyle name="Normal 143 2 2 3 3" xfId="16368"/>
    <cellStyle name="Normal 143 2 2 4" xfId="20525"/>
    <cellStyle name="Normal 143 2 2 5" xfId="12228"/>
    <cellStyle name="Normal 143 2 3" xfId="4950"/>
    <cellStyle name="Normal 143 2 3 2" xfId="9106"/>
    <cellStyle name="Normal 143 2 3 2 2" xfId="25703"/>
    <cellStyle name="Normal 143 2 3 2 3" xfId="17406"/>
    <cellStyle name="Normal 143 2 3 3" xfId="21563"/>
    <cellStyle name="Normal 143 2 3 4" xfId="13266"/>
    <cellStyle name="Normal 143 2 4" xfId="7034"/>
    <cellStyle name="Normal 143 2 4 2" xfId="23631"/>
    <cellStyle name="Normal 143 2 4 3" xfId="15334"/>
    <cellStyle name="Normal 143 2 5" xfId="19491"/>
    <cellStyle name="Normal 143 2 6" xfId="11194"/>
    <cellStyle name="Normal 143 3" xfId="3341"/>
    <cellStyle name="Normal 143 3 2" xfId="5469"/>
    <cellStyle name="Normal 143 3 2 2" xfId="9625"/>
    <cellStyle name="Normal 143 3 2 2 2" xfId="26222"/>
    <cellStyle name="Normal 143 3 2 2 3" xfId="17925"/>
    <cellStyle name="Normal 143 3 2 3" xfId="22082"/>
    <cellStyle name="Normal 143 3 2 4" xfId="13785"/>
    <cellStyle name="Normal 143 3 3" xfId="7553"/>
    <cellStyle name="Normal 143 3 3 2" xfId="24150"/>
    <cellStyle name="Normal 143 3 3 3" xfId="15853"/>
    <cellStyle name="Normal 143 3 4" xfId="20010"/>
    <cellStyle name="Normal 143 3 5" xfId="11713"/>
    <cellStyle name="Normal 143 4" xfId="4421"/>
    <cellStyle name="Normal 143 4 2" xfId="8589"/>
    <cellStyle name="Normal 143 4 2 2" xfId="25186"/>
    <cellStyle name="Normal 143 4 2 3" xfId="16889"/>
    <cellStyle name="Normal 143 4 3" xfId="21046"/>
    <cellStyle name="Normal 143 4 4" xfId="12749"/>
    <cellStyle name="Normal 143 5" xfId="6512"/>
    <cellStyle name="Normal 143 5 2" xfId="23116"/>
    <cellStyle name="Normal 143 5 3" xfId="14819"/>
    <cellStyle name="Normal 143 6" xfId="18973"/>
    <cellStyle name="Normal 143 7" xfId="10676"/>
    <cellStyle name="Normal 144" xfId="1467"/>
    <cellStyle name="Normal 144 2" xfId="2814"/>
    <cellStyle name="Normal 144 2 2" xfId="3860"/>
    <cellStyle name="Normal 144 2 2 2" xfId="5985"/>
    <cellStyle name="Normal 144 2 2 2 2" xfId="10141"/>
    <cellStyle name="Normal 144 2 2 2 2 2" xfId="26738"/>
    <cellStyle name="Normal 144 2 2 2 2 3" xfId="18441"/>
    <cellStyle name="Normal 144 2 2 2 3" xfId="22598"/>
    <cellStyle name="Normal 144 2 2 2 4" xfId="14301"/>
    <cellStyle name="Normal 144 2 2 3" xfId="8069"/>
    <cellStyle name="Normal 144 2 2 3 2" xfId="24666"/>
    <cellStyle name="Normal 144 2 2 3 3" xfId="16369"/>
    <cellStyle name="Normal 144 2 2 4" xfId="20526"/>
    <cellStyle name="Normal 144 2 2 5" xfId="12229"/>
    <cellStyle name="Normal 144 2 3" xfId="4951"/>
    <cellStyle name="Normal 144 2 3 2" xfId="9107"/>
    <cellStyle name="Normal 144 2 3 2 2" xfId="25704"/>
    <cellStyle name="Normal 144 2 3 2 3" xfId="17407"/>
    <cellStyle name="Normal 144 2 3 3" xfId="21564"/>
    <cellStyle name="Normal 144 2 3 4" xfId="13267"/>
    <cellStyle name="Normal 144 2 4" xfId="7035"/>
    <cellStyle name="Normal 144 2 4 2" xfId="23632"/>
    <cellStyle name="Normal 144 2 4 3" xfId="15335"/>
    <cellStyle name="Normal 144 2 5" xfId="19492"/>
    <cellStyle name="Normal 144 2 6" xfId="11195"/>
    <cellStyle name="Normal 144 3" xfId="3342"/>
    <cellStyle name="Normal 144 3 2" xfId="5470"/>
    <cellStyle name="Normal 144 3 2 2" xfId="9626"/>
    <cellStyle name="Normal 144 3 2 2 2" xfId="26223"/>
    <cellStyle name="Normal 144 3 2 2 3" xfId="17926"/>
    <cellStyle name="Normal 144 3 2 3" xfId="22083"/>
    <cellStyle name="Normal 144 3 2 4" xfId="13786"/>
    <cellStyle name="Normal 144 3 3" xfId="7554"/>
    <cellStyle name="Normal 144 3 3 2" xfId="24151"/>
    <cellStyle name="Normal 144 3 3 3" xfId="15854"/>
    <cellStyle name="Normal 144 3 4" xfId="20011"/>
    <cellStyle name="Normal 144 3 5" xfId="11714"/>
    <cellStyle name="Normal 144 4" xfId="4422"/>
    <cellStyle name="Normal 144 4 2" xfId="8590"/>
    <cellStyle name="Normal 144 4 2 2" xfId="25187"/>
    <cellStyle name="Normal 144 4 2 3" xfId="16890"/>
    <cellStyle name="Normal 144 4 3" xfId="21047"/>
    <cellStyle name="Normal 144 4 4" xfId="12750"/>
    <cellStyle name="Normal 144 5" xfId="6513"/>
    <cellStyle name="Normal 144 5 2" xfId="23117"/>
    <cellStyle name="Normal 144 5 3" xfId="14820"/>
    <cellStyle name="Normal 144 6" xfId="18974"/>
    <cellStyle name="Normal 144 7" xfId="10677"/>
    <cellStyle name="Normal 145" xfId="1468"/>
    <cellStyle name="Normal 145 2" xfId="2815"/>
    <cellStyle name="Normal 145 2 2" xfId="3861"/>
    <cellStyle name="Normal 145 2 2 2" xfId="5986"/>
    <cellStyle name="Normal 145 2 2 2 2" xfId="10142"/>
    <cellStyle name="Normal 145 2 2 2 2 2" xfId="26739"/>
    <cellStyle name="Normal 145 2 2 2 2 3" xfId="18442"/>
    <cellStyle name="Normal 145 2 2 2 3" xfId="22599"/>
    <cellStyle name="Normal 145 2 2 2 4" xfId="14302"/>
    <cellStyle name="Normal 145 2 2 3" xfId="8070"/>
    <cellStyle name="Normal 145 2 2 3 2" xfId="24667"/>
    <cellStyle name="Normal 145 2 2 3 3" xfId="16370"/>
    <cellStyle name="Normal 145 2 2 4" xfId="20527"/>
    <cellStyle name="Normal 145 2 2 5" xfId="12230"/>
    <cellStyle name="Normal 145 2 3" xfId="4952"/>
    <cellStyle name="Normal 145 2 3 2" xfId="9108"/>
    <cellStyle name="Normal 145 2 3 2 2" xfId="25705"/>
    <cellStyle name="Normal 145 2 3 2 3" xfId="17408"/>
    <cellStyle name="Normal 145 2 3 3" xfId="21565"/>
    <cellStyle name="Normal 145 2 3 4" xfId="13268"/>
    <cellStyle name="Normal 145 2 4" xfId="7036"/>
    <cellStyle name="Normal 145 2 4 2" xfId="23633"/>
    <cellStyle name="Normal 145 2 4 3" xfId="15336"/>
    <cellStyle name="Normal 145 2 5" xfId="19493"/>
    <cellStyle name="Normal 145 2 6" xfId="11196"/>
    <cellStyle name="Normal 145 3" xfId="3343"/>
    <cellStyle name="Normal 145 3 2" xfId="5471"/>
    <cellStyle name="Normal 145 3 2 2" xfId="9627"/>
    <cellStyle name="Normal 145 3 2 2 2" xfId="26224"/>
    <cellStyle name="Normal 145 3 2 2 3" xfId="17927"/>
    <cellStyle name="Normal 145 3 2 3" xfId="22084"/>
    <cellStyle name="Normal 145 3 2 4" xfId="13787"/>
    <cellStyle name="Normal 145 3 3" xfId="7555"/>
    <cellStyle name="Normal 145 3 3 2" xfId="24152"/>
    <cellStyle name="Normal 145 3 3 3" xfId="15855"/>
    <cellStyle name="Normal 145 3 4" xfId="20012"/>
    <cellStyle name="Normal 145 3 5" xfId="11715"/>
    <cellStyle name="Normal 145 4" xfId="4423"/>
    <cellStyle name="Normal 145 4 2" xfId="8591"/>
    <cellStyle name="Normal 145 4 2 2" xfId="25188"/>
    <cellStyle name="Normal 145 4 2 3" xfId="16891"/>
    <cellStyle name="Normal 145 4 3" xfId="21048"/>
    <cellStyle name="Normal 145 4 4" xfId="12751"/>
    <cellStyle name="Normal 145 5" xfId="6514"/>
    <cellStyle name="Normal 145 5 2" xfId="23118"/>
    <cellStyle name="Normal 145 5 3" xfId="14821"/>
    <cellStyle name="Normal 145 6" xfId="18975"/>
    <cellStyle name="Normal 145 7" xfId="10678"/>
    <cellStyle name="Normal 146" xfId="1469"/>
    <cellStyle name="Normal 146 2" xfId="2816"/>
    <cellStyle name="Normal 146 2 2" xfId="3862"/>
    <cellStyle name="Normal 146 2 2 2" xfId="5987"/>
    <cellStyle name="Normal 146 2 2 2 2" xfId="10143"/>
    <cellStyle name="Normal 146 2 2 2 2 2" xfId="26740"/>
    <cellStyle name="Normal 146 2 2 2 2 3" xfId="18443"/>
    <cellStyle name="Normal 146 2 2 2 3" xfId="22600"/>
    <cellStyle name="Normal 146 2 2 2 4" xfId="14303"/>
    <cellStyle name="Normal 146 2 2 3" xfId="8071"/>
    <cellStyle name="Normal 146 2 2 3 2" xfId="24668"/>
    <cellStyle name="Normal 146 2 2 3 3" xfId="16371"/>
    <cellStyle name="Normal 146 2 2 4" xfId="20528"/>
    <cellStyle name="Normal 146 2 2 5" xfId="12231"/>
    <cellStyle name="Normal 146 2 3" xfId="4953"/>
    <cellStyle name="Normal 146 2 3 2" xfId="9109"/>
    <cellStyle name="Normal 146 2 3 2 2" xfId="25706"/>
    <cellStyle name="Normal 146 2 3 2 3" xfId="17409"/>
    <cellStyle name="Normal 146 2 3 3" xfId="21566"/>
    <cellStyle name="Normal 146 2 3 4" xfId="13269"/>
    <cellStyle name="Normal 146 2 4" xfId="7037"/>
    <cellStyle name="Normal 146 2 4 2" xfId="23634"/>
    <cellStyle name="Normal 146 2 4 3" xfId="15337"/>
    <cellStyle name="Normal 146 2 5" xfId="19494"/>
    <cellStyle name="Normal 146 2 6" xfId="11197"/>
    <cellStyle name="Normal 146 3" xfId="3344"/>
    <cellStyle name="Normal 146 3 2" xfId="5472"/>
    <cellStyle name="Normal 146 3 2 2" xfId="9628"/>
    <cellStyle name="Normal 146 3 2 2 2" xfId="26225"/>
    <cellStyle name="Normal 146 3 2 2 3" xfId="17928"/>
    <cellStyle name="Normal 146 3 2 3" xfId="22085"/>
    <cellStyle name="Normal 146 3 2 4" xfId="13788"/>
    <cellStyle name="Normal 146 3 3" xfId="7556"/>
    <cellStyle name="Normal 146 3 3 2" xfId="24153"/>
    <cellStyle name="Normal 146 3 3 3" xfId="15856"/>
    <cellStyle name="Normal 146 3 4" xfId="20013"/>
    <cellStyle name="Normal 146 3 5" xfId="11716"/>
    <cellStyle name="Normal 146 4" xfId="4424"/>
    <cellStyle name="Normal 146 4 2" xfId="8592"/>
    <cellStyle name="Normal 146 4 2 2" xfId="25189"/>
    <cellStyle name="Normal 146 4 2 3" xfId="16892"/>
    <cellStyle name="Normal 146 4 3" xfId="21049"/>
    <cellStyle name="Normal 146 4 4" xfId="12752"/>
    <cellStyle name="Normal 146 5" xfId="6515"/>
    <cellStyle name="Normal 146 5 2" xfId="23119"/>
    <cellStyle name="Normal 146 5 3" xfId="14822"/>
    <cellStyle name="Normal 146 6" xfId="18976"/>
    <cellStyle name="Normal 146 7" xfId="10679"/>
    <cellStyle name="Normal 147" xfId="1470"/>
    <cellStyle name="Normal 148" xfId="2684"/>
    <cellStyle name="Normal 149" xfId="3215"/>
    <cellStyle name="Normal 15" xfId="1471"/>
    <cellStyle name="Normal 15 10" xfId="10680"/>
    <cellStyle name="Normal 15 2" xfId="1472"/>
    <cellStyle name="Normal 15 2 2" xfId="1473"/>
    <cellStyle name="Normal 15 2 2 2" xfId="2819"/>
    <cellStyle name="Normal 15 2 2 2 2" xfId="3865"/>
    <cellStyle name="Normal 15 2 2 2 2 2" xfId="5990"/>
    <cellStyle name="Normal 15 2 2 2 2 2 2" xfId="10146"/>
    <cellStyle name="Normal 15 2 2 2 2 2 2 2" xfId="26743"/>
    <cellStyle name="Normal 15 2 2 2 2 2 2 3" xfId="18446"/>
    <cellStyle name="Normal 15 2 2 2 2 2 3" xfId="22603"/>
    <cellStyle name="Normal 15 2 2 2 2 2 4" xfId="14306"/>
    <cellStyle name="Normal 15 2 2 2 2 3" xfId="8074"/>
    <cellStyle name="Normal 15 2 2 2 2 3 2" xfId="24671"/>
    <cellStyle name="Normal 15 2 2 2 2 3 3" xfId="16374"/>
    <cellStyle name="Normal 15 2 2 2 2 4" xfId="20531"/>
    <cellStyle name="Normal 15 2 2 2 2 5" xfId="12234"/>
    <cellStyle name="Normal 15 2 2 2 3" xfId="4956"/>
    <cellStyle name="Normal 15 2 2 2 3 2" xfId="9112"/>
    <cellStyle name="Normal 15 2 2 2 3 2 2" xfId="25709"/>
    <cellStyle name="Normal 15 2 2 2 3 2 3" xfId="17412"/>
    <cellStyle name="Normal 15 2 2 2 3 3" xfId="21569"/>
    <cellStyle name="Normal 15 2 2 2 3 4" xfId="13272"/>
    <cellStyle name="Normal 15 2 2 2 4" xfId="7040"/>
    <cellStyle name="Normal 15 2 2 2 4 2" xfId="23637"/>
    <cellStyle name="Normal 15 2 2 2 4 3" xfId="15340"/>
    <cellStyle name="Normal 15 2 2 2 5" xfId="19497"/>
    <cellStyle name="Normal 15 2 2 2 6" xfId="11200"/>
    <cellStyle name="Normal 15 2 2 3" xfId="3347"/>
    <cellStyle name="Normal 15 2 2 3 2" xfId="5475"/>
    <cellStyle name="Normal 15 2 2 3 2 2" xfId="9631"/>
    <cellStyle name="Normal 15 2 2 3 2 2 2" xfId="26228"/>
    <cellStyle name="Normal 15 2 2 3 2 2 3" xfId="17931"/>
    <cellStyle name="Normal 15 2 2 3 2 3" xfId="22088"/>
    <cellStyle name="Normal 15 2 2 3 2 4" xfId="13791"/>
    <cellStyle name="Normal 15 2 2 3 3" xfId="7559"/>
    <cellStyle name="Normal 15 2 2 3 3 2" xfId="24156"/>
    <cellStyle name="Normal 15 2 2 3 3 3" xfId="15859"/>
    <cellStyle name="Normal 15 2 2 3 4" xfId="20016"/>
    <cellStyle name="Normal 15 2 2 3 5" xfId="11719"/>
    <cellStyle name="Normal 15 2 2 4" xfId="4427"/>
    <cellStyle name="Normal 15 2 2 4 2" xfId="8595"/>
    <cellStyle name="Normal 15 2 2 4 2 2" xfId="25192"/>
    <cellStyle name="Normal 15 2 2 4 2 3" xfId="16895"/>
    <cellStyle name="Normal 15 2 2 4 3" xfId="21052"/>
    <cellStyle name="Normal 15 2 2 4 4" xfId="12755"/>
    <cellStyle name="Normal 15 2 2 5" xfId="6518"/>
    <cellStyle name="Normal 15 2 2 5 2" xfId="23122"/>
    <cellStyle name="Normal 15 2 2 5 3" xfId="14825"/>
    <cellStyle name="Normal 15 2 2 6" xfId="18979"/>
    <cellStyle name="Normal 15 2 2 7" xfId="10682"/>
    <cellStyle name="Normal 15 2 3" xfId="2818"/>
    <cellStyle name="Normal 15 2 3 2" xfId="3864"/>
    <cellStyle name="Normal 15 2 3 2 2" xfId="5989"/>
    <cellStyle name="Normal 15 2 3 2 2 2" xfId="10145"/>
    <cellStyle name="Normal 15 2 3 2 2 2 2" xfId="26742"/>
    <cellStyle name="Normal 15 2 3 2 2 2 3" xfId="18445"/>
    <cellStyle name="Normal 15 2 3 2 2 3" xfId="22602"/>
    <cellStyle name="Normal 15 2 3 2 2 4" xfId="14305"/>
    <cellStyle name="Normal 15 2 3 2 3" xfId="8073"/>
    <cellStyle name="Normal 15 2 3 2 3 2" xfId="24670"/>
    <cellStyle name="Normal 15 2 3 2 3 3" xfId="16373"/>
    <cellStyle name="Normal 15 2 3 2 4" xfId="20530"/>
    <cellStyle name="Normal 15 2 3 2 5" xfId="12233"/>
    <cellStyle name="Normal 15 2 3 3" xfId="4955"/>
    <cellStyle name="Normal 15 2 3 3 2" xfId="9111"/>
    <cellStyle name="Normal 15 2 3 3 2 2" xfId="25708"/>
    <cellStyle name="Normal 15 2 3 3 2 3" xfId="17411"/>
    <cellStyle name="Normal 15 2 3 3 3" xfId="21568"/>
    <cellStyle name="Normal 15 2 3 3 4" xfId="13271"/>
    <cellStyle name="Normal 15 2 3 4" xfId="7039"/>
    <cellStyle name="Normal 15 2 3 4 2" xfId="23636"/>
    <cellStyle name="Normal 15 2 3 4 3" xfId="15339"/>
    <cellStyle name="Normal 15 2 3 5" xfId="19496"/>
    <cellStyle name="Normal 15 2 3 6" xfId="11199"/>
    <cellStyle name="Normal 15 2 4" xfId="3346"/>
    <cellStyle name="Normal 15 2 4 2" xfId="5474"/>
    <cellStyle name="Normal 15 2 4 2 2" xfId="9630"/>
    <cellStyle name="Normal 15 2 4 2 2 2" xfId="26227"/>
    <cellStyle name="Normal 15 2 4 2 2 3" xfId="17930"/>
    <cellStyle name="Normal 15 2 4 2 3" xfId="22087"/>
    <cellStyle name="Normal 15 2 4 2 4" xfId="13790"/>
    <cellStyle name="Normal 15 2 4 3" xfId="7558"/>
    <cellStyle name="Normal 15 2 4 3 2" xfId="24155"/>
    <cellStyle name="Normal 15 2 4 3 3" xfId="15858"/>
    <cellStyle name="Normal 15 2 4 4" xfId="20015"/>
    <cellStyle name="Normal 15 2 4 5" xfId="11718"/>
    <cellStyle name="Normal 15 2 5" xfId="4426"/>
    <cellStyle name="Normal 15 2 5 2" xfId="8594"/>
    <cellStyle name="Normal 15 2 5 2 2" xfId="25191"/>
    <cellStyle name="Normal 15 2 5 2 3" xfId="16894"/>
    <cellStyle name="Normal 15 2 5 3" xfId="21051"/>
    <cellStyle name="Normal 15 2 5 4" xfId="12754"/>
    <cellStyle name="Normal 15 2 6" xfId="6517"/>
    <cellStyle name="Normal 15 2 6 2" xfId="23121"/>
    <cellStyle name="Normal 15 2 6 3" xfId="14824"/>
    <cellStyle name="Normal 15 2 7" xfId="18978"/>
    <cellStyle name="Normal 15 2 8" xfId="10681"/>
    <cellStyle name="Normal 15 3" xfId="1474"/>
    <cellStyle name="Normal 15 3 2" xfId="1475"/>
    <cellStyle name="Normal 15 3 2 2" xfId="2821"/>
    <cellStyle name="Normal 15 3 2 2 2" xfId="3867"/>
    <cellStyle name="Normal 15 3 2 2 2 2" xfId="5992"/>
    <cellStyle name="Normal 15 3 2 2 2 2 2" xfId="10148"/>
    <cellStyle name="Normal 15 3 2 2 2 2 2 2" xfId="26745"/>
    <cellStyle name="Normal 15 3 2 2 2 2 2 3" xfId="18448"/>
    <cellStyle name="Normal 15 3 2 2 2 2 3" xfId="22605"/>
    <cellStyle name="Normal 15 3 2 2 2 2 4" xfId="14308"/>
    <cellStyle name="Normal 15 3 2 2 2 3" xfId="8076"/>
    <cellStyle name="Normal 15 3 2 2 2 3 2" xfId="24673"/>
    <cellStyle name="Normal 15 3 2 2 2 3 3" xfId="16376"/>
    <cellStyle name="Normal 15 3 2 2 2 4" xfId="20533"/>
    <cellStyle name="Normal 15 3 2 2 2 5" xfId="12236"/>
    <cellStyle name="Normal 15 3 2 2 3" xfId="4958"/>
    <cellStyle name="Normal 15 3 2 2 3 2" xfId="9114"/>
    <cellStyle name="Normal 15 3 2 2 3 2 2" xfId="25711"/>
    <cellStyle name="Normal 15 3 2 2 3 2 3" xfId="17414"/>
    <cellStyle name="Normal 15 3 2 2 3 3" xfId="21571"/>
    <cellStyle name="Normal 15 3 2 2 3 4" xfId="13274"/>
    <cellStyle name="Normal 15 3 2 2 4" xfId="7042"/>
    <cellStyle name="Normal 15 3 2 2 4 2" xfId="23639"/>
    <cellStyle name="Normal 15 3 2 2 4 3" xfId="15342"/>
    <cellStyle name="Normal 15 3 2 2 5" xfId="19499"/>
    <cellStyle name="Normal 15 3 2 2 6" xfId="11202"/>
    <cellStyle name="Normal 15 3 2 3" xfId="3349"/>
    <cellStyle name="Normal 15 3 2 3 2" xfId="5477"/>
    <cellStyle name="Normal 15 3 2 3 2 2" xfId="9633"/>
    <cellStyle name="Normal 15 3 2 3 2 2 2" xfId="26230"/>
    <cellStyle name="Normal 15 3 2 3 2 2 3" xfId="17933"/>
    <cellStyle name="Normal 15 3 2 3 2 3" xfId="22090"/>
    <cellStyle name="Normal 15 3 2 3 2 4" xfId="13793"/>
    <cellStyle name="Normal 15 3 2 3 3" xfId="7561"/>
    <cellStyle name="Normal 15 3 2 3 3 2" xfId="24158"/>
    <cellStyle name="Normal 15 3 2 3 3 3" xfId="15861"/>
    <cellStyle name="Normal 15 3 2 3 4" xfId="20018"/>
    <cellStyle name="Normal 15 3 2 3 5" xfId="11721"/>
    <cellStyle name="Normal 15 3 2 4" xfId="4429"/>
    <cellStyle name="Normal 15 3 2 4 2" xfId="8597"/>
    <cellStyle name="Normal 15 3 2 4 2 2" xfId="25194"/>
    <cellStyle name="Normal 15 3 2 4 2 3" xfId="16897"/>
    <cellStyle name="Normal 15 3 2 4 3" xfId="21054"/>
    <cellStyle name="Normal 15 3 2 4 4" xfId="12757"/>
    <cellStyle name="Normal 15 3 2 5" xfId="6520"/>
    <cellStyle name="Normal 15 3 2 5 2" xfId="23124"/>
    <cellStyle name="Normal 15 3 2 5 3" xfId="14827"/>
    <cellStyle name="Normal 15 3 2 6" xfId="18981"/>
    <cellStyle name="Normal 15 3 2 7" xfId="10684"/>
    <cellStyle name="Normal 15 3 3" xfId="2820"/>
    <cellStyle name="Normal 15 3 3 2" xfId="3866"/>
    <cellStyle name="Normal 15 3 3 2 2" xfId="5991"/>
    <cellStyle name="Normal 15 3 3 2 2 2" xfId="10147"/>
    <cellStyle name="Normal 15 3 3 2 2 2 2" xfId="26744"/>
    <cellStyle name="Normal 15 3 3 2 2 2 3" xfId="18447"/>
    <cellStyle name="Normal 15 3 3 2 2 3" xfId="22604"/>
    <cellStyle name="Normal 15 3 3 2 2 4" xfId="14307"/>
    <cellStyle name="Normal 15 3 3 2 3" xfId="8075"/>
    <cellStyle name="Normal 15 3 3 2 3 2" xfId="24672"/>
    <cellStyle name="Normal 15 3 3 2 3 3" xfId="16375"/>
    <cellStyle name="Normal 15 3 3 2 4" xfId="20532"/>
    <cellStyle name="Normal 15 3 3 2 5" xfId="12235"/>
    <cellStyle name="Normal 15 3 3 3" xfId="4957"/>
    <cellStyle name="Normal 15 3 3 3 2" xfId="9113"/>
    <cellStyle name="Normal 15 3 3 3 2 2" xfId="25710"/>
    <cellStyle name="Normal 15 3 3 3 2 3" xfId="17413"/>
    <cellStyle name="Normal 15 3 3 3 3" xfId="21570"/>
    <cellStyle name="Normal 15 3 3 3 4" xfId="13273"/>
    <cellStyle name="Normal 15 3 3 4" xfId="7041"/>
    <cellStyle name="Normal 15 3 3 4 2" xfId="23638"/>
    <cellStyle name="Normal 15 3 3 4 3" xfId="15341"/>
    <cellStyle name="Normal 15 3 3 5" xfId="19498"/>
    <cellStyle name="Normal 15 3 3 6" xfId="11201"/>
    <cellStyle name="Normal 15 3 4" xfId="3348"/>
    <cellStyle name="Normal 15 3 4 2" xfId="5476"/>
    <cellStyle name="Normal 15 3 4 2 2" xfId="9632"/>
    <cellStyle name="Normal 15 3 4 2 2 2" xfId="26229"/>
    <cellStyle name="Normal 15 3 4 2 2 3" xfId="17932"/>
    <cellStyle name="Normal 15 3 4 2 3" xfId="22089"/>
    <cellStyle name="Normal 15 3 4 2 4" xfId="13792"/>
    <cellStyle name="Normal 15 3 4 3" xfId="7560"/>
    <cellStyle name="Normal 15 3 4 3 2" xfId="24157"/>
    <cellStyle name="Normal 15 3 4 3 3" xfId="15860"/>
    <cellStyle name="Normal 15 3 4 4" xfId="20017"/>
    <cellStyle name="Normal 15 3 4 5" xfId="11720"/>
    <cellStyle name="Normal 15 3 5" xfId="4428"/>
    <cellStyle name="Normal 15 3 5 2" xfId="8596"/>
    <cellStyle name="Normal 15 3 5 2 2" xfId="25193"/>
    <cellStyle name="Normal 15 3 5 2 3" xfId="16896"/>
    <cellStyle name="Normal 15 3 5 3" xfId="21053"/>
    <cellStyle name="Normal 15 3 5 4" xfId="12756"/>
    <cellStyle name="Normal 15 3 6" xfId="6519"/>
    <cellStyle name="Normal 15 3 6 2" xfId="23123"/>
    <cellStyle name="Normal 15 3 6 3" xfId="14826"/>
    <cellStyle name="Normal 15 3 7" xfId="18980"/>
    <cellStyle name="Normal 15 3 8" xfId="10683"/>
    <cellStyle name="Normal 15 4" xfId="1476"/>
    <cellStyle name="Normal 15 4 2" xfId="2822"/>
    <cellStyle name="Normal 15 4 2 2" xfId="3868"/>
    <cellStyle name="Normal 15 4 2 2 2" xfId="5993"/>
    <cellStyle name="Normal 15 4 2 2 2 2" xfId="10149"/>
    <cellStyle name="Normal 15 4 2 2 2 2 2" xfId="26746"/>
    <cellStyle name="Normal 15 4 2 2 2 2 3" xfId="18449"/>
    <cellStyle name="Normal 15 4 2 2 2 3" xfId="22606"/>
    <cellStyle name="Normal 15 4 2 2 2 4" xfId="14309"/>
    <cellStyle name="Normal 15 4 2 2 3" xfId="8077"/>
    <cellStyle name="Normal 15 4 2 2 3 2" xfId="24674"/>
    <cellStyle name="Normal 15 4 2 2 3 3" xfId="16377"/>
    <cellStyle name="Normal 15 4 2 2 4" xfId="20534"/>
    <cellStyle name="Normal 15 4 2 2 5" xfId="12237"/>
    <cellStyle name="Normal 15 4 2 3" xfId="4959"/>
    <cellStyle name="Normal 15 4 2 3 2" xfId="9115"/>
    <cellStyle name="Normal 15 4 2 3 2 2" xfId="25712"/>
    <cellStyle name="Normal 15 4 2 3 2 3" xfId="17415"/>
    <cellStyle name="Normal 15 4 2 3 3" xfId="21572"/>
    <cellStyle name="Normal 15 4 2 3 4" xfId="13275"/>
    <cellStyle name="Normal 15 4 2 4" xfId="7043"/>
    <cellStyle name="Normal 15 4 2 4 2" xfId="23640"/>
    <cellStyle name="Normal 15 4 2 4 3" xfId="15343"/>
    <cellStyle name="Normal 15 4 2 5" xfId="19500"/>
    <cellStyle name="Normal 15 4 2 6" xfId="11203"/>
    <cellStyle name="Normal 15 4 3" xfId="3350"/>
    <cellStyle name="Normal 15 4 3 2" xfId="5478"/>
    <cellStyle name="Normal 15 4 3 2 2" xfId="9634"/>
    <cellStyle name="Normal 15 4 3 2 2 2" xfId="26231"/>
    <cellStyle name="Normal 15 4 3 2 2 3" xfId="17934"/>
    <cellStyle name="Normal 15 4 3 2 3" xfId="22091"/>
    <cellStyle name="Normal 15 4 3 2 4" xfId="13794"/>
    <cellStyle name="Normal 15 4 3 3" xfId="7562"/>
    <cellStyle name="Normal 15 4 3 3 2" xfId="24159"/>
    <cellStyle name="Normal 15 4 3 3 3" xfId="15862"/>
    <cellStyle name="Normal 15 4 3 4" xfId="20019"/>
    <cellStyle name="Normal 15 4 3 5" xfId="11722"/>
    <cellStyle name="Normal 15 4 4" xfId="4430"/>
    <cellStyle name="Normal 15 4 4 2" xfId="8598"/>
    <cellStyle name="Normal 15 4 4 2 2" xfId="25195"/>
    <cellStyle name="Normal 15 4 4 2 3" xfId="16898"/>
    <cellStyle name="Normal 15 4 4 3" xfId="21055"/>
    <cellStyle name="Normal 15 4 4 4" xfId="12758"/>
    <cellStyle name="Normal 15 4 5" xfId="6521"/>
    <cellStyle name="Normal 15 4 5 2" xfId="23125"/>
    <cellStyle name="Normal 15 4 5 3" xfId="14828"/>
    <cellStyle name="Normal 15 4 6" xfId="18982"/>
    <cellStyle name="Normal 15 4 7" xfId="10685"/>
    <cellStyle name="Normal 15 5" xfId="2817"/>
    <cellStyle name="Normal 15 5 2" xfId="3863"/>
    <cellStyle name="Normal 15 5 2 2" xfId="5988"/>
    <cellStyle name="Normal 15 5 2 2 2" xfId="10144"/>
    <cellStyle name="Normal 15 5 2 2 2 2" xfId="26741"/>
    <cellStyle name="Normal 15 5 2 2 2 3" xfId="18444"/>
    <cellStyle name="Normal 15 5 2 2 3" xfId="22601"/>
    <cellStyle name="Normal 15 5 2 2 4" xfId="14304"/>
    <cellStyle name="Normal 15 5 2 3" xfId="8072"/>
    <cellStyle name="Normal 15 5 2 3 2" xfId="24669"/>
    <cellStyle name="Normal 15 5 2 3 3" xfId="16372"/>
    <cellStyle name="Normal 15 5 2 4" xfId="20529"/>
    <cellStyle name="Normal 15 5 2 5" xfId="12232"/>
    <cellStyle name="Normal 15 5 3" xfId="4954"/>
    <cellStyle name="Normal 15 5 3 2" xfId="9110"/>
    <cellStyle name="Normal 15 5 3 2 2" xfId="25707"/>
    <cellStyle name="Normal 15 5 3 2 3" xfId="17410"/>
    <cellStyle name="Normal 15 5 3 3" xfId="21567"/>
    <cellStyle name="Normal 15 5 3 4" xfId="13270"/>
    <cellStyle name="Normal 15 5 4" xfId="7038"/>
    <cellStyle name="Normal 15 5 4 2" xfId="23635"/>
    <cellStyle name="Normal 15 5 4 3" xfId="15338"/>
    <cellStyle name="Normal 15 5 5" xfId="19495"/>
    <cellStyle name="Normal 15 5 6" xfId="11198"/>
    <cellStyle name="Normal 15 6" xfId="3345"/>
    <cellStyle name="Normal 15 6 2" xfId="5473"/>
    <cellStyle name="Normal 15 6 2 2" xfId="9629"/>
    <cellStyle name="Normal 15 6 2 2 2" xfId="26226"/>
    <cellStyle name="Normal 15 6 2 2 3" xfId="17929"/>
    <cellStyle name="Normal 15 6 2 3" xfId="22086"/>
    <cellStyle name="Normal 15 6 2 4" xfId="13789"/>
    <cellStyle name="Normal 15 6 3" xfId="7557"/>
    <cellStyle name="Normal 15 6 3 2" xfId="24154"/>
    <cellStyle name="Normal 15 6 3 3" xfId="15857"/>
    <cellStyle name="Normal 15 6 4" xfId="20014"/>
    <cellStyle name="Normal 15 6 5" xfId="11717"/>
    <cellStyle name="Normal 15 7" xfId="4425"/>
    <cellStyle name="Normal 15 7 2" xfId="8593"/>
    <cellStyle name="Normal 15 7 2 2" xfId="25190"/>
    <cellStyle name="Normal 15 7 2 3" xfId="16893"/>
    <cellStyle name="Normal 15 7 3" xfId="21050"/>
    <cellStyle name="Normal 15 7 4" xfId="12753"/>
    <cellStyle name="Normal 15 8" xfId="6516"/>
    <cellStyle name="Normal 15 8 2" xfId="23120"/>
    <cellStyle name="Normal 15 8 3" xfId="14823"/>
    <cellStyle name="Normal 15 9" xfId="18977"/>
    <cellStyle name="Normal 150" xfId="4259"/>
    <cellStyle name="Normal 151" xfId="4257"/>
    <cellStyle name="Normal 151 2" xfId="8466"/>
    <cellStyle name="Normal 151 2 2" xfId="25063"/>
    <cellStyle name="Normal 151 2 3" xfId="16766"/>
    <cellStyle name="Normal 151 3" xfId="20923"/>
    <cellStyle name="Normal 151 4" xfId="12626"/>
    <cellStyle name="Normal 152" xfId="4828"/>
    <cellStyle name="Normal 152 2" xfId="8984"/>
    <cellStyle name="Normal 152 2 2" xfId="25581"/>
    <cellStyle name="Normal 152 2 3" xfId="17284"/>
    <cellStyle name="Normal 152 3" xfId="21441"/>
    <cellStyle name="Normal 152 4" xfId="13144"/>
    <cellStyle name="Normal 153" xfId="6385"/>
    <cellStyle name="Normal 154" xfId="6912"/>
    <cellStyle name="Normal 155" xfId="10541"/>
    <cellStyle name="Normal 155 2" xfId="27135"/>
    <cellStyle name="Normal 155 3" xfId="18838"/>
    <cellStyle name="Normal 156" xfId="10542"/>
    <cellStyle name="Normal 156 2" xfId="27136"/>
    <cellStyle name="Normal 156 3" xfId="18839"/>
    <cellStyle name="Normal 157" xfId="10543"/>
    <cellStyle name="Normal 157 2" xfId="27137"/>
    <cellStyle name="Normal 157 3" xfId="18840"/>
    <cellStyle name="Normal 158" xfId="10544"/>
    <cellStyle name="Normal 158 2" xfId="27138"/>
    <cellStyle name="Normal 158 3" xfId="18841"/>
    <cellStyle name="Normal 159" xfId="10545"/>
    <cellStyle name="Normal 159 2" xfId="27139"/>
    <cellStyle name="Normal 159 3" xfId="18842"/>
    <cellStyle name="Normal 16" xfId="1477"/>
    <cellStyle name="Normal 16 10" xfId="10686"/>
    <cellStyle name="Normal 16 2" xfId="1478"/>
    <cellStyle name="Normal 16 2 2" xfId="1479"/>
    <cellStyle name="Normal 16 2 2 2" xfId="2825"/>
    <cellStyle name="Normal 16 2 2 2 2" xfId="3871"/>
    <cellStyle name="Normal 16 2 2 2 2 2" xfId="5996"/>
    <cellStyle name="Normal 16 2 2 2 2 2 2" xfId="10152"/>
    <cellStyle name="Normal 16 2 2 2 2 2 2 2" xfId="26749"/>
    <cellStyle name="Normal 16 2 2 2 2 2 2 3" xfId="18452"/>
    <cellStyle name="Normal 16 2 2 2 2 2 3" xfId="22609"/>
    <cellStyle name="Normal 16 2 2 2 2 2 4" xfId="14312"/>
    <cellStyle name="Normal 16 2 2 2 2 3" xfId="8080"/>
    <cellStyle name="Normal 16 2 2 2 2 3 2" xfId="24677"/>
    <cellStyle name="Normal 16 2 2 2 2 3 3" xfId="16380"/>
    <cellStyle name="Normal 16 2 2 2 2 4" xfId="20537"/>
    <cellStyle name="Normal 16 2 2 2 2 5" xfId="12240"/>
    <cellStyle name="Normal 16 2 2 2 3" xfId="4962"/>
    <cellStyle name="Normal 16 2 2 2 3 2" xfId="9118"/>
    <cellStyle name="Normal 16 2 2 2 3 2 2" xfId="25715"/>
    <cellStyle name="Normal 16 2 2 2 3 2 3" xfId="17418"/>
    <cellStyle name="Normal 16 2 2 2 3 3" xfId="21575"/>
    <cellStyle name="Normal 16 2 2 2 3 4" xfId="13278"/>
    <cellStyle name="Normal 16 2 2 2 4" xfId="7046"/>
    <cellStyle name="Normal 16 2 2 2 4 2" xfId="23643"/>
    <cellStyle name="Normal 16 2 2 2 4 3" xfId="15346"/>
    <cellStyle name="Normal 16 2 2 2 5" xfId="19503"/>
    <cellStyle name="Normal 16 2 2 2 6" xfId="11206"/>
    <cellStyle name="Normal 16 2 2 3" xfId="3353"/>
    <cellStyle name="Normal 16 2 2 3 2" xfId="5481"/>
    <cellStyle name="Normal 16 2 2 3 2 2" xfId="9637"/>
    <cellStyle name="Normal 16 2 2 3 2 2 2" xfId="26234"/>
    <cellStyle name="Normal 16 2 2 3 2 2 3" xfId="17937"/>
    <cellStyle name="Normal 16 2 2 3 2 3" xfId="22094"/>
    <cellStyle name="Normal 16 2 2 3 2 4" xfId="13797"/>
    <cellStyle name="Normal 16 2 2 3 3" xfId="7565"/>
    <cellStyle name="Normal 16 2 2 3 3 2" xfId="24162"/>
    <cellStyle name="Normal 16 2 2 3 3 3" xfId="15865"/>
    <cellStyle name="Normal 16 2 2 3 4" xfId="20022"/>
    <cellStyle name="Normal 16 2 2 3 5" xfId="11725"/>
    <cellStyle name="Normal 16 2 2 4" xfId="4433"/>
    <cellStyle name="Normal 16 2 2 4 2" xfId="8601"/>
    <cellStyle name="Normal 16 2 2 4 2 2" xfId="25198"/>
    <cellStyle name="Normal 16 2 2 4 2 3" xfId="16901"/>
    <cellStyle name="Normal 16 2 2 4 3" xfId="21058"/>
    <cellStyle name="Normal 16 2 2 4 4" xfId="12761"/>
    <cellStyle name="Normal 16 2 2 5" xfId="6524"/>
    <cellStyle name="Normal 16 2 2 5 2" xfId="23128"/>
    <cellStyle name="Normal 16 2 2 5 3" xfId="14831"/>
    <cellStyle name="Normal 16 2 2 6" xfId="18985"/>
    <cellStyle name="Normal 16 2 2 7" xfId="10688"/>
    <cellStyle name="Normal 16 2 3" xfId="2824"/>
    <cellStyle name="Normal 16 2 3 2" xfId="3870"/>
    <cellStyle name="Normal 16 2 3 2 2" xfId="5995"/>
    <cellStyle name="Normal 16 2 3 2 2 2" xfId="10151"/>
    <cellStyle name="Normal 16 2 3 2 2 2 2" xfId="26748"/>
    <cellStyle name="Normal 16 2 3 2 2 2 3" xfId="18451"/>
    <cellStyle name="Normal 16 2 3 2 2 3" xfId="22608"/>
    <cellStyle name="Normal 16 2 3 2 2 4" xfId="14311"/>
    <cellStyle name="Normal 16 2 3 2 3" xfId="8079"/>
    <cellStyle name="Normal 16 2 3 2 3 2" xfId="24676"/>
    <cellStyle name="Normal 16 2 3 2 3 3" xfId="16379"/>
    <cellStyle name="Normal 16 2 3 2 4" xfId="20536"/>
    <cellStyle name="Normal 16 2 3 2 5" xfId="12239"/>
    <cellStyle name="Normal 16 2 3 3" xfId="4961"/>
    <cellStyle name="Normal 16 2 3 3 2" xfId="9117"/>
    <cellStyle name="Normal 16 2 3 3 2 2" xfId="25714"/>
    <cellStyle name="Normal 16 2 3 3 2 3" xfId="17417"/>
    <cellStyle name="Normal 16 2 3 3 3" xfId="21574"/>
    <cellStyle name="Normal 16 2 3 3 4" xfId="13277"/>
    <cellStyle name="Normal 16 2 3 4" xfId="7045"/>
    <cellStyle name="Normal 16 2 3 4 2" xfId="23642"/>
    <cellStyle name="Normal 16 2 3 4 3" xfId="15345"/>
    <cellStyle name="Normal 16 2 3 5" xfId="19502"/>
    <cellStyle name="Normal 16 2 3 6" xfId="11205"/>
    <cellStyle name="Normal 16 2 4" xfId="3352"/>
    <cellStyle name="Normal 16 2 4 2" xfId="5480"/>
    <cellStyle name="Normal 16 2 4 2 2" xfId="9636"/>
    <cellStyle name="Normal 16 2 4 2 2 2" xfId="26233"/>
    <cellStyle name="Normal 16 2 4 2 2 3" xfId="17936"/>
    <cellStyle name="Normal 16 2 4 2 3" xfId="22093"/>
    <cellStyle name="Normal 16 2 4 2 4" xfId="13796"/>
    <cellStyle name="Normal 16 2 4 3" xfId="7564"/>
    <cellStyle name="Normal 16 2 4 3 2" xfId="24161"/>
    <cellStyle name="Normal 16 2 4 3 3" xfId="15864"/>
    <cellStyle name="Normal 16 2 4 4" xfId="20021"/>
    <cellStyle name="Normal 16 2 4 5" xfId="11724"/>
    <cellStyle name="Normal 16 2 5" xfId="4432"/>
    <cellStyle name="Normal 16 2 5 2" xfId="8600"/>
    <cellStyle name="Normal 16 2 5 2 2" xfId="25197"/>
    <cellStyle name="Normal 16 2 5 2 3" xfId="16900"/>
    <cellStyle name="Normal 16 2 5 3" xfId="21057"/>
    <cellStyle name="Normal 16 2 5 4" xfId="12760"/>
    <cellStyle name="Normal 16 2 6" xfId="6523"/>
    <cellStyle name="Normal 16 2 6 2" xfId="23127"/>
    <cellStyle name="Normal 16 2 6 3" xfId="14830"/>
    <cellStyle name="Normal 16 2 7" xfId="18984"/>
    <cellStyle name="Normal 16 2 8" xfId="10687"/>
    <cellStyle name="Normal 16 3" xfId="1480"/>
    <cellStyle name="Normal 16 3 2" xfId="1481"/>
    <cellStyle name="Normal 16 3 2 2" xfId="2827"/>
    <cellStyle name="Normal 16 3 2 2 2" xfId="3873"/>
    <cellStyle name="Normal 16 3 2 2 2 2" xfId="5998"/>
    <cellStyle name="Normal 16 3 2 2 2 2 2" xfId="10154"/>
    <cellStyle name="Normal 16 3 2 2 2 2 2 2" xfId="26751"/>
    <cellStyle name="Normal 16 3 2 2 2 2 2 3" xfId="18454"/>
    <cellStyle name="Normal 16 3 2 2 2 2 3" xfId="22611"/>
    <cellStyle name="Normal 16 3 2 2 2 2 4" xfId="14314"/>
    <cellStyle name="Normal 16 3 2 2 2 3" xfId="8082"/>
    <cellStyle name="Normal 16 3 2 2 2 3 2" xfId="24679"/>
    <cellStyle name="Normal 16 3 2 2 2 3 3" xfId="16382"/>
    <cellStyle name="Normal 16 3 2 2 2 4" xfId="20539"/>
    <cellStyle name="Normal 16 3 2 2 2 5" xfId="12242"/>
    <cellStyle name="Normal 16 3 2 2 3" xfId="4964"/>
    <cellStyle name="Normal 16 3 2 2 3 2" xfId="9120"/>
    <cellStyle name="Normal 16 3 2 2 3 2 2" xfId="25717"/>
    <cellStyle name="Normal 16 3 2 2 3 2 3" xfId="17420"/>
    <cellStyle name="Normal 16 3 2 2 3 3" xfId="21577"/>
    <cellStyle name="Normal 16 3 2 2 3 4" xfId="13280"/>
    <cellStyle name="Normal 16 3 2 2 4" xfId="7048"/>
    <cellStyle name="Normal 16 3 2 2 4 2" xfId="23645"/>
    <cellStyle name="Normal 16 3 2 2 4 3" xfId="15348"/>
    <cellStyle name="Normal 16 3 2 2 5" xfId="19505"/>
    <cellStyle name="Normal 16 3 2 2 6" xfId="11208"/>
    <cellStyle name="Normal 16 3 2 3" xfId="3355"/>
    <cellStyle name="Normal 16 3 2 3 2" xfId="5483"/>
    <cellStyle name="Normal 16 3 2 3 2 2" xfId="9639"/>
    <cellStyle name="Normal 16 3 2 3 2 2 2" xfId="26236"/>
    <cellStyle name="Normal 16 3 2 3 2 2 3" xfId="17939"/>
    <cellStyle name="Normal 16 3 2 3 2 3" xfId="22096"/>
    <cellStyle name="Normal 16 3 2 3 2 4" xfId="13799"/>
    <cellStyle name="Normal 16 3 2 3 3" xfId="7567"/>
    <cellStyle name="Normal 16 3 2 3 3 2" xfId="24164"/>
    <cellStyle name="Normal 16 3 2 3 3 3" xfId="15867"/>
    <cellStyle name="Normal 16 3 2 3 4" xfId="20024"/>
    <cellStyle name="Normal 16 3 2 3 5" xfId="11727"/>
    <cellStyle name="Normal 16 3 2 4" xfId="4435"/>
    <cellStyle name="Normal 16 3 2 4 2" xfId="8603"/>
    <cellStyle name="Normal 16 3 2 4 2 2" xfId="25200"/>
    <cellStyle name="Normal 16 3 2 4 2 3" xfId="16903"/>
    <cellStyle name="Normal 16 3 2 4 3" xfId="21060"/>
    <cellStyle name="Normal 16 3 2 4 4" xfId="12763"/>
    <cellStyle name="Normal 16 3 2 5" xfId="6526"/>
    <cellStyle name="Normal 16 3 2 5 2" xfId="23130"/>
    <cellStyle name="Normal 16 3 2 5 3" xfId="14833"/>
    <cellStyle name="Normal 16 3 2 6" xfId="18987"/>
    <cellStyle name="Normal 16 3 2 7" xfId="10690"/>
    <cellStyle name="Normal 16 3 3" xfId="2826"/>
    <cellStyle name="Normal 16 3 3 2" xfId="3872"/>
    <cellStyle name="Normal 16 3 3 2 2" xfId="5997"/>
    <cellStyle name="Normal 16 3 3 2 2 2" xfId="10153"/>
    <cellStyle name="Normal 16 3 3 2 2 2 2" xfId="26750"/>
    <cellStyle name="Normal 16 3 3 2 2 2 3" xfId="18453"/>
    <cellStyle name="Normal 16 3 3 2 2 3" xfId="22610"/>
    <cellStyle name="Normal 16 3 3 2 2 4" xfId="14313"/>
    <cellStyle name="Normal 16 3 3 2 3" xfId="8081"/>
    <cellStyle name="Normal 16 3 3 2 3 2" xfId="24678"/>
    <cellStyle name="Normal 16 3 3 2 3 3" xfId="16381"/>
    <cellStyle name="Normal 16 3 3 2 4" xfId="20538"/>
    <cellStyle name="Normal 16 3 3 2 5" xfId="12241"/>
    <cellStyle name="Normal 16 3 3 3" xfId="4963"/>
    <cellStyle name="Normal 16 3 3 3 2" xfId="9119"/>
    <cellStyle name="Normal 16 3 3 3 2 2" xfId="25716"/>
    <cellStyle name="Normal 16 3 3 3 2 3" xfId="17419"/>
    <cellStyle name="Normal 16 3 3 3 3" xfId="21576"/>
    <cellStyle name="Normal 16 3 3 3 4" xfId="13279"/>
    <cellStyle name="Normal 16 3 3 4" xfId="7047"/>
    <cellStyle name="Normal 16 3 3 4 2" xfId="23644"/>
    <cellStyle name="Normal 16 3 3 4 3" xfId="15347"/>
    <cellStyle name="Normal 16 3 3 5" xfId="19504"/>
    <cellStyle name="Normal 16 3 3 6" xfId="11207"/>
    <cellStyle name="Normal 16 3 4" xfId="3354"/>
    <cellStyle name="Normal 16 3 4 2" xfId="5482"/>
    <cellStyle name="Normal 16 3 4 2 2" xfId="9638"/>
    <cellStyle name="Normal 16 3 4 2 2 2" xfId="26235"/>
    <cellStyle name="Normal 16 3 4 2 2 3" xfId="17938"/>
    <cellStyle name="Normal 16 3 4 2 3" xfId="22095"/>
    <cellStyle name="Normal 16 3 4 2 4" xfId="13798"/>
    <cellStyle name="Normal 16 3 4 3" xfId="7566"/>
    <cellStyle name="Normal 16 3 4 3 2" xfId="24163"/>
    <cellStyle name="Normal 16 3 4 3 3" xfId="15866"/>
    <cellStyle name="Normal 16 3 4 4" xfId="20023"/>
    <cellStyle name="Normal 16 3 4 5" xfId="11726"/>
    <cellStyle name="Normal 16 3 5" xfId="4434"/>
    <cellStyle name="Normal 16 3 5 2" xfId="8602"/>
    <cellStyle name="Normal 16 3 5 2 2" xfId="25199"/>
    <cellStyle name="Normal 16 3 5 2 3" xfId="16902"/>
    <cellStyle name="Normal 16 3 5 3" xfId="21059"/>
    <cellStyle name="Normal 16 3 5 4" xfId="12762"/>
    <cellStyle name="Normal 16 3 6" xfId="6525"/>
    <cellStyle name="Normal 16 3 6 2" xfId="23129"/>
    <cellStyle name="Normal 16 3 6 3" xfId="14832"/>
    <cellStyle name="Normal 16 3 7" xfId="18986"/>
    <cellStyle name="Normal 16 3 8" xfId="10689"/>
    <cellStyle name="Normal 16 4" xfId="1482"/>
    <cellStyle name="Normal 16 4 2" xfId="2828"/>
    <cellStyle name="Normal 16 4 2 2" xfId="3874"/>
    <cellStyle name="Normal 16 4 2 2 2" xfId="5999"/>
    <cellStyle name="Normal 16 4 2 2 2 2" xfId="10155"/>
    <cellStyle name="Normal 16 4 2 2 2 2 2" xfId="26752"/>
    <cellStyle name="Normal 16 4 2 2 2 2 3" xfId="18455"/>
    <cellStyle name="Normal 16 4 2 2 2 3" xfId="22612"/>
    <cellStyle name="Normal 16 4 2 2 2 4" xfId="14315"/>
    <cellStyle name="Normal 16 4 2 2 3" xfId="8083"/>
    <cellStyle name="Normal 16 4 2 2 3 2" xfId="24680"/>
    <cellStyle name="Normal 16 4 2 2 3 3" xfId="16383"/>
    <cellStyle name="Normal 16 4 2 2 4" xfId="20540"/>
    <cellStyle name="Normal 16 4 2 2 5" xfId="12243"/>
    <cellStyle name="Normal 16 4 2 3" xfId="4965"/>
    <cellStyle name="Normal 16 4 2 3 2" xfId="9121"/>
    <cellStyle name="Normal 16 4 2 3 2 2" xfId="25718"/>
    <cellStyle name="Normal 16 4 2 3 2 3" xfId="17421"/>
    <cellStyle name="Normal 16 4 2 3 3" xfId="21578"/>
    <cellStyle name="Normal 16 4 2 3 4" xfId="13281"/>
    <cellStyle name="Normal 16 4 2 4" xfId="7049"/>
    <cellStyle name="Normal 16 4 2 4 2" xfId="23646"/>
    <cellStyle name="Normal 16 4 2 4 3" xfId="15349"/>
    <cellStyle name="Normal 16 4 2 5" xfId="19506"/>
    <cellStyle name="Normal 16 4 2 6" xfId="11209"/>
    <cellStyle name="Normal 16 4 3" xfId="3356"/>
    <cellStyle name="Normal 16 4 3 2" xfId="5484"/>
    <cellStyle name="Normal 16 4 3 2 2" xfId="9640"/>
    <cellStyle name="Normal 16 4 3 2 2 2" xfId="26237"/>
    <cellStyle name="Normal 16 4 3 2 2 3" xfId="17940"/>
    <cellStyle name="Normal 16 4 3 2 3" xfId="22097"/>
    <cellStyle name="Normal 16 4 3 2 4" xfId="13800"/>
    <cellStyle name="Normal 16 4 3 3" xfId="7568"/>
    <cellStyle name="Normal 16 4 3 3 2" xfId="24165"/>
    <cellStyle name="Normal 16 4 3 3 3" xfId="15868"/>
    <cellStyle name="Normal 16 4 3 4" xfId="20025"/>
    <cellStyle name="Normal 16 4 3 5" xfId="11728"/>
    <cellStyle name="Normal 16 4 4" xfId="4436"/>
    <cellStyle name="Normal 16 4 4 2" xfId="8604"/>
    <cellStyle name="Normal 16 4 4 2 2" xfId="25201"/>
    <cellStyle name="Normal 16 4 4 2 3" xfId="16904"/>
    <cellStyle name="Normal 16 4 4 3" xfId="21061"/>
    <cellStyle name="Normal 16 4 4 4" xfId="12764"/>
    <cellStyle name="Normal 16 4 5" xfId="6527"/>
    <cellStyle name="Normal 16 4 5 2" xfId="23131"/>
    <cellStyle name="Normal 16 4 5 3" xfId="14834"/>
    <cellStyle name="Normal 16 4 6" xfId="18988"/>
    <cellStyle name="Normal 16 4 7" xfId="10691"/>
    <cellStyle name="Normal 16 5" xfId="2823"/>
    <cellStyle name="Normal 16 5 2" xfId="3869"/>
    <cellStyle name="Normal 16 5 2 2" xfId="5994"/>
    <cellStyle name="Normal 16 5 2 2 2" xfId="10150"/>
    <cellStyle name="Normal 16 5 2 2 2 2" xfId="26747"/>
    <cellStyle name="Normal 16 5 2 2 2 3" xfId="18450"/>
    <cellStyle name="Normal 16 5 2 2 3" xfId="22607"/>
    <cellStyle name="Normal 16 5 2 2 4" xfId="14310"/>
    <cellStyle name="Normal 16 5 2 3" xfId="8078"/>
    <cellStyle name="Normal 16 5 2 3 2" xfId="24675"/>
    <cellStyle name="Normal 16 5 2 3 3" xfId="16378"/>
    <cellStyle name="Normal 16 5 2 4" xfId="20535"/>
    <cellStyle name="Normal 16 5 2 5" xfId="12238"/>
    <cellStyle name="Normal 16 5 3" xfId="4960"/>
    <cellStyle name="Normal 16 5 3 2" xfId="9116"/>
    <cellStyle name="Normal 16 5 3 2 2" xfId="25713"/>
    <cellStyle name="Normal 16 5 3 2 3" xfId="17416"/>
    <cellStyle name="Normal 16 5 3 3" xfId="21573"/>
    <cellStyle name="Normal 16 5 3 4" xfId="13276"/>
    <cellStyle name="Normal 16 5 4" xfId="7044"/>
    <cellStyle name="Normal 16 5 4 2" xfId="23641"/>
    <cellStyle name="Normal 16 5 4 3" xfId="15344"/>
    <cellStyle name="Normal 16 5 5" xfId="19501"/>
    <cellStyle name="Normal 16 5 6" xfId="11204"/>
    <cellStyle name="Normal 16 6" xfId="3351"/>
    <cellStyle name="Normal 16 6 2" xfId="5479"/>
    <cellStyle name="Normal 16 6 2 2" xfId="9635"/>
    <cellStyle name="Normal 16 6 2 2 2" xfId="26232"/>
    <cellStyle name="Normal 16 6 2 2 3" xfId="17935"/>
    <cellStyle name="Normal 16 6 2 3" xfId="22092"/>
    <cellStyle name="Normal 16 6 2 4" xfId="13795"/>
    <cellStyle name="Normal 16 6 3" xfId="7563"/>
    <cellStyle name="Normal 16 6 3 2" xfId="24160"/>
    <cellStyle name="Normal 16 6 3 3" xfId="15863"/>
    <cellStyle name="Normal 16 6 4" xfId="20020"/>
    <cellStyle name="Normal 16 6 5" xfId="11723"/>
    <cellStyle name="Normal 16 7" xfId="4431"/>
    <cellStyle name="Normal 16 7 2" xfId="8599"/>
    <cellStyle name="Normal 16 7 2 2" xfId="25196"/>
    <cellStyle name="Normal 16 7 2 3" xfId="16899"/>
    <cellStyle name="Normal 16 7 3" xfId="21056"/>
    <cellStyle name="Normal 16 7 4" xfId="12759"/>
    <cellStyle name="Normal 16 8" xfId="6522"/>
    <cellStyle name="Normal 16 8 2" xfId="23126"/>
    <cellStyle name="Normal 16 8 3" xfId="14829"/>
    <cellStyle name="Normal 16 9" xfId="18983"/>
    <cellStyle name="Normal 160" xfId="10548"/>
    <cellStyle name="Normal 160 2" xfId="27142"/>
    <cellStyle name="Normal 160 3" xfId="18845"/>
    <cellStyle name="Normal 161" xfId="10549"/>
    <cellStyle name="Normal 161 2" xfId="27143"/>
    <cellStyle name="Normal 161 3" xfId="18846"/>
    <cellStyle name="Normal 162" xfId="18847"/>
    <cellStyle name="Normal 17" xfId="1483"/>
    <cellStyle name="Normal 17 10" xfId="10692"/>
    <cellStyle name="Normal 17 2" xfId="1484"/>
    <cellStyle name="Normal 17 2 2" xfId="1485"/>
    <cellStyle name="Normal 17 2 2 2" xfId="2831"/>
    <cellStyle name="Normal 17 2 2 2 2" xfId="3877"/>
    <cellStyle name="Normal 17 2 2 2 2 2" xfId="6002"/>
    <cellStyle name="Normal 17 2 2 2 2 2 2" xfId="10158"/>
    <cellStyle name="Normal 17 2 2 2 2 2 2 2" xfId="26755"/>
    <cellStyle name="Normal 17 2 2 2 2 2 2 3" xfId="18458"/>
    <cellStyle name="Normal 17 2 2 2 2 2 3" xfId="22615"/>
    <cellStyle name="Normal 17 2 2 2 2 2 4" xfId="14318"/>
    <cellStyle name="Normal 17 2 2 2 2 3" xfId="8086"/>
    <cellStyle name="Normal 17 2 2 2 2 3 2" xfId="24683"/>
    <cellStyle name="Normal 17 2 2 2 2 3 3" xfId="16386"/>
    <cellStyle name="Normal 17 2 2 2 2 4" xfId="20543"/>
    <cellStyle name="Normal 17 2 2 2 2 5" xfId="12246"/>
    <cellStyle name="Normal 17 2 2 2 3" xfId="4968"/>
    <cellStyle name="Normal 17 2 2 2 3 2" xfId="9124"/>
    <cellStyle name="Normal 17 2 2 2 3 2 2" xfId="25721"/>
    <cellStyle name="Normal 17 2 2 2 3 2 3" xfId="17424"/>
    <cellStyle name="Normal 17 2 2 2 3 3" xfId="21581"/>
    <cellStyle name="Normal 17 2 2 2 3 4" xfId="13284"/>
    <cellStyle name="Normal 17 2 2 2 4" xfId="7052"/>
    <cellStyle name="Normal 17 2 2 2 4 2" xfId="23649"/>
    <cellStyle name="Normal 17 2 2 2 4 3" xfId="15352"/>
    <cellStyle name="Normal 17 2 2 2 5" xfId="19509"/>
    <cellStyle name="Normal 17 2 2 2 6" xfId="11212"/>
    <cellStyle name="Normal 17 2 2 3" xfId="3359"/>
    <cellStyle name="Normal 17 2 2 3 2" xfId="5487"/>
    <cellStyle name="Normal 17 2 2 3 2 2" xfId="9643"/>
    <cellStyle name="Normal 17 2 2 3 2 2 2" xfId="26240"/>
    <cellStyle name="Normal 17 2 2 3 2 2 3" xfId="17943"/>
    <cellStyle name="Normal 17 2 2 3 2 3" xfId="22100"/>
    <cellStyle name="Normal 17 2 2 3 2 4" xfId="13803"/>
    <cellStyle name="Normal 17 2 2 3 3" xfId="7571"/>
    <cellStyle name="Normal 17 2 2 3 3 2" xfId="24168"/>
    <cellStyle name="Normal 17 2 2 3 3 3" xfId="15871"/>
    <cellStyle name="Normal 17 2 2 3 4" xfId="20028"/>
    <cellStyle name="Normal 17 2 2 3 5" xfId="11731"/>
    <cellStyle name="Normal 17 2 2 4" xfId="4439"/>
    <cellStyle name="Normal 17 2 2 4 2" xfId="8607"/>
    <cellStyle name="Normal 17 2 2 4 2 2" xfId="25204"/>
    <cellStyle name="Normal 17 2 2 4 2 3" xfId="16907"/>
    <cellStyle name="Normal 17 2 2 4 3" xfId="21064"/>
    <cellStyle name="Normal 17 2 2 4 4" xfId="12767"/>
    <cellStyle name="Normal 17 2 2 5" xfId="6530"/>
    <cellStyle name="Normal 17 2 2 5 2" xfId="23134"/>
    <cellStyle name="Normal 17 2 2 5 3" xfId="14837"/>
    <cellStyle name="Normal 17 2 2 6" xfId="18991"/>
    <cellStyle name="Normal 17 2 2 7" xfId="10694"/>
    <cellStyle name="Normal 17 2 3" xfId="2830"/>
    <cellStyle name="Normal 17 2 3 2" xfId="3876"/>
    <cellStyle name="Normal 17 2 3 2 2" xfId="6001"/>
    <cellStyle name="Normal 17 2 3 2 2 2" xfId="10157"/>
    <cellStyle name="Normal 17 2 3 2 2 2 2" xfId="26754"/>
    <cellStyle name="Normal 17 2 3 2 2 2 3" xfId="18457"/>
    <cellStyle name="Normal 17 2 3 2 2 3" xfId="22614"/>
    <cellStyle name="Normal 17 2 3 2 2 4" xfId="14317"/>
    <cellStyle name="Normal 17 2 3 2 3" xfId="8085"/>
    <cellStyle name="Normal 17 2 3 2 3 2" xfId="24682"/>
    <cellStyle name="Normal 17 2 3 2 3 3" xfId="16385"/>
    <cellStyle name="Normal 17 2 3 2 4" xfId="20542"/>
    <cellStyle name="Normal 17 2 3 2 5" xfId="12245"/>
    <cellStyle name="Normal 17 2 3 3" xfId="4967"/>
    <cellStyle name="Normal 17 2 3 3 2" xfId="9123"/>
    <cellStyle name="Normal 17 2 3 3 2 2" xfId="25720"/>
    <cellStyle name="Normal 17 2 3 3 2 3" xfId="17423"/>
    <cellStyle name="Normal 17 2 3 3 3" xfId="21580"/>
    <cellStyle name="Normal 17 2 3 3 4" xfId="13283"/>
    <cellStyle name="Normal 17 2 3 4" xfId="7051"/>
    <cellStyle name="Normal 17 2 3 4 2" xfId="23648"/>
    <cellStyle name="Normal 17 2 3 4 3" xfId="15351"/>
    <cellStyle name="Normal 17 2 3 5" xfId="19508"/>
    <cellStyle name="Normal 17 2 3 6" xfId="11211"/>
    <cellStyle name="Normal 17 2 4" xfId="3358"/>
    <cellStyle name="Normal 17 2 4 2" xfId="5486"/>
    <cellStyle name="Normal 17 2 4 2 2" xfId="9642"/>
    <cellStyle name="Normal 17 2 4 2 2 2" xfId="26239"/>
    <cellStyle name="Normal 17 2 4 2 2 3" xfId="17942"/>
    <cellStyle name="Normal 17 2 4 2 3" xfId="22099"/>
    <cellStyle name="Normal 17 2 4 2 4" xfId="13802"/>
    <cellStyle name="Normal 17 2 4 3" xfId="7570"/>
    <cellStyle name="Normal 17 2 4 3 2" xfId="24167"/>
    <cellStyle name="Normal 17 2 4 3 3" xfId="15870"/>
    <cellStyle name="Normal 17 2 4 4" xfId="20027"/>
    <cellStyle name="Normal 17 2 4 5" xfId="11730"/>
    <cellStyle name="Normal 17 2 5" xfId="4438"/>
    <cellStyle name="Normal 17 2 5 2" xfId="8606"/>
    <cellStyle name="Normal 17 2 5 2 2" xfId="25203"/>
    <cellStyle name="Normal 17 2 5 2 3" xfId="16906"/>
    <cellStyle name="Normal 17 2 5 3" xfId="21063"/>
    <cellStyle name="Normal 17 2 5 4" xfId="12766"/>
    <cellStyle name="Normal 17 2 6" xfId="6529"/>
    <cellStyle name="Normal 17 2 6 2" xfId="23133"/>
    <cellStyle name="Normal 17 2 6 3" xfId="14836"/>
    <cellStyle name="Normal 17 2 7" xfId="18990"/>
    <cellStyle name="Normal 17 2 8" xfId="10693"/>
    <cellStyle name="Normal 17 3" xfId="1486"/>
    <cellStyle name="Normal 17 3 2" xfId="1487"/>
    <cellStyle name="Normal 17 3 2 2" xfId="2833"/>
    <cellStyle name="Normal 17 3 2 2 2" xfId="3879"/>
    <cellStyle name="Normal 17 3 2 2 2 2" xfId="6004"/>
    <cellStyle name="Normal 17 3 2 2 2 2 2" xfId="10160"/>
    <cellStyle name="Normal 17 3 2 2 2 2 2 2" xfId="26757"/>
    <cellStyle name="Normal 17 3 2 2 2 2 2 3" xfId="18460"/>
    <cellStyle name="Normal 17 3 2 2 2 2 3" xfId="22617"/>
    <cellStyle name="Normal 17 3 2 2 2 2 4" xfId="14320"/>
    <cellStyle name="Normal 17 3 2 2 2 3" xfId="8088"/>
    <cellStyle name="Normal 17 3 2 2 2 3 2" xfId="24685"/>
    <cellStyle name="Normal 17 3 2 2 2 3 3" xfId="16388"/>
    <cellStyle name="Normal 17 3 2 2 2 4" xfId="20545"/>
    <cellStyle name="Normal 17 3 2 2 2 5" xfId="12248"/>
    <cellStyle name="Normal 17 3 2 2 3" xfId="4970"/>
    <cellStyle name="Normal 17 3 2 2 3 2" xfId="9126"/>
    <cellStyle name="Normal 17 3 2 2 3 2 2" xfId="25723"/>
    <cellStyle name="Normal 17 3 2 2 3 2 3" xfId="17426"/>
    <cellStyle name="Normal 17 3 2 2 3 3" xfId="21583"/>
    <cellStyle name="Normal 17 3 2 2 3 4" xfId="13286"/>
    <cellStyle name="Normal 17 3 2 2 4" xfId="7054"/>
    <cellStyle name="Normal 17 3 2 2 4 2" xfId="23651"/>
    <cellStyle name="Normal 17 3 2 2 4 3" xfId="15354"/>
    <cellStyle name="Normal 17 3 2 2 5" xfId="19511"/>
    <cellStyle name="Normal 17 3 2 2 6" xfId="11214"/>
    <cellStyle name="Normal 17 3 2 3" xfId="3361"/>
    <cellStyle name="Normal 17 3 2 3 2" xfId="5489"/>
    <cellStyle name="Normal 17 3 2 3 2 2" xfId="9645"/>
    <cellStyle name="Normal 17 3 2 3 2 2 2" xfId="26242"/>
    <cellStyle name="Normal 17 3 2 3 2 2 3" xfId="17945"/>
    <cellStyle name="Normal 17 3 2 3 2 3" xfId="22102"/>
    <cellStyle name="Normal 17 3 2 3 2 4" xfId="13805"/>
    <cellStyle name="Normal 17 3 2 3 3" xfId="7573"/>
    <cellStyle name="Normal 17 3 2 3 3 2" xfId="24170"/>
    <cellStyle name="Normal 17 3 2 3 3 3" xfId="15873"/>
    <cellStyle name="Normal 17 3 2 3 4" xfId="20030"/>
    <cellStyle name="Normal 17 3 2 3 5" xfId="11733"/>
    <cellStyle name="Normal 17 3 2 4" xfId="4441"/>
    <cellStyle name="Normal 17 3 2 4 2" xfId="8609"/>
    <cellStyle name="Normal 17 3 2 4 2 2" xfId="25206"/>
    <cellStyle name="Normal 17 3 2 4 2 3" xfId="16909"/>
    <cellStyle name="Normal 17 3 2 4 3" xfId="21066"/>
    <cellStyle name="Normal 17 3 2 4 4" xfId="12769"/>
    <cellStyle name="Normal 17 3 2 5" xfId="6532"/>
    <cellStyle name="Normal 17 3 2 5 2" xfId="23136"/>
    <cellStyle name="Normal 17 3 2 5 3" xfId="14839"/>
    <cellStyle name="Normal 17 3 2 6" xfId="18993"/>
    <cellStyle name="Normal 17 3 2 7" xfId="10696"/>
    <cellStyle name="Normal 17 3 3" xfId="2832"/>
    <cellStyle name="Normal 17 3 3 2" xfId="3878"/>
    <cellStyle name="Normal 17 3 3 2 2" xfId="6003"/>
    <cellStyle name="Normal 17 3 3 2 2 2" xfId="10159"/>
    <cellStyle name="Normal 17 3 3 2 2 2 2" xfId="26756"/>
    <cellStyle name="Normal 17 3 3 2 2 2 3" xfId="18459"/>
    <cellStyle name="Normal 17 3 3 2 2 3" xfId="22616"/>
    <cellStyle name="Normal 17 3 3 2 2 4" xfId="14319"/>
    <cellStyle name="Normal 17 3 3 2 3" xfId="8087"/>
    <cellStyle name="Normal 17 3 3 2 3 2" xfId="24684"/>
    <cellStyle name="Normal 17 3 3 2 3 3" xfId="16387"/>
    <cellStyle name="Normal 17 3 3 2 4" xfId="20544"/>
    <cellStyle name="Normal 17 3 3 2 5" xfId="12247"/>
    <cellStyle name="Normal 17 3 3 3" xfId="4969"/>
    <cellStyle name="Normal 17 3 3 3 2" xfId="9125"/>
    <cellStyle name="Normal 17 3 3 3 2 2" xfId="25722"/>
    <cellStyle name="Normal 17 3 3 3 2 3" xfId="17425"/>
    <cellStyle name="Normal 17 3 3 3 3" xfId="21582"/>
    <cellStyle name="Normal 17 3 3 3 4" xfId="13285"/>
    <cellStyle name="Normal 17 3 3 4" xfId="7053"/>
    <cellStyle name="Normal 17 3 3 4 2" xfId="23650"/>
    <cellStyle name="Normal 17 3 3 4 3" xfId="15353"/>
    <cellStyle name="Normal 17 3 3 5" xfId="19510"/>
    <cellStyle name="Normal 17 3 3 6" xfId="11213"/>
    <cellStyle name="Normal 17 3 4" xfId="3360"/>
    <cellStyle name="Normal 17 3 4 2" xfId="5488"/>
    <cellStyle name="Normal 17 3 4 2 2" xfId="9644"/>
    <cellStyle name="Normal 17 3 4 2 2 2" xfId="26241"/>
    <cellStyle name="Normal 17 3 4 2 2 3" xfId="17944"/>
    <cellStyle name="Normal 17 3 4 2 3" xfId="22101"/>
    <cellStyle name="Normal 17 3 4 2 4" xfId="13804"/>
    <cellStyle name="Normal 17 3 4 3" xfId="7572"/>
    <cellStyle name="Normal 17 3 4 3 2" xfId="24169"/>
    <cellStyle name="Normal 17 3 4 3 3" xfId="15872"/>
    <cellStyle name="Normal 17 3 4 4" xfId="20029"/>
    <cellStyle name="Normal 17 3 4 5" xfId="11732"/>
    <cellStyle name="Normal 17 3 5" xfId="4440"/>
    <cellStyle name="Normal 17 3 5 2" xfId="8608"/>
    <cellStyle name="Normal 17 3 5 2 2" xfId="25205"/>
    <cellStyle name="Normal 17 3 5 2 3" xfId="16908"/>
    <cellStyle name="Normal 17 3 5 3" xfId="21065"/>
    <cellStyle name="Normal 17 3 5 4" xfId="12768"/>
    <cellStyle name="Normal 17 3 6" xfId="6531"/>
    <cellStyle name="Normal 17 3 6 2" xfId="23135"/>
    <cellStyle name="Normal 17 3 6 3" xfId="14838"/>
    <cellStyle name="Normal 17 3 7" xfId="18992"/>
    <cellStyle name="Normal 17 3 8" xfId="10695"/>
    <cellStyle name="Normal 17 4" xfId="1488"/>
    <cellStyle name="Normal 17 4 2" xfId="2834"/>
    <cellStyle name="Normal 17 4 2 2" xfId="3880"/>
    <cellStyle name="Normal 17 4 2 2 2" xfId="6005"/>
    <cellStyle name="Normal 17 4 2 2 2 2" xfId="10161"/>
    <cellStyle name="Normal 17 4 2 2 2 2 2" xfId="26758"/>
    <cellStyle name="Normal 17 4 2 2 2 2 3" xfId="18461"/>
    <cellStyle name="Normal 17 4 2 2 2 3" xfId="22618"/>
    <cellStyle name="Normal 17 4 2 2 2 4" xfId="14321"/>
    <cellStyle name="Normal 17 4 2 2 3" xfId="8089"/>
    <cellStyle name="Normal 17 4 2 2 3 2" xfId="24686"/>
    <cellStyle name="Normal 17 4 2 2 3 3" xfId="16389"/>
    <cellStyle name="Normal 17 4 2 2 4" xfId="20546"/>
    <cellStyle name="Normal 17 4 2 2 5" xfId="12249"/>
    <cellStyle name="Normal 17 4 2 3" xfId="4971"/>
    <cellStyle name="Normal 17 4 2 3 2" xfId="9127"/>
    <cellStyle name="Normal 17 4 2 3 2 2" xfId="25724"/>
    <cellStyle name="Normal 17 4 2 3 2 3" xfId="17427"/>
    <cellStyle name="Normal 17 4 2 3 3" xfId="21584"/>
    <cellStyle name="Normal 17 4 2 3 4" xfId="13287"/>
    <cellStyle name="Normal 17 4 2 4" xfId="7055"/>
    <cellStyle name="Normal 17 4 2 4 2" xfId="23652"/>
    <cellStyle name="Normal 17 4 2 4 3" xfId="15355"/>
    <cellStyle name="Normal 17 4 2 5" xfId="19512"/>
    <cellStyle name="Normal 17 4 2 6" xfId="11215"/>
    <cellStyle name="Normal 17 4 3" xfId="3362"/>
    <cellStyle name="Normal 17 4 3 2" xfId="5490"/>
    <cellStyle name="Normal 17 4 3 2 2" xfId="9646"/>
    <cellStyle name="Normal 17 4 3 2 2 2" xfId="26243"/>
    <cellStyle name="Normal 17 4 3 2 2 3" xfId="17946"/>
    <cellStyle name="Normal 17 4 3 2 3" xfId="22103"/>
    <cellStyle name="Normal 17 4 3 2 4" xfId="13806"/>
    <cellStyle name="Normal 17 4 3 3" xfId="7574"/>
    <cellStyle name="Normal 17 4 3 3 2" xfId="24171"/>
    <cellStyle name="Normal 17 4 3 3 3" xfId="15874"/>
    <cellStyle name="Normal 17 4 3 4" xfId="20031"/>
    <cellStyle name="Normal 17 4 3 5" xfId="11734"/>
    <cellStyle name="Normal 17 4 4" xfId="4442"/>
    <cellStyle name="Normal 17 4 4 2" xfId="8610"/>
    <cellStyle name="Normal 17 4 4 2 2" xfId="25207"/>
    <cellStyle name="Normal 17 4 4 2 3" xfId="16910"/>
    <cellStyle name="Normal 17 4 4 3" xfId="21067"/>
    <cellStyle name="Normal 17 4 4 4" xfId="12770"/>
    <cellStyle name="Normal 17 4 5" xfId="6533"/>
    <cellStyle name="Normal 17 4 5 2" xfId="23137"/>
    <cellStyle name="Normal 17 4 5 3" xfId="14840"/>
    <cellStyle name="Normal 17 4 6" xfId="18994"/>
    <cellStyle name="Normal 17 4 7" xfId="10697"/>
    <cellStyle name="Normal 17 5" xfId="2829"/>
    <cellStyle name="Normal 17 5 2" xfId="3875"/>
    <cellStyle name="Normal 17 5 2 2" xfId="6000"/>
    <cellStyle name="Normal 17 5 2 2 2" xfId="10156"/>
    <cellStyle name="Normal 17 5 2 2 2 2" xfId="26753"/>
    <cellStyle name="Normal 17 5 2 2 2 3" xfId="18456"/>
    <cellStyle name="Normal 17 5 2 2 3" xfId="22613"/>
    <cellStyle name="Normal 17 5 2 2 4" xfId="14316"/>
    <cellStyle name="Normal 17 5 2 3" xfId="8084"/>
    <cellStyle name="Normal 17 5 2 3 2" xfId="24681"/>
    <cellStyle name="Normal 17 5 2 3 3" xfId="16384"/>
    <cellStyle name="Normal 17 5 2 4" xfId="20541"/>
    <cellStyle name="Normal 17 5 2 5" xfId="12244"/>
    <cellStyle name="Normal 17 5 3" xfId="4966"/>
    <cellStyle name="Normal 17 5 3 2" xfId="9122"/>
    <cellStyle name="Normal 17 5 3 2 2" xfId="25719"/>
    <cellStyle name="Normal 17 5 3 2 3" xfId="17422"/>
    <cellStyle name="Normal 17 5 3 3" xfId="21579"/>
    <cellStyle name="Normal 17 5 3 4" xfId="13282"/>
    <cellStyle name="Normal 17 5 4" xfId="7050"/>
    <cellStyle name="Normal 17 5 4 2" xfId="23647"/>
    <cellStyle name="Normal 17 5 4 3" xfId="15350"/>
    <cellStyle name="Normal 17 5 5" xfId="19507"/>
    <cellStyle name="Normal 17 5 6" xfId="11210"/>
    <cellStyle name="Normal 17 6" xfId="3357"/>
    <cellStyle name="Normal 17 6 2" xfId="5485"/>
    <cellStyle name="Normal 17 6 2 2" xfId="9641"/>
    <cellStyle name="Normal 17 6 2 2 2" xfId="26238"/>
    <cellStyle name="Normal 17 6 2 2 3" xfId="17941"/>
    <cellStyle name="Normal 17 6 2 3" xfId="22098"/>
    <cellStyle name="Normal 17 6 2 4" xfId="13801"/>
    <cellStyle name="Normal 17 6 3" xfId="7569"/>
    <cellStyle name="Normal 17 6 3 2" xfId="24166"/>
    <cellStyle name="Normal 17 6 3 3" xfId="15869"/>
    <cellStyle name="Normal 17 6 4" xfId="20026"/>
    <cellStyle name="Normal 17 6 5" xfId="11729"/>
    <cellStyle name="Normal 17 7" xfId="4437"/>
    <cellStyle name="Normal 17 7 2" xfId="8605"/>
    <cellStyle name="Normal 17 7 2 2" xfId="25202"/>
    <cellStyle name="Normal 17 7 2 3" xfId="16905"/>
    <cellStyle name="Normal 17 7 3" xfId="21062"/>
    <cellStyle name="Normal 17 7 4" xfId="12765"/>
    <cellStyle name="Normal 17 8" xfId="6528"/>
    <cellStyle name="Normal 17 8 2" xfId="23132"/>
    <cellStyle name="Normal 17 8 3" xfId="14835"/>
    <cellStyle name="Normal 17 9" xfId="18989"/>
    <cellStyle name="Normal 18" xfId="1489"/>
    <cellStyle name="Normal 18 10" xfId="10698"/>
    <cellStyle name="Normal 18 2" xfId="1490"/>
    <cellStyle name="Normal 18 2 2" xfId="1491"/>
    <cellStyle name="Normal 18 2 2 2" xfId="2837"/>
    <cellStyle name="Normal 18 2 2 2 2" xfId="3883"/>
    <cellStyle name="Normal 18 2 2 2 2 2" xfId="6008"/>
    <cellStyle name="Normal 18 2 2 2 2 2 2" xfId="10164"/>
    <cellStyle name="Normal 18 2 2 2 2 2 2 2" xfId="26761"/>
    <cellStyle name="Normal 18 2 2 2 2 2 2 3" xfId="18464"/>
    <cellStyle name="Normal 18 2 2 2 2 2 3" xfId="22621"/>
    <cellStyle name="Normal 18 2 2 2 2 2 4" xfId="14324"/>
    <cellStyle name="Normal 18 2 2 2 2 3" xfId="8092"/>
    <cellStyle name="Normal 18 2 2 2 2 3 2" xfId="24689"/>
    <cellStyle name="Normal 18 2 2 2 2 3 3" xfId="16392"/>
    <cellStyle name="Normal 18 2 2 2 2 4" xfId="20549"/>
    <cellStyle name="Normal 18 2 2 2 2 5" xfId="12252"/>
    <cellStyle name="Normal 18 2 2 2 3" xfId="4974"/>
    <cellStyle name="Normal 18 2 2 2 3 2" xfId="9130"/>
    <cellStyle name="Normal 18 2 2 2 3 2 2" xfId="25727"/>
    <cellStyle name="Normal 18 2 2 2 3 2 3" xfId="17430"/>
    <cellStyle name="Normal 18 2 2 2 3 3" xfId="21587"/>
    <cellStyle name="Normal 18 2 2 2 3 4" xfId="13290"/>
    <cellStyle name="Normal 18 2 2 2 4" xfId="7058"/>
    <cellStyle name="Normal 18 2 2 2 4 2" xfId="23655"/>
    <cellStyle name="Normal 18 2 2 2 4 3" xfId="15358"/>
    <cellStyle name="Normal 18 2 2 2 5" xfId="19515"/>
    <cellStyle name="Normal 18 2 2 2 6" xfId="11218"/>
    <cellStyle name="Normal 18 2 2 3" xfId="3365"/>
    <cellStyle name="Normal 18 2 2 3 2" xfId="5493"/>
    <cellStyle name="Normal 18 2 2 3 2 2" xfId="9649"/>
    <cellStyle name="Normal 18 2 2 3 2 2 2" xfId="26246"/>
    <cellStyle name="Normal 18 2 2 3 2 2 3" xfId="17949"/>
    <cellStyle name="Normal 18 2 2 3 2 3" xfId="22106"/>
    <cellStyle name="Normal 18 2 2 3 2 4" xfId="13809"/>
    <cellStyle name="Normal 18 2 2 3 3" xfId="7577"/>
    <cellStyle name="Normal 18 2 2 3 3 2" xfId="24174"/>
    <cellStyle name="Normal 18 2 2 3 3 3" xfId="15877"/>
    <cellStyle name="Normal 18 2 2 3 4" xfId="20034"/>
    <cellStyle name="Normal 18 2 2 3 5" xfId="11737"/>
    <cellStyle name="Normal 18 2 2 4" xfId="4445"/>
    <cellStyle name="Normal 18 2 2 4 2" xfId="8613"/>
    <cellStyle name="Normal 18 2 2 4 2 2" xfId="25210"/>
    <cellStyle name="Normal 18 2 2 4 2 3" xfId="16913"/>
    <cellStyle name="Normal 18 2 2 4 3" xfId="21070"/>
    <cellStyle name="Normal 18 2 2 4 4" xfId="12773"/>
    <cellStyle name="Normal 18 2 2 5" xfId="6536"/>
    <cellStyle name="Normal 18 2 2 5 2" xfId="23140"/>
    <cellStyle name="Normal 18 2 2 5 3" xfId="14843"/>
    <cellStyle name="Normal 18 2 2 6" xfId="18997"/>
    <cellStyle name="Normal 18 2 2 7" xfId="10700"/>
    <cellStyle name="Normal 18 2 3" xfId="2836"/>
    <cellStyle name="Normal 18 2 3 2" xfId="3882"/>
    <cellStyle name="Normal 18 2 3 2 2" xfId="6007"/>
    <cellStyle name="Normal 18 2 3 2 2 2" xfId="10163"/>
    <cellStyle name="Normal 18 2 3 2 2 2 2" xfId="26760"/>
    <cellStyle name="Normal 18 2 3 2 2 2 3" xfId="18463"/>
    <cellStyle name="Normal 18 2 3 2 2 3" xfId="22620"/>
    <cellStyle name="Normal 18 2 3 2 2 4" xfId="14323"/>
    <cellStyle name="Normal 18 2 3 2 3" xfId="8091"/>
    <cellStyle name="Normal 18 2 3 2 3 2" xfId="24688"/>
    <cellStyle name="Normal 18 2 3 2 3 3" xfId="16391"/>
    <cellStyle name="Normal 18 2 3 2 4" xfId="20548"/>
    <cellStyle name="Normal 18 2 3 2 5" xfId="12251"/>
    <cellStyle name="Normal 18 2 3 3" xfId="4973"/>
    <cellStyle name="Normal 18 2 3 3 2" xfId="9129"/>
    <cellStyle name="Normal 18 2 3 3 2 2" xfId="25726"/>
    <cellStyle name="Normal 18 2 3 3 2 3" xfId="17429"/>
    <cellStyle name="Normal 18 2 3 3 3" xfId="21586"/>
    <cellStyle name="Normal 18 2 3 3 4" xfId="13289"/>
    <cellStyle name="Normal 18 2 3 4" xfId="7057"/>
    <cellStyle name="Normal 18 2 3 4 2" xfId="23654"/>
    <cellStyle name="Normal 18 2 3 4 3" xfId="15357"/>
    <cellStyle name="Normal 18 2 3 5" xfId="19514"/>
    <cellStyle name="Normal 18 2 3 6" xfId="11217"/>
    <cellStyle name="Normal 18 2 4" xfId="3364"/>
    <cellStyle name="Normal 18 2 4 2" xfId="5492"/>
    <cellStyle name="Normal 18 2 4 2 2" xfId="9648"/>
    <cellStyle name="Normal 18 2 4 2 2 2" xfId="26245"/>
    <cellStyle name="Normal 18 2 4 2 2 3" xfId="17948"/>
    <cellStyle name="Normal 18 2 4 2 3" xfId="22105"/>
    <cellStyle name="Normal 18 2 4 2 4" xfId="13808"/>
    <cellStyle name="Normal 18 2 4 3" xfId="7576"/>
    <cellStyle name="Normal 18 2 4 3 2" xfId="24173"/>
    <cellStyle name="Normal 18 2 4 3 3" xfId="15876"/>
    <cellStyle name="Normal 18 2 4 4" xfId="20033"/>
    <cellStyle name="Normal 18 2 4 5" xfId="11736"/>
    <cellStyle name="Normal 18 2 5" xfId="4444"/>
    <cellStyle name="Normal 18 2 5 2" xfId="8612"/>
    <cellStyle name="Normal 18 2 5 2 2" xfId="25209"/>
    <cellStyle name="Normal 18 2 5 2 3" xfId="16912"/>
    <cellStyle name="Normal 18 2 5 3" xfId="21069"/>
    <cellStyle name="Normal 18 2 5 4" xfId="12772"/>
    <cellStyle name="Normal 18 2 6" xfId="6535"/>
    <cellStyle name="Normal 18 2 6 2" xfId="23139"/>
    <cellStyle name="Normal 18 2 6 3" xfId="14842"/>
    <cellStyle name="Normal 18 2 7" xfId="18996"/>
    <cellStyle name="Normal 18 2 8" xfId="10699"/>
    <cellStyle name="Normal 18 3" xfId="1492"/>
    <cellStyle name="Normal 18 3 2" xfId="1493"/>
    <cellStyle name="Normal 18 3 2 2" xfId="2839"/>
    <cellStyle name="Normal 18 3 2 2 2" xfId="3885"/>
    <cellStyle name="Normal 18 3 2 2 2 2" xfId="6010"/>
    <cellStyle name="Normal 18 3 2 2 2 2 2" xfId="10166"/>
    <cellStyle name="Normal 18 3 2 2 2 2 2 2" xfId="26763"/>
    <cellStyle name="Normal 18 3 2 2 2 2 2 3" xfId="18466"/>
    <cellStyle name="Normal 18 3 2 2 2 2 3" xfId="22623"/>
    <cellStyle name="Normal 18 3 2 2 2 2 4" xfId="14326"/>
    <cellStyle name="Normal 18 3 2 2 2 3" xfId="8094"/>
    <cellStyle name="Normal 18 3 2 2 2 3 2" xfId="24691"/>
    <cellStyle name="Normal 18 3 2 2 2 3 3" xfId="16394"/>
    <cellStyle name="Normal 18 3 2 2 2 4" xfId="20551"/>
    <cellStyle name="Normal 18 3 2 2 2 5" xfId="12254"/>
    <cellStyle name="Normal 18 3 2 2 3" xfId="4976"/>
    <cellStyle name="Normal 18 3 2 2 3 2" xfId="9132"/>
    <cellStyle name="Normal 18 3 2 2 3 2 2" xfId="25729"/>
    <cellStyle name="Normal 18 3 2 2 3 2 3" xfId="17432"/>
    <cellStyle name="Normal 18 3 2 2 3 3" xfId="21589"/>
    <cellStyle name="Normal 18 3 2 2 3 4" xfId="13292"/>
    <cellStyle name="Normal 18 3 2 2 4" xfId="7060"/>
    <cellStyle name="Normal 18 3 2 2 4 2" xfId="23657"/>
    <cellStyle name="Normal 18 3 2 2 4 3" xfId="15360"/>
    <cellStyle name="Normal 18 3 2 2 5" xfId="19517"/>
    <cellStyle name="Normal 18 3 2 2 6" xfId="11220"/>
    <cellStyle name="Normal 18 3 2 3" xfId="3367"/>
    <cellStyle name="Normal 18 3 2 3 2" xfId="5495"/>
    <cellStyle name="Normal 18 3 2 3 2 2" xfId="9651"/>
    <cellStyle name="Normal 18 3 2 3 2 2 2" xfId="26248"/>
    <cellStyle name="Normal 18 3 2 3 2 2 3" xfId="17951"/>
    <cellStyle name="Normal 18 3 2 3 2 3" xfId="22108"/>
    <cellStyle name="Normal 18 3 2 3 2 4" xfId="13811"/>
    <cellStyle name="Normal 18 3 2 3 3" xfId="7579"/>
    <cellStyle name="Normal 18 3 2 3 3 2" xfId="24176"/>
    <cellStyle name="Normal 18 3 2 3 3 3" xfId="15879"/>
    <cellStyle name="Normal 18 3 2 3 4" xfId="20036"/>
    <cellStyle name="Normal 18 3 2 3 5" xfId="11739"/>
    <cellStyle name="Normal 18 3 2 4" xfId="4447"/>
    <cellStyle name="Normal 18 3 2 4 2" xfId="8615"/>
    <cellStyle name="Normal 18 3 2 4 2 2" xfId="25212"/>
    <cellStyle name="Normal 18 3 2 4 2 3" xfId="16915"/>
    <cellStyle name="Normal 18 3 2 4 3" xfId="21072"/>
    <cellStyle name="Normal 18 3 2 4 4" xfId="12775"/>
    <cellStyle name="Normal 18 3 2 5" xfId="6538"/>
    <cellStyle name="Normal 18 3 2 5 2" xfId="23142"/>
    <cellStyle name="Normal 18 3 2 5 3" xfId="14845"/>
    <cellStyle name="Normal 18 3 2 6" xfId="18999"/>
    <cellStyle name="Normal 18 3 2 7" xfId="10702"/>
    <cellStyle name="Normal 18 3 3" xfId="2838"/>
    <cellStyle name="Normal 18 3 3 2" xfId="3884"/>
    <cellStyle name="Normal 18 3 3 2 2" xfId="6009"/>
    <cellStyle name="Normal 18 3 3 2 2 2" xfId="10165"/>
    <cellStyle name="Normal 18 3 3 2 2 2 2" xfId="26762"/>
    <cellStyle name="Normal 18 3 3 2 2 2 3" xfId="18465"/>
    <cellStyle name="Normal 18 3 3 2 2 3" xfId="22622"/>
    <cellStyle name="Normal 18 3 3 2 2 4" xfId="14325"/>
    <cellStyle name="Normal 18 3 3 2 3" xfId="8093"/>
    <cellStyle name="Normal 18 3 3 2 3 2" xfId="24690"/>
    <cellStyle name="Normal 18 3 3 2 3 3" xfId="16393"/>
    <cellStyle name="Normal 18 3 3 2 4" xfId="20550"/>
    <cellStyle name="Normal 18 3 3 2 5" xfId="12253"/>
    <cellStyle name="Normal 18 3 3 3" xfId="4975"/>
    <cellStyle name="Normal 18 3 3 3 2" xfId="9131"/>
    <cellStyle name="Normal 18 3 3 3 2 2" xfId="25728"/>
    <cellStyle name="Normal 18 3 3 3 2 3" xfId="17431"/>
    <cellStyle name="Normal 18 3 3 3 3" xfId="21588"/>
    <cellStyle name="Normal 18 3 3 3 4" xfId="13291"/>
    <cellStyle name="Normal 18 3 3 4" xfId="7059"/>
    <cellStyle name="Normal 18 3 3 4 2" xfId="23656"/>
    <cellStyle name="Normal 18 3 3 4 3" xfId="15359"/>
    <cellStyle name="Normal 18 3 3 5" xfId="19516"/>
    <cellStyle name="Normal 18 3 3 6" xfId="11219"/>
    <cellStyle name="Normal 18 3 4" xfId="3366"/>
    <cellStyle name="Normal 18 3 4 2" xfId="5494"/>
    <cellStyle name="Normal 18 3 4 2 2" xfId="9650"/>
    <cellStyle name="Normal 18 3 4 2 2 2" xfId="26247"/>
    <cellStyle name="Normal 18 3 4 2 2 3" xfId="17950"/>
    <cellStyle name="Normal 18 3 4 2 3" xfId="22107"/>
    <cellStyle name="Normal 18 3 4 2 4" xfId="13810"/>
    <cellStyle name="Normal 18 3 4 3" xfId="7578"/>
    <cellStyle name="Normal 18 3 4 3 2" xfId="24175"/>
    <cellStyle name="Normal 18 3 4 3 3" xfId="15878"/>
    <cellStyle name="Normal 18 3 4 4" xfId="20035"/>
    <cellStyle name="Normal 18 3 4 5" xfId="11738"/>
    <cellStyle name="Normal 18 3 5" xfId="4446"/>
    <cellStyle name="Normal 18 3 5 2" xfId="8614"/>
    <cellStyle name="Normal 18 3 5 2 2" xfId="25211"/>
    <cellStyle name="Normal 18 3 5 2 3" xfId="16914"/>
    <cellStyle name="Normal 18 3 5 3" xfId="21071"/>
    <cellStyle name="Normal 18 3 5 4" xfId="12774"/>
    <cellStyle name="Normal 18 3 6" xfId="6537"/>
    <cellStyle name="Normal 18 3 6 2" xfId="23141"/>
    <cellStyle name="Normal 18 3 6 3" xfId="14844"/>
    <cellStyle name="Normal 18 3 7" xfId="18998"/>
    <cellStyle name="Normal 18 3 8" xfId="10701"/>
    <cellStyle name="Normal 18 4" xfId="1494"/>
    <cellStyle name="Normal 18 4 2" xfId="2840"/>
    <cellStyle name="Normal 18 4 2 2" xfId="3886"/>
    <cellStyle name="Normal 18 4 2 2 2" xfId="6011"/>
    <cellStyle name="Normal 18 4 2 2 2 2" xfId="10167"/>
    <cellStyle name="Normal 18 4 2 2 2 2 2" xfId="26764"/>
    <cellStyle name="Normal 18 4 2 2 2 2 3" xfId="18467"/>
    <cellStyle name="Normal 18 4 2 2 2 3" xfId="22624"/>
    <cellStyle name="Normal 18 4 2 2 2 4" xfId="14327"/>
    <cellStyle name="Normal 18 4 2 2 3" xfId="8095"/>
    <cellStyle name="Normal 18 4 2 2 3 2" xfId="24692"/>
    <cellStyle name="Normal 18 4 2 2 3 3" xfId="16395"/>
    <cellStyle name="Normal 18 4 2 2 4" xfId="20552"/>
    <cellStyle name="Normal 18 4 2 2 5" xfId="12255"/>
    <cellStyle name="Normal 18 4 2 3" xfId="4977"/>
    <cellStyle name="Normal 18 4 2 3 2" xfId="9133"/>
    <cellStyle name="Normal 18 4 2 3 2 2" xfId="25730"/>
    <cellStyle name="Normal 18 4 2 3 2 3" xfId="17433"/>
    <cellStyle name="Normal 18 4 2 3 3" xfId="21590"/>
    <cellStyle name="Normal 18 4 2 3 4" xfId="13293"/>
    <cellStyle name="Normal 18 4 2 4" xfId="7061"/>
    <cellStyle name="Normal 18 4 2 4 2" xfId="23658"/>
    <cellStyle name="Normal 18 4 2 4 3" xfId="15361"/>
    <cellStyle name="Normal 18 4 2 5" xfId="19518"/>
    <cellStyle name="Normal 18 4 2 6" xfId="11221"/>
    <cellStyle name="Normal 18 4 3" xfId="3368"/>
    <cellStyle name="Normal 18 4 3 2" xfId="5496"/>
    <cellStyle name="Normal 18 4 3 2 2" xfId="9652"/>
    <cellStyle name="Normal 18 4 3 2 2 2" xfId="26249"/>
    <cellStyle name="Normal 18 4 3 2 2 3" xfId="17952"/>
    <cellStyle name="Normal 18 4 3 2 3" xfId="22109"/>
    <cellStyle name="Normal 18 4 3 2 4" xfId="13812"/>
    <cellStyle name="Normal 18 4 3 3" xfId="7580"/>
    <cellStyle name="Normal 18 4 3 3 2" xfId="24177"/>
    <cellStyle name="Normal 18 4 3 3 3" xfId="15880"/>
    <cellStyle name="Normal 18 4 3 4" xfId="20037"/>
    <cellStyle name="Normal 18 4 3 5" xfId="11740"/>
    <cellStyle name="Normal 18 4 4" xfId="4448"/>
    <cellStyle name="Normal 18 4 4 2" xfId="8616"/>
    <cellStyle name="Normal 18 4 4 2 2" xfId="25213"/>
    <cellStyle name="Normal 18 4 4 2 3" xfId="16916"/>
    <cellStyle name="Normal 18 4 4 3" xfId="21073"/>
    <cellStyle name="Normal 18 4 4 4" xfId="12776"/>
    <cellStyle name="Normal 18 4 5" xfId="6539"/>
    <cellStyle name="Normal 18 4 5 2" xfId="23143"/>
    <cellStyle name="Normal 18 4 5 3" xfId="14846"/>
    <cellStyle name="Normal 18 4 6" xfId="19000"/>
    <cellStyle name="Normal 18 4 7" xfId="10703"/>
    <cellStyle name="Normal 18 5" xfId="2835"/>
    <cellStyle name="Normal 18 5 2" xfId="3881"/>
    <cellStyle name="Normal 18 5 2 2" xfId="6006"/>
    <cellStyle name="Normal 18 5 2 2 2" xfId="10162"/>
    <cellStyle name="Normal 18 5 2 2 2 2" xfId="26759"/>
    <cellStyle name="Normal 18 5 2 2 2 3" xfId="18462"/>
    <cellStyle name="Normal 18 5 2 2 3" xfId="22619"/>
    <cellStyle name="Normal 18 5 2 2 4" xfId="14322"/>
    <cellStyle name="Normal 18 5 2 3" xfId="8090"/>
    <cellStyle name="Normal 18 5 2 3 2" xfId="24687"/>
    <cellStyle name="Normal 18 5 2 3 3" xfId="16390"/>
    <cellStyle name="Normal 18 5 2 4" xfId="20547"/>
    <cellStyle name="Normal 18 5 2 5" xfId="12250"/>
    <cellStyle name="Normal 18 5 3" xfId="4972"/>
    <cellStyle name="Normal 18 5 3 2" xfId="9128"/>
    <cellStyle name="Normal 18 5 3 2 2" xfId="25725"/>
    <cellStyle name="Normal 18 5 3 2 3" xfId="17428"/>
    <cellStyle name="Normal 18 5 3 3" xfId="21585"/>
    <cellStyle name="Normal 18 5 3 4" xfId="13288"/>
    <cellStyle name="Normal 18 5 4" xfId="7056"/>
    <cellStyle name="Normal 18 5 4 2" xfId="23653"/>
    <cellStyle name="Normal 18 5 4 3" xfId="15356"/>
    <cellStyle name="Normal 18 5 5" xfId="19513"/>
    <cellStyle name="Normal 18 5 6" xfId="11216"/>
    <cellStyle name="Normal 18 6" xfId="3363"/>
    <cellStyle name="Normal 18 6 2" xfId="5491"/>
    <cellStyle name="Normal 18 6 2 2" xfId="9647"/>
    <cellStyle name="Normal 18 6 2 2 2" xfId="26244"/>
    <cellStyle name="Normal 18 6 2 2 3" xfId="17947"/>
    <cellStyle name="Normal 18 6 2 3" xfId="22104"/>
    <cellStyle name="Normal 18 6 2 4" xfId="13807"/>
    <cellStyle name="Normal 18 6 3" xfId="7575"/>
    <cellStyle name="Normal 18 6 3 2" xfId="24172"/>
    <cellStyle name="Normal 18 6 3 3" xfId="15875"/>
    <cellStyle name="Normal 18 6 4" xfId="20032"/>
    <cellStyle name="Normal 18 6 5" xfId="11735"/>
    <cellStyle name="Normal 18 7" xfId="4443"/>
    <cellStyle name="Normal 18 7 2" xfId="8611"/>
    <cellStyle name="Normal 18 7 2 2" xfId="25208"/>
    <cellStyle name="Normal 18 7 2 3" xfId="16911"/>
    <cellStyle name="Normal 18 7 3" xfId="21068"/>
    <cellStyle name="Normal 18 7 4" xfId="12771"/>
    <cellStyle name="Normal 18 8" xfId="6534"/>
    <cellStyle name="Normal 18 8 2" xfId="23138"/>
    <cellStyle name="Normal 18 8 3" xfId="14841"/>
    <cellStyle name="Normal 18 9" xfId="18995"/>
    <cellStyle name="Normal 19" xfId="1495"/>
    <cellStyle name="Normal 19 10" xfId="10704"/>
    <cellStyle name="Normal 19 2" xfId="1496"/>
    <cellStyle name="Normal 19 2 2" xfId="1497"/>
    <cellStyle name="Normal 19 2 2 2" xfId="2843"/>
    <cellStyle name="Normal 19 2 2 2 2" xfId="3889"/>
    <cellStyle name="Normal 19 2 2 2 2 2" xfId="6014"/>
    <cellStyle name="Normal 19 2 2 2 2 2 2" xfId="10170"/>
    <cellStyle name="Normal 19 2 2 2 2 2 2 2" xfId="26767"/>
    <cellStyle name="Normal 19 2 2 2 2 2 2 3" xfId="18470"/>
    <cellStyle name="Normal 19 2 2 2 2 2 3" xfId="22627"/>
    <cellStyle name="Normal 19 2 2 2 2 2 4" xfId="14330"/>
    <cellStyle name="Normal 19 2 2 2 2 3" xfId="8098"/>
    <cellStyle name="Normal 19 2 2 2 2 3 2" xfId="24695"/>
    <cellStyle name="Normal 19 2 2 2 2 3 3" xfId="16398"/>
    <cellStyle name="Normal 19 2 2 2 2 4" xfId="20555"/>
    <cellStyle name="Normal 19 2 2 2 2 5" xfId="12258"/>
    <cellStyle name="Normal 19 2 2 2 3" xfId="4980"/>
    <cellStyle name="Normal 19 2 2 2 3 2" xfId="9136"/>
    <cellStyle name="Normal 19 2 2 2 3 2 2" xfId="25733"/>
    <cellStyle name="Normal 19 2 2 2 3 2 3" xfId="17436"/>
    <cellStyle name="Normal 19 2 2 2 3 3" xfId="21593"/>
    <cellStyle name="Normal 19 2 2 2 3 4" xfId="13296"/>
    <cellStyle name="Normal 19 2 2 2 4" xfId="7064"/>
    <cellStyle name="Normal 19 2 2 2 4 2" xfId="23661"/>
    <cellStyle name="Normal 19 2 2 2 4 3" xfId="15364"/>
    <cellStyle name="Normal 19 2 2 2 5" xfId="19521"/>
    <cellStyle name="Normal 19 2 2 2 6" xfId="11224"/>
    <cellStyle name="Normal 19 2 2 3" xfId="3371"/>
    <cellStyle name="Normal 19 2 2 3 2" xfId="5499"/>
    <cellStyle name="Normal 19 2 2 3 2 2" xfId="9655"/>
    <cellStyle name="Normal 19 2 2 3 2 2 2" xfId="26252"/>
    <cellStyle name="Normal 19 2 2 3 2 2 3" xfId="17955"/>
    <cellStyle name="Normal 19 2 2 3 2 3" xfId="22112"/>
    <cellStyle name="Normal 19 2 2 3 2 4" xfId="13815"/>
    <cellStyle name="Normal 19 2 2 3 3" xfId="7583"/>
    <cellStyle name="Normal 19 2 2 3 3 2" xfId="24180"/>
    <cellStyle name="Normal 19 2 2 3 3 3" xfId="15883"/>
    <cellStyle name="Normal 19 2 2 3 4" xfId="20040"/>
    <cellStyle name="Normal 19 2 2 3 5" xfId="11743"/>
    <cellStyle name="Normal 19 2 2 4" xfId="4451"/>
    <cellStyle name="Normal 19 2 2 4 2" xfId="8619"/>
    <cellStyle name="Normal 19 2 2 4 2 2" xfId="25216"/>
    <cellStyle name="Normal 19 2 2 4 2 3" xfId="16919"/>
    <cellStyle name="Normal 19 2 2 4 3" xfId="21076"/>
    <cellStyle name="Normal 19 2 2 4 4" xfId="12779"/>
    <cellStyle name="Normal 19 2 2 5" xfId="6542"/>
    <cellStyle name="Normal 19 2 2 5 2" xfId="23146"/>
    <cellStyle name="Normal 19 2 2 5 3" xfId="14849"/>
    <cellStyle name="Normal 19 2 2 6" xfId="19003"/>
    <cellStyle name="Normal 19 2 2 7" xfId="10706"/>
    <cellStyle name="Normal 19 2 3" xfId="2842"/>
    <cellStyle name="Normal 19 2 3 2" xfId="3888"/>
    <cellStyle name="Normal 19 2 3 2 2" xfId="6013"/>
    <cellStyle name="Normal 19 2 3 2 2 2" xfId="10169"/>
    <cellStyle name="Normal 19 2 3 2 2 2 2" xfId="26766"/>
    <cellStyle name="Normal 19 2 3 2 2 2 3" xfId="18469"/>
    <cellStyle name="Normal 19 2 3 2 2 3" xfId="22626"/>
    <cellStyle name="Normal 19 2 3 2 2 4" xfId="14329"/>
    <cellStyle name="Normal 19 2 3 2 3" xfId="8097"/>
    <cellStyle name="Normal 19 2 3 2 3 2" xfId="24694"/>
    <cellStyle name="Normal 19 2 3 2 3 3" xfId="16397"/>
    <cellStyle name="Normal 19 2 3 2 4" xfId="20554"/>
    <cellStyle name="Normal 19 2 3 2 5" xfId="12257"/>
    <cellStyle name="Normal 19 2 3 3" xfId="4979"/>
    <cellStyle name="Normal 19 2 3 3 2" xfId="9135"/>
    <cellStyle name="Normal 19 2 3 3 2 2" xfId="25732"/>
    <cellStyle name="Normal 19 2 3 3 2 3" xfId="17435"/>
    <cellStyle name="Normal 19 2 3 3 3" xfId="21592"/>
    <cellStyle name="Normal 19 2 3 3 4" xfId="13295"/>
    <cellStyle name="Normal 19 2 3 4" xfId="7063"/>
    <cellStyle name="Normal 19 2 3 4 2" xfId="23660"/>
    <cellStyle name="Normal 19 2 3 4 3" xfId="15363"/>
    <cellStyle name="Normal 19 2 3 5" xfId="19520"/>
    <cellStyle name="Normal 19 2 3 6" xfId="11223"/>
    <cellStyle name="Normal 19 2 4" xfId="3370"/>
    <cellStyle name="Normal 19 2 4 2" xfId="5498"/>
    <cellStyle name="Normal 19 2 4 2 2" xfId="9654"/>
    <cellStyle name="Normal 19 2 4 2 2 2" xfId="26251"/>
    <cellStyle name="Normal 19 2 4 2 2 3" xfId="17954"/>
    <cellStyle name="Normal 19 2 4 2 3" xfId="22111"/>
    <cellStyle name="Normal 19 2 4 2 4" xfId="13814"/>
    <cellStyle name="Normal 19 2 4 3" xfId="7582"/>
    <cellStyle name="Normal 19 2 4 3 2" xfId="24179"/>
    <cellStyle name="Normal 19 2 4 3 3" xfId="15882"/>
    <cellStyle name="Normal 19 2 4 4" xfId="20039"/>
    <cellStyle name="Normal 19 2 4 5" xfId="11742"/>
    <cellStyle name="Normal 19 2 5" xfId="4450"/>
    <cellStyle name="Normal 19 2 5 2" xfId="8618"/>
    <cellStyle name="Normal 19 2 5 2 2" xfId="25215"/>
    <cellStyle name="Normal 19 2 5 2 3" xfId="16918"/>
    <cellStyle name="Normal 19 2 5 3" xfId="21075"/>
    <cellStyle name="Normal 19 2 5 4" xfId="12778"/>
    <cellStyle name="Normal 19 2 6" xfId="6541"/>
    <cellStyle name="Normal 19 2 6 2" xfId="23145"/>
    <cellStyle name="Normal 19 2 6 3" xfId="14848"/>
    <cellStyle name="Normal 19 2 7" xfId="19002"/>
    <cellStyle name="Normal 19 2 8" xfId="10705"/>
    <cellStyle name="Normal 19 3" xfId="1498"/>
    <cellStyle name="Normal 19 3 2" xfId="1499"/>
    <cellStyle name="Normal 19 3 2 2" xfId="2845"/>
    <cellStyle name="Normal 19 3 2 2 2" xfId="3891"/>
    <cellStyle name="Normal 19 3 2 2 2 2" xfId="6016"/>
    <cellStyle name="Normal 19 3 2 2 2 2 2" xfId="10172"/>
    <cellStyle name="Normal 19 3 2 2 2 2 2 2" xfId="26769"/>
    <cellStyle name="Normal 19 3 2 2 2 2 2 3" xfId="18472"/>
    <cellStyle name="Normal 19 3 2 2 2 2 3" xfId="22629"/>
    <cellStyle name="Normal 19 3 2 2 2 2 4" xfId="14332"/>
    <cellStyle name="Normal 19 3 2 2 2 3" xfId="8100"/>
    <cellStyle name="Normal 19 3 2 2 2 3 2" xfId="24697"/>
    <cellStyle name="Normal 19 3 2 2 2 3 3" xfId="16400"/>
    <cellStyle name="Normal 19 3 2 2 2 4" xfId="20557"/>
    <cellStyle name="Normal 19 3 2 2 2 5" xfId="12260"/>
    <cellStyle name="Normal 19 3 2 2 3" xfId="4982"/>
    <cellStyle name="Normal 19 3 2 2 3 2" xfId="9138"/>
    <cellStyle name="Normal 19 3 2 2 3 2 2" xfId="25735"/>
    <cellStyle name="Normal 19 3 2 2 3 2 3" xfId="17438"/>
    <cellStyle name="Normal 19 3 2 2 3 3" xfId="21595"/>
    <cellStyle name="Normal 19 3 2 2 3 4" xfId="13298"/>
    <cellStyle name="Normal 19 3 2 2 4" xfId="7066"/>
    <cellStyle name="Normal 19 3 2 2 4 2" xfId="23663"/>
    <cellStyle name="Normal 19 3 2 2 4 3" xfId="15366"/>
    <cellStyle name="Normal 19 3 2 2 5" xfId="19523"/>
    <cellStyle name="Normal 19 3 2 2 6" xfId="11226"/>
    <cellStyle name="Normal 19 3 2 3" xfId="3373"/>
    <cellStyle name="Normal 19 3 2 3 2" xfId="5501"/>
    <cellStyle name="Normal 19 3 2 3 2 2" xfId="9657"/>
    <cellStyle name="Normal 19 3 2 3 2 2 2" xfId="26254"/>
    <cellStyle name="Normal 19 3 2 3 2 2 3" xfId="17957"/>
    <cellStyle name="Normal 19 3 2 3 2 3" xfId="22114"/>
    <cellStyle name="Normal 19 3 2 3 2 4" xfId="13817"/>
    <cellStyle name="Normal 19 3 2 3 3" xfId="7585"/>
    <cellStyle name="Normal 19 3 2 3 3 2" xfId="24182"/>
    <cellStyle name="Normal 19 3 2 3 3 3" xfId="15885"/>
    <cellStyle name="Normal 19 3 2 3 4" xfId="20042"/>
    <cellStyle name="Normal 19 3 2 3 5" xfId="11745"/>
    <cellStyle name="Normal 19 3 2 4" xfId="4453"/>
    <cellStyle name="Normal 19 3 2 4 2" xfId="8621"/>
    <cellStyle name="Normal 19 3 2 4 2 2" xfId="25218"/>
    <cellStyle name="Normal 19 3 2 4 2 3" xfId="16921"/>
    <cellStyle name="Normal 19 3 2 4 3" xfId="21078"/>
    <cellStyle name="Normal 19 3 2 4 4" xfId="12781"/>
    <cellStyle name="Normal 19 3 2 5" xfId="6544"/>
    <cellStyle name="Normal 19 3 2 5 2" xfId="23148"/>
    <cellStyle name="Normal 19 3 2 5 3" xfId="14851"/>
    <cellStyle name="Normal 19 3 2 6" xfId="19005"/>
    <cellStyle name="Normal 19 3 2 7" xfId="10708"/>
    <cellStyle name="Normal 19 3 3" xfId="2844"/>
    <cellStyle name="Normal 19 3 3 2" xfId="3890"/>
    <cellStyle name="Normal 19 3 3 2 2" xfId="6015"/>
    <cellStyle name="Normal 19 3 3 2 2 2" xfId="10171"/>
    <cellStyle name="Normal 19 3 3 2 2 2 2" xfId="26768"/>
    <cellStyle name="Normal 19 3 3 2 2 2 3" xfId="18471"/>
    <cellStyle name="Normal 19 3 3 2 2 3" xfId="22628"/>
    <cellStyle name="Normal 19 3 3 2 2 4" xfId="14331"/>
    <cellStyle name="Normal 19 3 3 2 3" xfId="8099"/>
    <cellStyle name="Normal 19 3 3 2 3 2" xfId="24696"/>
    <cellStyle name="Normal 19 3 3 2 3 3" xfId="16399"/>
    <cellStyle name="Normal 19 3 3 2 4" xfId="20556"/>
    <cellStyle name="Normal 19 3 3 2 5" xfId="12259"/>
    <cellStyle name="Normal 19 3 3 3" xfId="4981"/>
    <cellStyle name="Normal 19 3 3 3 2" xfId="9137"/>
    <cellStyle name="Normal 19 3 3 3 2 2" xfId="25734"/>
    <cellStyle name="Normal 19 3 3 3 2 3" xfId="17437"/>
    <cellStyle name="Normal 19 3 3 3 3" xfId="21594"/>
    <cellStyle name="Normal 19 3 3 3 4" xfId="13297"/>
    <cellStyle name="Normal 19 3 3 4" xfId="7065"/>
    <cellStyle name="Normal 19 3 3 4 2" xfId="23662"/>
    <cellStyle name="Normal 19 3 3 4 3" xfId="15365"/>
    <cellStyle name="Normal 19 3 3 5" xfId="19522"/>
    <cellStyle name="Normal 19 3 3 6" xfId="11225"/>
    <cellStyle name="Normal 19 3 4" xfId="3372"/>
    <cellStyle name="Normal 19 3 4 2" xfId="5500"/>
    <cellStyle name="Normal 19 3 4 2 2" xfId="9656"/>
    <cellStyle name="Normal 19 3 4 2 2 2" xfId="26253"/>
    <cellStyle name="Normal 19 3 4 2 2 3" xfId="17956"/>
    <cellStyle name="Normal 19 3 4 2 3" xfId="22113"/>
    <cellStyle name="Normal 19 3 4 2 4" xfId="13816"/>
    <cellStyle name="Normal 19 3 4 3" xfId="7584"/>
    <cellStyle name="Normal 19 3 4 3 2" xfId="24181"/>
    <cellStyle name="Normal 19 3 4 3 3" xfId="15884"/>
    <cellStyle name="Normal 19 3 4 4" xfId="20041"/>
    <cellStyle name="Normal 19 3 4 5" xfId="11744"/>
    <cellStyle name="Normal 19 3 5" xfId="4452"/>
    <cellStyle name="Normal 19 3 5 2" xfId="8620"/>
    <cellStyle name="Normal 19 3 5 2 2" xfId="25217"/>
    <cellStyle name="Normal 19 3 5 2 3" xfId="16920"/>
    <cellStyle name="Normal 19 3 5 3" xfId="21077"/>
    <cellStyle name="Normal 19 3 5 4" xfId="12780"/>
    <cellStyle name="Normal 19 3 6" xfId="6543"/>
    <cellStyle name="Normal 19 3 6 2" xfId="23147"/>
    <cellStyle name="Normal 19 3 6 3" xfId="14850"/>
    <cellStyle name="Normal 19 3 7" xfId="19004"/>
    <cellStyle name="Normal 19 3 8" xfId="10707"/>
    <cellStyle name="Normal 19 4" xfId="1500"/>
    <cellStyle name="Normal 19 4 2" xfId="2846"/>
    <cellStyle name="Normal 19 4 2 2" xfId="3892"/>
    <cellStyle name="Normal 19 4 2 2 2" xfId="6017"/>
    <cellStyle name="Normal 19 4 2 2 2 2" xfId="10173"/>
    <cellStyle name="Normal 19 4 2 2 2 2 2" xfId="26770"/>
    <cellStyle name="Normal 19 4 2 2 2 2 3" xfId="18473"/>
    <cellStyle name="Normal 19 4 2 2 2 3" xfId="22630"/>
    <cellStyle name="Normal 19 4 2 2 2 4" xfId="14333"/>
    <cellStyle name="Normal 19 4 2 2 3" xfId="8101"/>
    <cellStyle name="Normal 19 4 2 2 3 2" xfId="24698"/>
    <cellStyle name="Normal 19 4 2 2 3 3" xfId="16401"/>
    <cellStyle name="Normal 19 4 2 2 4" xfId="20558"/>
    <cellStyle name="Normal 19 4 2 2 5" xfId="12261"/>
    <cellStyle name="Normal 19 4 2 3" xfId="4983"/>
    <cellStyle name="Normal 19 4 2 3 2" xfId="9139"/>
    <cellStyle name="Normal 19 4 2 3 2 2" xfId="25736"/>
    <cellStyle name="Normal 19 4 2 3 2 3" xfId="17439"/>
    <cellStyle name="Normal 19 4 2 3 3" xfId="21596"/>
    <cellStyle name="Normal 19 4 2 3 4" xfId="13299"/>
    <cellStyle name="Normal 19 4 2 4" xfId="7067"/>
    <cellStyle name="Normal 19 4 2 4 2" xfId="23664"/>
    <cellStyle name="Normal 19 4 2 4 3" xfId="15367"/>
    <cellStyle name="Normal 19 4 2 5" xfId="19524"/>
    <cellStyle name="Normal 19 4 2 6" xfId="11227"/>
    <cellStyle name="Normal 19 4 3" xfId="3374"/>
    <cellStyle name="Normal 19 4 3 2" xfId="5502"/>
    <cellStyle name="Normal 19 4 3 2 2" xfId="9658"/>
    <cellStyle name="Normal 19 4 3 2 2 2" xfId="26255"/>
    <cellStyle name="Normal 19 4 3 2 2 3" xfId="17958"/>
    <cellStyle name="Normal 19 4 3 2 3" xfId="22115"/>
    <cellStyle name="Normal 19 4 3 2 4" xfId="13818"/>
    <cellStyle name="Normal 19 4 3 3" xfId="7586"/>
    <cellStyle name="Normal 19 4 3 3 2" xfId="24183"/>
    <cellStyle name="Normal 19 4 3 3 3" xfId="15886"/>
    <cellStyle name="Normal 19 4 3 4" xfId="20043"/>
    <cellStyle name="Normal 19 4 3 5" xfId="11746"/>
    <cellStyle name="Normal 19 4 4" xfId="4454"/>
    <cellStyle name="Normal 19 4 4 2" xfId="8622"/>
    <cellStyle name="Normal 19 4 4 2 2" xfId="25219"/>
    <cellStyle name="Normal 19 4 4 2 3" xfId="16922"/>
    <cellStyle name="Normal 19 4 4 3" xfId="21079"/>
    <cellStyle name="Normal 19 4 4 4" xfId="12782"/>
    <cellStyle name="Normal 19 4 5" xfId="6545"/>
    <cellStyle name="Normal 19 4 5 2" xfId="23149"/>
    <cellStyle name="Normal 19 4 5 3" xfId="14852"/>
    <cellStyle name="Normal 19 4 6" xfId="19006"/>
    <cellStyle name="Normal 19 4 7" xfId="10709"/>
    <cellStyle name="Normal 19 5" xfId="2841"/>
    <cellStyle name="Normal 19 5 2" xfId="3887"/>
    <cellStyle name="Normal 19 5 2 2" xfId="6012"/>
    <cellStyle name="Normal 19 5 2 2 2" xfId="10168"/>
    <cellStyle name="Normal 19 5 2 2 2 2" xfId="26765"/>
    <cellStyle name="Normal 19 5 2 2 2 3" xfId="18468"/>
    <cellStyle name="Normal 19 5 2 2 3" xfId="22625"/>
    <cellStyle name="Normal 19 5 2 2 4" xfId="14328"/>
    <cellStyle name="Normal 19 5 2 3" xfId="8096"/>
    <cellStyle name="Normal 19 5 2 3 2" xfId="24693"/>
    <cellStyle name="Normal 19 5 2 3 3" xfId="16396"/>
    <cellStyle name="Normal 19 5 2 4" xfId="20553"/>
    <cellStyle name="Normal 19 5 2 5" xfId="12256"/>
    <cellStyle name="Normal 19 5 3" xfId="4978"/>
    <cellStyle name="Normal 19 5 3 2" xfId="9134"/>
    <cellStyle name="Normal 19 5 3 2 2" xfId="25731"/>
    <cellStyle name="Normal 19 5 3 2 3" xfId="17434"/>
    <cellStyle name="Normal 19 5 3 3" xfId="21591"/>
    <cellStyle name="Normal 19 5 3 4" xfId="13294"/>
    <cellStyle name="Normal 19 5 4" xfId="7062"/>
    <cellStyle name="Normal 19 5 4 2" xfId="23659"/>
    <cellStyle name="Normal 19 5 4 3" xfId="15362"/>
    <cellStyle name="Normal 19 5 5" xfId="19519"/>
    <cellStyle name="Normal 19 5 6" xfId="11222"/>
    <cellStyle name="Normal 19 6" xfId="3369"/>
    <cellStyle name="Normal 19 6 2" xfId="5497"/>
    <cellStyle name="Normal 19 6 2 2" xfId="9653"/>
    <cellStyle name="Normal 19 6 2 2 2" xfId="26250"/>
    <cellStyle name="Normal 19 6 2 2 3" xfId="17953"/>
    <cellStyle name="Normal 19 6 2 3" xfId="22110"/>
    <cellStyle name="Normal 19 6 2 4" xfId="13813"/>
    <cellStyle name="Normal 19 6 3" xfId="7581"/>
    <cellStyle name="Normal 19 6 3 2" xfId="24178"/>
    <cellStyle name="Normal 19 6 3 3" xfId="15881"/>
    <cellStyle name="Normal 19 6 4" xfId="20038"/>
    <cellStyle name="Normal 19 6 5" xfId="11741"/>
    <cellStyle name="Normal 19 7" xfId="4449"/>
    <cellStyle name="Normal 19 7 2" xfId="8617"/>
    <cellStyle name="Normal 19 7 2 2" xfId="25214"/>
    <cellStyle name="Normal 19 7 2 3" xfId="16917"/>
    <cellStyle name="Normal 19 7 3" xfId="21074"/>
    <cellStyle name="Normal 19 7 4" xfId="12777"/>
    <cellStyle name="Normal 19 8" xfId="6540"/>
    <cellStyle name="Normal 19 8 2" xfId="23144"/>
    <cellStyle name="Normal 19 8 3" xfId="14847"/>
    <cellStyle name="Normal 19 9" xfId="19001"/>
    <cellStyle name="Normal 2" xfId="1501"/>
    <cellStyle name="Normal 2 12" xfId="1502"/>
    <cellStyle name="Normal 2 12 2" xfId="1503"/>
    <cellStyle name="Normal 2 2" xfId="1504"/>
    <cellStyle name="Normal 2 2 2" xfId="1505"/>
    <cellStyle name="Normal 2 2 3" xfId="1506"/>
    <cellStyle name="Normal 2 3" xfId="1507"/>
    <cellStyle name="Normal 2 4" xfId="1508"/>
    <cellStyle name="Normal 2 5" xfId="1509"/>
    <cellStyle name="Normal 20" xfId="1510"/>
    <cellStyle name="Normal 20 10" xfId="10710"/>
    <cellStyle name="Normal 20 2" xfId="1511"/>
    <cellStyle name="Normal 20 2 2" xfId="1512"/>
    <cellStyle name="Normal 20 2 2 2" xfId="2849"/>
    <cellStyle name="Normal 20 2 2 2 2" xfId="3895"/>
    <cellStyle name="Normal 20 2 2 2 2 2" xfId="6020"/>
    <cellStyle name="Normal 20 2 2 2 2 2 2" xfId="10176"/>
    <cellStyle name="Normal 20 2 2 2 2 2 2 2" xfId="26773"/>
    <cellStyle name="Normal 20 2 2 2 2 2 2 3" xfId="18476"/>
    <cellStyle name="Normal 20 2 2 2 2 2 3" xfId="22633"/>
    <cellStyle name="Normal 20 2 2 2 2 2 4" xfId="14336"/>
    <cellStyle name="Normal 20 2 2 2 2 3" xfId="8104"/>
    <cellStyle name="Normal 20 2 2 2 2 3 2" xfId="24701"/>
    <cellStyle name="Normal 20 2 2 2 2 3 3" xfId="16404"/>
    <cellStyle name="Normal 20 2 2 2 2 4" xfId="20561"/>
    <cellStyle name="Normal 20 2 2 2 2 5" xfId="12264"/>
    <cellStyle name="Normal 20 2 2 2 3" xfId="4986"/>
    <cellStyle name="Normal 20 2 2 2 3 2" xfId="9142"/>
    <cellStyle name="Normal 20 2 2 2 3 2 2" xfId="25739"/>
    <cellStyle name="Normal 20 2 2 2 3 2 3" xfId="17442"/>
    <cellStyle name="Normal 20 2 2 2 3 3" xfId="21599"/>
    <cellStyle name="Normal 20 2 2 2 3 4" xfId="13302"/>
    <cellStyle name="Normal 20 2 2 2 4" xfId="7070"/>
    <cellStyle name="Normal 20 2 2 2 4 2" xfId="23667"/>
    <cellStyle name="Normal 20 2 2 2 4 3" xfId="15370"/>
    <cellStyle name="Normal 20 2 2 2 5" xfId="19527"/>
    <cellStyle name="Normal 20 2 2 2 6" xfId="11230"/>
    <cellStyle name="Normal 20 2 2 3" xfId="3377"/>
    <cellStyle name="Normal 20 2 2 3 2" xfId="5505"/>
    <cellStyle name="Normal 20 2 2 3 2 2" xfId="9661"/>
    <cellStyle name="Normal 20 2 2 3 2 2 2" xfId="26258"/>
    <cellStyle name="Normal 20 2 2 3 2 2 3" xfId="17961"/>
    <cellStyle name="Normal 20 2 2 3 2 3" xfId="22118"/>
    <cellStyle name="Normal 20 2 2 3 2 4" xfId="13821"/>
    <cellStyle name="Normal 20 2 2 3 3" xfId="7589"/>
    <cellStyle name="Normal 20 2 2 3 3 2" xfId="24186"/>
    <cellStyle name="Normal 20 2 2 3 3 3" xfId="15889"/>
    <cellStyle name="Normal 20 2 2 3 4" xfId="20046"/>
    <cellStyle name="Normal 20 2 2 3 5" xfId="11749"/>
    <cellStyle name="Normal 20 2 2 4" xfId="4457"/>
    <cellStyle name="Normal 20 2 2 4 2" xfId="8625"/>
    <cellStyle name="Normal 20 2 2 4 2 2" xfId="25222"/>
    <cellStyle name="Normal 20 2 2 4 2 3" xfId="16925"/>
    <cellStyle name="Normal 20 2 2 4 3" xfId="21082"/>
    <cellStyle name="Normal 20 2 2 4 4" xfId="12785"/>
    <cellStyle name="Normal 20 2 2 5" xfId="6548"/>
    <cellStyle name="Normal 20 2 2 5 2" xfId="23152"/>
    <cellStyle name="Normal 20 2 2 5 3" xfId="14855"/>
    <cellStyle name="Normal 20 2 2 6" xfId="19009"/>
    <cellStyle name="Normal 20 2 2 7" xfId="10712"/>
    <cellStyle name="Normal 20 2 3" xfId="2848"/>
    <cellStyle name="Normal 20 2 3 2" xfId="3894"/>
    <cellStyle name="Normal 20 2 3 2 2" xfId="6019"/>
    <cellStyle name="Normal 20 2 3 2 2 2" xfId="10175"/>
    <cellStyle name="Normal 20 2 3 2 2 2 2" xfId="26772"/>
    <cellStyle name="Normal 20 2 3 2 2 2 3" xfId="18475"/>
    <cellStyle name="Normal 20 2 3 2 2 3" xfId="22632"/>
    <cellStyle name="Normal 20 2 3 2 2 4" xfId="14335"/>
    <cellStyle name="Normal 20 2 3 2 3" xfId="8103"/>
    <cellStyle name="Normal 20 2 3 2 3 2" xfId="24700"/>
    <cellStyle name="Normal 20 2 3 2 3 3" xfId="16403"/>
    <cellStyle name="Normal 20 2 3 2 4" xfId="20560"/>
    <cellStyle name="Normal 20 2 3 2 5" xfId="12263"/>
    <cellStyle name="Normal 20 2 3 3" xfId="4985"/>
    <cellStyle name="Normal 20 2 3 3 2" xfId="9141"/>
    <cellStyle name="Normal 20 2 3 3 2 2" xfId="25738"/>
    <cellStyle name="Normal 20 2 3 3 2 3" xfId="17441"/>
    <cellStyle name="Normal 20 2 3 3 3" xfId="21598"/>
    <cellStyle name="Normal 20 2 3 3 4" xfId="13301"/>
    <cellStyle name="Normal 20 2 3 4" xfId="7069"/>
    <cellStyle name="Normal 20 2 3 4 2" xfId="23666"/>
    <cellStyle name="Normal 20 2 3 4 3" xfId="15369"/>
    <cellStyle name="Normal 20 2 3 5" xfId="19526"/>
    <cellStyle name="Normal 20 2 3 6" xfId="11229"/>
    <cellStyle name="Normal 20 2 4" xfId="3376"/>
    <cellStyle name="Normal 20 2 4 2" xfId="5504"/>
    <cellStyle name="Normal 20 2 4 2 2" xfId="9660"/>
    <cellStyle name="Normal 20 2 4 2 2 2" xfId="26257"/>
    <cellStyle name="Normal 20 2 4 2 2 3" xfId="17960"/>
    <cellStyle name="Normal 20 2 4 2 3" xfId="22117"/>
    <cellStyle name="Normal 20 2 4 2 4" xfId="13820"/>
    <cellStyle name="Normal 20 2 4 3" xfId="7588"/>
    <cellStyle name="Normal 20 2 4 3 2" xfId="24185"/>
    <cellStyle name="Normal 20 2 4 3 3" xfId="15888"/>
    <cellStyle name="Normal 20 2 4 4" xfId="20045"/>
    <cellStyle name="Normal 20 2 4 5" xfId="11748"/>
    <cellStyle name="Normal 20 2 5" xfId="4456"/>
    <cellStyle name="Normal 20 2 5 2" xfId="8624"/>
    <cellStyle name="Normal 20 2 5 2 2" xfId="25221"/>
    <cellStyle name="Normal 20 2 5 2 3" xfId="16924"/>
    <cellStyle name="Normal 20 2 5 3" xfId="21081"/>
    <cellStyle name="Normal 20 2 5 4" xfId="12784"/>
    <cellStyle name="Normal 20 2 6" xfId="6547"/>
    <cellStyle name="Normal 20 2 6 2" xfId="23151"/>
    <cellStyle name="Normal 20 2 6 3" xfId="14854"/>
    <cellStyle name="Normal 20 2 7" xfId="19008"/>
    <cellStyle name="Normal 20 2 8" xfId="10711"/>
    <cellStyle name="Normal 20 3" xfId="1513"/>
    <cellStyle name="Normal 20 3 2" xfId="1514"/>
    <cellStyle name="Normal 20 3 2 2" xfId="2851"/>
    <cellStyle name="Normal 20 3 2 2 2" xfId="3897"/>
    <cellStyle name="Normal 20 3 2 2 2 2" xfId="6022"/>
    <cellStyle name="Normal 20 3 2 2 2 2 2" xfId="10178"/>
    <cellStyle name="Normal 20 3 2 2 2 2 2 2" xfId="26775"/>
    <cellStyle name="Normal 20 3 2 2 2 2 2 3" xfId="18478"/>
    <cellStyle name="Normal 20 3 2 2 2 2 3" xfId="22635"/>
    <cellStyle name="Normal 20 3 2 2 2 2 4" xfId="14338"/>
    <cellStyle name="Normal 20 3 2 2 2 3" xfId="8106"/>
    <cellStyle name="Normal 20 3 2 2 2 3 2" xfId="24703"/>
    <cellStyle name="Normal 20 3 2 2 2 3 3" xfId="16406"/>
    <cellStyle name="Normal 20 3 2 2 2 4" xfId="20563"/>
    <cellStyle name="Normal 20 3 2 2 2 5" xfId="12266"/>
    <cellStyle name="Normal 20 3 2 2 3" xfId="4988"/>
    <cellStyle name="Normal 20 3 2 2 3 2" xfId="9144"/>
    <cellStyle name="Normal 20 3 2 2 3 2 2" xfId="25741"/>
    <cellStyle name="Normal 20 3 2 2 3 2 3" xfId="17444"/>
    <cellStyle name="Normal 20 3 2 2 3 3" xfId="21601"/>
    <cellStyle name="Normal 20 3 2 2 3 4" xfId="13304"/>
    <cellStyle name="Normal 20 3 2 2 4" xfId="7072"/>
    <cellStyle name="Normal 20 3 2 2 4 2" xfId="23669"/>
    <cellStyle name="Normal 20 3 2 2 4 3" xfId="15372"/>
    <cellStyle name="Normal 20 3 2 2 5" xfId="19529"/>
    <cellStyle name="Normal 20 3 2 2 6" xfId="11232"/>
    <cellStyle name="Normal 20 3 2 3" xfId="3379"/>
    <cellStyle name="Normal 20 3 2 3 2" xfId="5507"/>
    <cellStyle name="Normal 20 3 2 3 2 2" xfId="9663"/>
    <cellStyle name="Normal 20 3 2 3 2 2 2" xfId="26260"/>
    <cellStyle name="Normal 20 3 2 3 2 2 3" xfId="17963"/>
    <cellStyle name="Normal 20 3 2 3 2 3" xfId="22120"/>
    <cellStyle name="Normal 20 3 2 3 2 4" xfId="13823"/>
    <cellStyle name="Normal 20 3 2 3 3" xfId="7591"/>
    <cellStyle name="Normal 20 3 2 3 3 2" xfId="24188"/>
    <cellStyle name="Normal 20 3 2 3 3 3" xfId="15891"/>
    <cellStyle name="Normal 20 3 2 3 4" xfId="20048"/>
    <cellStyle name="Normal 20 3 2 3 5" xfId="11751"/>
    <cellStyle name="Normal 20 3 2 4" xfId="4459"/>
    <cellStyle name="Normal 20 3 2 4 2" xfId="8627"/>
    <cellStyle name="Normal 20 3 2 4 2 2" xfId="25224"/>
    <cellStyle name="Normal 20 3 2 4 2 3" xfId="16927"/>
    <cellStyle name="Normal 20 3 2 4 3" xfId="21084"/>
    <cellStyle name="Normal 20 3 2 4 4" xfId="12787"/>
    <cellStyle name="Normal 20 3 2 5" xfId="6550"/>
    <cellStyle name="Normal 20 3 2 5 2" xfId="23154"/>
    <cellStyle name="Normal 20 3 2 5 3" xfId="14857"/>
    <cellStyle name="Normal 20 3 2 6" xfId="19011"/>
    <cellStyle name="Normal 20 3 2 7" xfId="10714"/>
    <cellStyle name="Normal 20 3 3" xfId="2850"/>
    <cellStyle name="Normal 20 3 3 2" xfId="3896"/>
    <cellStyle name="Normal 20 3 3 2 2" xfId="6021"/>
    <cellStyle name="Normal 20 3 3 2 2 2" xfId="10177"/>
    <cellStyle name="Normal 20 3 3 2 2 2 2" xfId="26774"/>
    <cellStyle name="Normal 20 3 3 2 2 2 3" xfId="18477"/>
    <cellStyle name="Normal 20 3 3 2 2 3" xfId="22634"/>
    <cellStyle name="Normal 20 3 3 2 2 4" xfId="14337"/>
    <cellStyle name="Normal 20 3 3 2 3" xfId="8105"/>
    <cellStyle name="Normal 20 3 3 2 3 2" xfId="24702"/>
    <cellStyle name="Normal 20 3 3 2 3 3" xfId="16405"/>
    <cellStyle name="Normal 20 3 3 2 4" xfId="20562"/>
    <cellStyle name="Normal 20 3 3 2 5" xfId="12265"/>
    <cellStyle name="Normal 20 3 3 3" xfId="4987"/>
    <cellStyle name="Normal 20 3 3 3 2" xfId="9143"/>
    <cellStyle name="Normal 20 3 3 3 2 2" xfId="25740"/>
    <cellStyle name="Normal 20 3 3 3 2 3" xfId="17443"/>
    <cellStyle name="Normal 20 3 3 3 3" xfId="21600"/>
    <cellStyle name="Normal 20 3 3 3 4" xfId="13303"/>
    <cellStyle name="Normal 20 3 3 4" xfId="7071"/>
    <cellStyle name="Normal 20 3 3 4 2" xfId="23668"/>
    <cellStyle name="Normal 20 3 3 4 3" xfId="15371"/>
    <cellStyle name="Normal 20 3 3 5" xfId="19528"/>
    <cellStyle name="Normal 20 3 3 6" xfId="11231"/>
    <cellStyle name="Normal 20 3 4" xfId="3378"/>
    <cellStyle name="Normal 20 3 4 2" xfId="5506"/>
    <cellStyle name="Normal 20 3 4 2 2" xfId="9662"/>
    <cellStyle name="Normal 20 3 4 2 2 2" xfId="26259"/>
    <cellStyle name="Normal 20 3 4 2 2 3" xfId="17962"/>
    <cellStyle name="Normal 20 3 4 2 3" xfId="22119"/>
    <cellStyle name="Normal 20 3 4 2 4" xfId="13822"/>
    <cellStyle name="Normal 20 3 4 3" xfId="7590"/>
    <cellStyle name="Normal 20 3 4 3 2" xfId="24187"/>
    <cellStyle name="Normal 20 3 4 3 3" xfId="15890"/>
    <cellStyle name="Normal 20 3 4 4" xfId="20047"/>
    <cellStyle name="Normal 20 3 4 5" xfId="11750"/>
    <cellStyle name="Normal 20 3 5" xfId="4458"/>
    <cellStyle name="Normal 20 3 5 2" xfId="8626"/>
    <cellStyle name="Normal 20 3 5 2 2" xfId="25223"/>
    <cellStyle name="Normal 20 3 5 2 3" xfId="16926"/>
    <cellStyle name="Normal 20 3 5 3" xfId="21083"/>
    <cellStyle name="Normal 20 3 5 4" xfId="12786"/>
    <cellStyle name="Normal 20 3 6" xfId="6549"/>
    <cellStyle name="Normal 20 3 6 2" xfId="23153"/>
    <cellStyle name="Normal 20 3 6 3" xfId="14856"/>
    <cellStyle name="Normal 20 3 7" xfId="19010"/>
    <cellStyle name="Normal 20 3 8" xfId="10713"/>
    <cellStyle name="Normal 20 4" xfId="1515"/>
    <cellStyle name="Normal 20 4 2" xfId="2852"/>
    <cellStyle name="Normal 20 4 2 2" xfId="3898"/>
    <cellStyle name="Normal 20 4 2 2 2" xfId="6023"/>
    <cellStyle name="Normal 20 4 2 2 2 2" xfId="10179"/>
    <cellStyle name="Normal 20 4 2 2 2 2 2" xfId="26776"/>
    <cellStyle name="Normal 20 4 2 2 2 2 3" xfId="18479"/>
    <cellStyle name="Normal 20 4 2 2 2 3" xfId="22636"/>
    <cellStyle name="Normal 20 4 2 2 2 4" xfId="14339"/>
    <cellStyle name="Normal 20 4 2 2 3" xfId="8107"/>
    <cellStyle name="Normal 20 4 2 2 3 2" xfId="24704"/>
    <cellStyle name="Normal 20 4 2 2 3 3" xfId="16407"/>
    <cellStyle name="Normal 20 4 2 2 4" xfId="20564"/>
    <cellStyle name="Normal 20 4 2 2 5" xfId="12267"/>
    <cellStyle name="Normal 20 4 2 3" xfId="4989"/>
    <cellStyle name="Normal 20 4 2 3 2" xfId="9145"/>
    <cellStyle name="Normal 20 4 2 3 2 2" xfId="25742"/>
    <cellStyle name="Normal 20 4 2 3 2 3" xfId="17445"/>
    <cellStyle name="Normal 20 4 2 3 3" xfId="21602"/>
    <cellStyle name="Normal 20 4 2 3 4" xfId="13305"/>
    <cellStyle name="Normal 20 4 2 4" xfId="7073"/>
    <cellStyle name="Normal 20 4 2 4 2" xfId="23670"/>
    <cellStyle name="Normal 20 4 2 4 3" xfId="15373"/>
    <cellStyle name="Normal 20 4 2 5" xfId="19530"/>
    <cellStyle name="Normal 20 4 2 6" xfId="11233"/>
    <cellStyle name="Normal 20 4 3" xfId="3380"/>
    <cellStyle name="Normal 20 4 3 2" xfId="5508"/>
    <cellStyle name="Normal 20 4 3 2 2" xfId="9664"/>
    <cellStyle name="Normal 20 4 3 2 2 2" xfId="26261"/>
    <cellStyle name="Normal 20 4 3 2 2 3" xfId="17964"/>
    <cellStyle name="Normal 20 4 3 2 3" xfId="22121"/>
    <cellStyle name="Normal 20 4 3 2 4" xfId="13824"/>
    <cellStyle name="Normal 20 4 3 3" xfId="7592"/>
    <cellStyle name="Normal 20 4 3 3 2" xfId="24189"/>
    <cellStyle name="Normal 20 4 3 3 3" xfId="15892"/>
    <cellStyle name="Normal 20 4 3 4" xfId="20049"/>
    <cellStyle name="Normal 20 4 3 5" xfId="11752"/>
    <cellStyle name="Normal 20 4 4" xfId="4460"/>
    <cellStyle name="Normal 20 4 4 2" xfId="8628"/>
    <cellStyle name="Normal 20 4 4 2 2" xfId="25225"/>
    <cellStyle name="Normal 20 4 4 2 3" xfId="16928"/>
    <cellStyle name="Normal 20 4 4 3" xfId="21085"/>
    <cellStyle name="Normal 20 4 4 4" xfId="12788"/>
    <cellStyle name="Normal 20 4 5" xfId="6551"/>
    <cellStyle name="Normal 20 4 5 2" xfId="23155"/>
    <cellStyle name="Normal 20 4 5 3" xfId="14858"/>
    <cellStyle name="Normal 20 4 6" xfId="19012"/>
    <cellStyle name="Normal 20 4 7" xfId="10715"/>
    <cellStyle name="Normal 20 5" xfId="2847"/>
    <cellStyle name="Normal 20 5 2" xfId="3893"/>
    <cellStyle name="Normal 20 5 2 2" xfId="6018"/>
    <cellStyle name="Normal 20 5 2 2 2" xfId="10174"/>
    <cellStyle name="Normal 20 5 2 2 2 2" xfId="26771"/>
    <cellStyle name="Normal 20 5 2 2 2 3" xfId="18474"/>
    <cellStyle name="Normal 20 5 2 2 3" xfId="22631"/>
    <cellStyle name="Normal 20 5 2 2 4" xfId="14334"/>
    <cellStyle name="Normal 20 5 2 3" xfId="8102"/>
    <cellStyle name="Normal 20 5 2 3 2" xfId="24699"/>
    <cellStyle name="Normal 20 5 2 3 3" xfId="16402"/>
    <cellStyle name="Normal 20 5 2 4" xfId="20559"/>
    <cellStyle name="Normal 20 5 2 5" xfId="12262"/>
    <cellStyle name="Normal 20 5 3" xfId="4984"/>
    <cellStyle name="Normal 20 5 3 2" xfId="9140"/>
    <cellStyle name="Normal 20 5 3 2 2" xfId="25737"/>
    <cellStyle name="Normal 20 5 3 2 3" xfId="17440"/>
    <cellStyle name="Normal 20 5 3 3" xfId="21597"/>
    <cellStyle name="Normal 20 5 3 4" xfId="13300"/>
    <cellStyle name="Normal 20 5 4" xfId="7068"/>
    <cellStyle name="Normal 20 5 4 2" xfId="23665"/>
    <cellStyle name="Normal 20 5 4 3" xfId="15368"/>
    <cellStyle name="Normal 20 5 5" xfId="19525"/>
    <cellStyle name="Normal 20 5 6" xfId="11228"/>
    <cellStyle name="Normal 20 6" xfId="3375"/>
    <cellStyle name="Normal 20 6 2" xfId="5503"/>
    <cellStyle name="Normal 20 6 2 2" xfId="9659"/>
    <cellStyle name="Normal 20 6 2 2 2" xfId="26256"/>
    <cellStyle name="Normal 20 6 2 2 3" xfId="17959"/>
    <cellStyle name="Normal 20 6 2 3" xfId="22116"/>
    <cellStyle name="Normal 20 6 2 4" xfId="13819"/>
    <cellStyle name="Normal 20 6 3" xfId="7587"/>
    <cellStyle name="Normal 20 6 3 2" xfId="24184"/>
    <cellStyle name="Normal 20 6 3 3" xfId="15887"/>
    <cellStyle name="Normal 20 6 4" xfId="20044"/>
    <cellStyle name="Normal 20 6 5" xfId="11747"/>
    <cellStyle name="Normal 20 7" xfId="4455"/>
    <cellStyle name="Normal 20 7 2" xfId="8623"/>
    <cellStyle name="Normal 20 7 2 2" xfId="25220"/>
    <cellStyle name="Normal 20 7 2 3" xfId="16923"/>
    <cellStyle name="Normal 20 7 3" xfId="21080"/>
    <cellStyle name="Normal 20 7 4" xfId="12783"/>
    <cellStyle name="Normal 20 8" xfId="6546"/>
    <cellStyle name="Normal 20 8 2" xfId="23150"/>
    <cellStyle name="Normal 20 8 3" xfId="14853"/>
    <cellStyle name="Normal 20 9" xfId="19007"/>
    <cellStyle name="Normal 21" xfId="1516"/>
    <cellStyle name="Normal 21 10" xfId="10716"/>
    <cellStyle name="Normal 21 2" xfId="1517"/>
    <cellStyle name="Normal 21 2 2" xfId="1518"/>
    <cellStyle name="Normal 21 2 2 2" xfId="2855"/>
    <cellStyle name="Normal 21 2 2 2 2" xfId="3901"/>
    <cellStyle name="Normal 21 2 2 2 2 2" xfId="6026"/>
    <cellStyle name="Normal 21 2 2 2 2 2 2" xfId="10182"/>
    <cellStyle name="Normal 21 2 2 2 2 2 2 2" xfId="26779"/>
    <cellStyle name="Normal 21 2 2 2 2 2 2 3" xfId="18482"/>
    <cellStyle name="Normal 21 2 2 2 2 2 3" xfId="22639"/>
    <cellStyle name="Normal 21 2 2 2 2 2 4" xfId="14342"/>
    <cellStyle name="Normal 21 2 2 2 2 3" xfId="8110"/>
    <cellStyle name="Normal 21 2 2 2 2 3 2" xfId="24707"/>
    <cellStyle name="Normal 21 2 2 2 2 3 3" xfId="16410"/>
    <cellStyle name="Normal 21 2 2 2 2 4" xfId="20567"/>
    <cellStyle name="Normal 21 2 2 2 2 5" xfId="12270"/>
    <cellStyle name="Normal 21 2 2 2 3" xfId="4992"/>
    <cellStyle name="Normal 21 2 2 2 3 2" xfId="9148"/>
    <cellStyle name="Normal 21 2 2 2 3 2 2" xfId="25745"/>
    <cellStyle name="Normal 21 2 2 2 3 2 3" xfId="17448"/>
    <cellStyle name="Normal 21 2 2 2 3 3" xfId="21605"/>
    <cellStyle name="Normal 21 2 2 2 3 4" xfId="13308"/>
    <cellStyle name="Normal 21 2 2 2 4" xfId="7076"/>
    <cellStyle name="Normal 21 2 2 2 4 2" xfId="23673"/>
    <cellStyle name="Normal 21 2 2 2 4 3" xfId="15376"/>
    <cellStyle name="Normal 21 2 2 2 5" xfId="19533"/>
    <cellStyle name="Normal 21 2 2 2 6" xfId="11236"/>
    <cellStyle name="Normal 21 2 2 3" xfId="3383"/>
    <cellStyle name="Normal 21 2 2 3 2" xfId="5511"/>
    <cellStyle name="Normal 21 2 2 3 2 2" xfId="9667"/>
    <cellStyle name="Normal 21 2 2 3 2 2 2" xfId="26264"/>
    <cellStyle name="Normal 21 2 2 3 2 2 3" xfId="17967"/>
    <cellStyle name="Normal 21 2 2 3 2 3" xfId="22124"/>
    <cellStyle name="Normal 21 2 2 3 2 4" xfId="13827"/>
    <cellStyle name="Normal 21 2 2 3 3" xfId="7595"/>
    <cellStyle name="Normal 21 2 2 3 3 2" xfId="24192"/>
    <cellStyle name="Normal 21 2 2 3 3 3" xfId="15895"/>
    <cellStyle name="Normal 21 2 2 3 4" xfId="20052"/>
    <cellStyle name="Normal 21 2 2 3 5" xfId="11755"/>
    <cellStyle name="Normal 21 2 2 4" xfId="4463"/>
    <cellStyle name="Normal 21 2 2 4 2" xfId="8631"/>
    <cellStyle name="Normal 21 2 2 4 2 2" xfId="25228"/>
    <cellStyle name="Normal 21 2 2 4 2 3" xfId="16931"/>
    <cellStyle name="Normal 21 2 2 4 3" xfId="21088"/>
    <cellStyle name="Normal 21 2 2 4 4" xfId="12791"/>
    <cellStyle name="Normal 21 2 2 5" xfId="6554"/>
    <cellStyle name="Normal 21 2 2 5 2" xfId="23158"/>
    <cellStyle name="Normal 21 2 2 5 3" xfId="14861"/>
    <cellStyle name="Normal 21 2 2 6" xfId="19015"/>
    <cellStyle name="Normal 21 2 2 7" xfId="10718"/>
    <cellStyle name="Normal 21 2 3" xfId="2854"/>
    <cellStyle name="Normal 21 2 3 2" xfId="3900"/>
    <cellStyle name="Normal 21 2 3 2 2" xfId="6025"/>
    <cellStyle name="Normal 21 2 3 2 2 2" xfId="10181"/>
    <cellStyle name="Normal 21 2 3 2 2 2 2" xfId="26778"/>
    <cellStyle name="Normal 21 2 3 2 2 2 3" xfId="18481"/>
    <cellStyle name="Normal 21 2 3 2 2 3" xfId="22638"/>
    <cellStyle name="Normal 21 2 3 2 2 4" xfId="14341"/>
    <cellStyle name="Normal 21 2 3 2 3" xfId="8109"/>
    <cellStyle name="Normal 21 2 3 2 3 2" xfId="24706"/>
    <cellStyle name="Normal 21 2 3 2 3 3" xfId="16409"/>
    <cellStyle name="Normal 21 2 3 2 4" xfId="20566"/>
    <cellStyle name="Normal 21 2 3 2 5" xfId="12269"/>
    <cellStyle name="Normal 21 2 3 3" xfId="4991"/>
    <cellStyle name="Normal 21 2 3 3 2" xfId="9147"/>
    <cellStyle name="Normal 21 2 3 3 2 2" xfId="25744"/>
    <cellStyle name="Normal 21 2 3 3 2 3" xfId="17447"/>
    <cellStyle name="Normal 21 2 3 3 3" xfId="21604"/>
    <cellStyle name="Normal 21 2 3 3 4" xfId="13307"/>
    <cellStyle name="Normal 21 2 3 4" xfId="7075"/>
    <cellStyle name="Normal 21 2 3 4 2" xfId="23672"/>
    <cellStyle name="Normal 21 2 3 4 3" xfId="15375"/>
    <cellStyle name="Normal 21 2 3 5" xfId="19532"/>
    <cellStyle name="Normal 21 2 3 6" xfId="11235"/>
    <cellStyle name="Normal 21 2 4" xfId="3382"/>
    <cellStyle name="Normal 21 2 4 2" xfId="5510"/>
    <cellStyle name="Normal 21 2 4 2 2" xfId="9666"/>
    <cellStyle name="Normal 21 2 4 2 2 2" xfId="26263"/>
    <cellStyle name="Normal 21 2 4 2 2 3" xfId="17966"/>
    <cellStyle name="Normal 21 2 4 2 3" xfId="22123"/>
    <cellStyle name="Normal 21 2 4 2 4" xfId="13826"/>
    <cellStyle name="Normal 21 2 4 3" xfId="7594"/>
    <cellStyle name="Normal 21 2 4 3 2" xfId="24191"/>
    <cellStyle name="Normal 21 2 4 3 3" xfId="15894"/>
    <cellStyle name="Normal 21 2 4 4" xfId="20051"/>
    <cellStyle name="Normal 21 2 4 5" xfId="11754"/>
    <cellStyle name="Normal 21 2 5" xfId="4462"/>
    <cellStyle name="Normal 21 2 5 2" xfId="8630"/>
    <cellStyle name="Normal 21 2 5 2 2" xfId="25227"/>
    <cellStyle name="Normal 21 2 5 2 3" xfId="16930"/>
    <cellStyle name="Normal 21 2 5 3" xfId="21087"/>
    <cellStyle name="Normal 21 2 5 4" xfId="12790"/>
    <cellStyle name="Normal 21 2 6" xfId="6553"/>
    <cellStyle name="Normal 21 2 6 2" xfId="23157"/>
    <cellStyle name="Normal 21 2 6 3" xfId="14860"/>
    <cellStyle name="Normal 21 2 7" xfId="19014"/>
    <cellStyle name="Normal 21 2 8" xfId="10717"/>
    <cellStyle name="Normal 21 3" xfId="1519"/>
    <cellStyle name="Normal 21 3 2" xfId="1520"/>
    <cellStyle name="Normal 21 3 2 2" xfId="2857"/>
    <cellStyle name="Normal 21 3 2 2 2" xfId="3903"/>
    <cellStyle name="Normal 21 3 2 2 2 2" xfId="6028"/>
    <cellStyle name="Normal 21 3 2 2 2 2 2" xfId="10184"/>
    <cellStyle name="Normal 21 3 2 2 2 2 2 2" xfId="26781"/>
    <cellStyle name="Normal 21 3 2 2 2 2 2 3" xfId="18484"/>
    <cellStyle name="Normal 21 3 2 2 2 2 3" xfId="22641"/>
    <cellStyle name="Normal 21 3 2 2 2 2 4" xfId="14344"/>
    <cellStyle name="Normal 21 3 2 2 2 3" xfId="8112"/>
    <cellStyle name="Normal 21 3 2 2 2 3 2" xfId="24709"/>
    <cellStyle name="Normal 21 3 2 2 2 3 3" xfId="16412"/>
    <cellStyle name="Normal 21 3 2 2 2 4" xfId="20569"/>
    <cellStyle name="Normal 21 3 2 2 2 5" xfId="12272"/>
    <cellStyle name="Normal 21 3 2 2 3" xfId="4994"/>
    <cellStyle name="Normal 21 3 2 2 3 2" xfId="9150"/>
    <cellStyle name="Normal 21 3 2 2 3 2 2" xfId="25747"/>
    <cellStyle name="Normal 21 3 2 2 3 2 3" xfId="17450"/>
    <cellStyle name="Normal 21 3 2 2 3 3" xfId="21607"/>
    <cellStyle name="Normal 21 3 2 2 3 4" xfId="13310"/>
    <cellStyle name="Normal 21 3 2 2 4" xfId="7078"/>
    <cellStyle name="Normal 21 3 2 2 4 2" xfId="23675"/>
    <cellStyle name="Normal 21 3 2 2 4 3" xfId="15378"/>
    <cellStyle name="Normal 21 3 2 2 5" xfId="19535"/>
    <cellStyle name="Normal 21 3 2 2 6" xfId="11238"/>
    <cellStyle name="Normal 21 3 2 3" xfId="3385"/>
    <cellStyle name="Normal 21 3 2 3 2" xfId="5513"/>
    <cellStyle name="Normal 21 3 2 3 2 2" xfId="9669"/>
    <cellStyle name="Normal 21 3 2 3 2 2 2" xfId="26266"/>
    <cellStyle name="Normal 21 3 2 3 2 2 3" xfId="17969"/>
    <cellStyle name="Normal 21 3 2 3 2 3" xfId="22126"/>
    <cellStyle name="Normal 21 3 2 3 2 4" xfId="13829"/>
    <cellStyle name="Normal 21 3 2 3 3" xfId="7597"/>
    <cellStyle name="Normal 21 3 2 3 3 2" xfId="24194"/>
    <cellStyle name="Normal 21 3 2 3 3 3" xfId="15897"/>
    <cellStyle name="Normal 21 3 2 3 4" xfId="20054"/>
    <cellStyle name="Normal 21 3 2 3 5" xfId="11757"/>
    <cellStyle name="Normal 21 3 2 4" xfId="4465"/>
    <cellStyle name="Normal 21 3 2 4 2" xfId="8633"/>
    <cellStyle name="Normal 21 3 2 4 2 2" xfId="25230"/>
    <cellStyle name="Normal 21 3 2 4 2 3" xfId="16933"/>
    <cellStyle name="Normal 21 3 2 4 3" xfId="21090"/>
    <cellStyle name="Normal 21 3 2 4 4" xfId="12793"/>
    <cellStyle name="Normal 21 3 2 5" xfId="6556"/>
    <cellStyle name="Normal 21 3 2 5 2" xfId="23160"/>
    <cellStyle name="Normal 21 3 2 5 3" xfId="14863"/>
    <cellStyle name="Normal 21 3 2 6" xfId="19017"/>
    <cellStyle name="Normal 21 3 2 7" xfId="10720"/>
    <cellStyle name="Normal 21 3 3" xfId="2856"/>
    <cellStyle name="Normal 21 3 3 2" xfId="3902"/>
    <cellStyle name="Normal 21 3 3 2 2" xfId="6027"/>
    <cellStyle name="Normal 21 3 3 2 2 2" xfId="10183"/>
    <cellStyle name="Normal 21 3 3 2 2 2 2" xfId="26780"/>
    <cellStyle name="Normal 21 3 3 2 2 2 3" xfId="18483"/>
    <cellStyle name="Normal 21 3 3 2 2 3" xfId="22640"/>
    <cellStyle name="Normal 21 3 3 2 2 4" xfId="14343"/>
    <cellStyle name="Normal 21 3 3 2 3" xfId="8111"/>
    <cellStyle name="Normal 21 3 3 2 3 2" xfId="24708"/>
    <cellStyle name="Normal 21 3 3 2 3 3" xfId="16411"/>
    <cellStyle name="Normal 21 3 3 2 4" xfId="20568"/>
    <cellStyle name="Normal 21 3 3 2 5" xfId="12271"/>
    <cellStyle name="Normal 21 3 3 3" xfId="4993"/>
    <cellStyle name="Normal 21 3 3 3 2" xfId="9149"/>
    <cellStyle name="Normal 21 3 3 3 2 2" xfId="25746"/>
    <cellStyle name="Normal 21 3 3 3 2 3" xfId="17449"/>
    <cellStyle name="Normal 21 3 3 3 3" xfId="21606"/>
    <cellStyle name="Normal 21 3 3 3 4" xfId="13309"/>
    <cellStyle name="Normal 21 3 3 4" xfId="7077"/>
    <cellStyle name="Normal 21 3 3 4 2" xfId="23674"/>
    <cellStyle name="Normal 21 3 3 4 3" xfId="15377"/>
    <cellStyle name="Normal 21 3 3 5" xfId="19534"/>
    <cellStyle name="Normal 21 3 3 6" xfId="11237"/>
    <cellStyle name="Normal 21 3 4" xfId="3384"/>
    <cellStyle name="Normal 21 3 4 2" xfId="5512"/>
    <cellStyle name="Normal 21 3 4 2 2" xfId="9668"/>
    <cellStyle name="Normal 21 3 4 2 2 2" xfId="26265"/>
    <cellStyle name="Normal 21 3 4 2 2 3" xfId="17968"/>
    <cellStyle name="Normal 21 3 4 2 3" xfId="22125"/>
    <cellStyle name="Normal 21 3 4 2 4" xfId="13828"/>
    <cellStyle name="Normal 21 3 4 3" xfId="7596"/>
    <cellStyle name="Normal 21 3 4 3 2" xfId="24193"/>
    <cellStyle name="Normal 21 3 4 3 3" xfId="15896"/>
    <cellStyle name="Normal 21 3 4 4" xfId="20053"/>
    <cellStyle name="Normal 21 3 4 5" xfId="11756"/>
    <cellStyle name="Normal 21 3 5" xfId="4464"/>
    <cellStyle name="Normal 21 3 5 2" xfId="8632"/>
    <cellStyle name="Normal 21 3 5 2 2" xfId="25229"/>
    <cellStyle name="Normal 21 3 5 2 3" xfId="16932"/>
    <cellStyle name="Normal 21 3 5 3" xfId="21089"/>
    <cellStyle name="Normal 21 3 5 4" xfId="12792"/>
    <cellStyle name="Normal 21 3 6" xfId="6555"/>
    <cellStyle name="Normal 21 3 6 2" xfId="23159"/>
    <cellStyle name="Normal 21 3 6 3" xfId="14862"/>
    <cellStyle name="Normal 21 3 7" xfId="19016"/>
    <cellStyle name="Normal 21 3 8" xfId="10719"/>
    <cellStyle name="Normal 21 4" xfId="1521"/>
    <cellStyle name="Normal 21 4 2" xfId="2858"/>
    <cellStyle name="Normal 21 4 2 2" xfId="3904"/>
    <cellStyle name="Normal 21 4 2 2 2" xfId="6029"/>
    <cellStyle name="Normal 21 4 2 2 2 2" xfId="10185"/>
    <cellStyle name="Normal 21 4 2 2 2 2 2" xfId="26782"/>
    <cellStyle name="Normal 21 4 2 2 2 2 3" xfId="18485"/>
    <cellStyle name="Normal 21 4 2 2 2 3" xfId="22642"/>
    <cellStyle name="Normal 21 4 2 2 2 4" xfId="14345"/>
    <cellStyle name="Normal 21 4 2 2 3" xfId="8113"/>
    <cellStyle name="Normal 21 4 2 2 3 2" xfId="24710"/>
    <cellStyle name="Normal 21 4 2 2 3 3" xfId="16413"/>
    <cellStyle name="Normal 21 4 2 2 4" xfId="20570"/>
    <cellStyle name="Normal 21 4 2 2 5" xfId="12273"/>
    <cellStyle name="Normal 21 4 2 3" xfId="4995"/>
    <cellStyle name="Normal 21 4 2 3 2" xfId="9151"/>
    <cellStyle name="Normal 21 4 2 3 2 2" xfId="25748"/>
    <cellStyle name="Normal 21 4 2 3 2 3" xfId="17451"/>
    <cellStyle name="Normal 21 4 2 3 3" xfId="21608"/>
    <cellStyle name="Normal 21 4 2 3 4" xfId="13311"/>
    <cellStyle name="Normal 21 4 2 4" xfId="7079"/>
    <cellStyle name="Normal 21 4 2 4 2" xfId="23676"/>
    <cellStyle name="Normal 21 4 2 4 3" xfId="15379"/>
    <cellStyle name="Normal 21 4 2 5" xfId="19536"/>
    <cellStyle name="Normal 21 4 2 6" xfId="11239"/>
    <cellStyle name="Normal 21 4 3" xfId="3386"/>
    <cellStyle name="Normal 21 4 3 2" xfId="5514"/>
    <cellStyle name="Normal 21 4 3 2 2" xfId="9670"/>
    <cellStyle name="Normal 21 4 3 2 2 2" xfId="26267"/>
    <cellStyle name="Normal 21 4 3 2 2 3" xfId="17970"/>
    <cellStyle name="Normal 21 4 3 2 3" xfId="22127"/>
    <cellStyle name="Normal 21 4 3 2 4" xfId="13830"/>
    <cellStyle name="Normal 21 4 3 3" xfId="7598"/>
    <cellStyle name="Normal 21 4 3 3 2" xfId="24195"/>
    <cellStyle name="Normal 21 4 3 3 3" xfId="15898"/>
    <cellStyle name="Normal 21 4 3 4" xfId="20055"/>
    <cellStyle name="Normal 21 4 3 5" xfId="11758"/>
    <cellStyle name="Normal 21 4 4" xfId="4466"/>
    <cellStyle name="Normal 21 4 4 2" xfId="8634"/>
    <cellStyle name="Normal 21 4 4 2 2" xfId="25231"/>
    <cellStyle name="Normal 21 4 4 2 3" xfId="16934"/>
    <cellStyle name="Normal 21 4 4 3" xfId="21091"/>
    <cellStyle name="Normal 21 4 4 4" xfId="12794"/>
    <cellStyle name="Normal 21 4 5" xfId="6557"/>
    <cellStyle name="Normal 21 4 5 2" xfId="23161"/>
    <cellStyle name="Normal 21 4 5 3" xfId="14864"/>
    <cellStyle name="Normal 21 4 6" xfId="19018"/>
    <cellStyle name="Normal 21 4 7" xfId="10721"/>
    <cellStyle name="Normal 21 5" xfId="2853"/>
    <cellStyle name="Normal 21 5 2" xfId="3899"/>
    <cellStyle name="Normal 21 5 2 2" xfId="6024"/>
    <cellStyle name="Normal 21 5 2 2 2" xfId="10180"/>
    <cellStyle name="Normal 21 5 2 2 2 2" xfId="26777"/>
    <cellStyle name="Normal 21 5 2 2 2 3" xfId="18480"/>
    <cellStyle name="Normal 21 5 2 2 3" xfId="22637"/>
    <cellStyle name="Normal 21 5 2 2 4" xfId="14340"/>
    <cellStyle name="Normal 21 5 2 3" xfId="8108"/>
    <cellStyle name="Normal 21 5 2 3 2" xfId="24705"/>
    <cellStyle name="Normal 21 5 2 3 3" xfId="16408"/>
    <cellStyle name="Normal 21 5 2 4" xfId="20565"/>
    <cellStyle name="Normal 21 5 2 5" xfId="12268"/>
    <cellStyle name="Normal 21 5 3" xfId="4990"/>
    <cellStyle name="Normal 21 5 3 2" xfId="9146"/>
    <cellStyle name="Normal 21 5 3 2 2" xfId="25743"/>
    <cellStyle name="Normal 21 5 3 2 3" xfId="17446"/>
    <cellStyle name="Normal 21 5 3 3" xfId="21603"/>
    <cellStyle name="Normal 21 5 3 4" xfId="13306"/>
    <cellStyle name="Normal 21 5 4" xfId="7074"/>
    <cellStyle name="Normal 21 5 4 2" xfId="23671"/>
    <cellStyle name="Normal 21 5 4 3" xfId="15374"/>
    <cellStyle name="Normal 21 5 5" xfId="19531"/>
    <cellStyle name="Normal 21 5 6" xfId="11234"/>
    <cellStyle name="Normal 21 6" xfId="3381"/>
    <cellStyle name="Normal 21 6 2" xfId="5509"/>
    <cellStyle name="Normal 21 6 2 2" xfId="9665"/>
    <cellStyle name="Normal 21 6 2 2 2" xfId="26262"/>
    <cellStyle name="Normal 21 6 2 2 3" xfId="17965"/>
    <cellStyle name="Normal 21 6 2 3" xfId="22122"/>
    <cellStyle name="Normal 21 6 2 4" xfId="13825"/>
    <cellStyle name="Normal 21 6 3" xfId="7593"/>
    <cellStyle name="Normal 21 6 3 2" xfId="24190"/>
    <cellStyle name="Normal 21 6 3 3" xfId="15893"/>
    <cellStyle name="Normal 21 6 4" xfId="20050"/>
    <cellStyle name="Normal 21 6 5" xfId="11753"/>
    <cellStyle name="Normal 21 7" xfId="4461"/>
    <cellStyle name="Normal 21 7 2" xfId="8629"/>
    <cellStyle name="Normal 21 7 2 2" xfId="25226"/>
    <cellStyle name="Normal 21 7 2 3" xfId="16929"/>
    <cellStyle name="Normal 21 7 3" xfId="21086"/>
    <cellStyle name="Normal 21 7 4" xfId="12789"/>
    <cellStyle name="Normal 21 8" xfId="6552"/>
    <cellStyle name="Normal 21 8 2" xfId="23156"/>
    <cellStyle name="Normal 21 8 3" xfId="14859"/>
    <cellStyle name="Normal 21 9" xfId="19013"/>
    <cellStyle name="Normal 22" xfId="1522"/>
    <cellStyle name="Normal 22 10" xfId="10722"/>
    <cellStyle name="Normal 22 2" xfId="1523"/>
    <cellStyle name="Normal 22 2 2" xfId="1524"/>
    <cellStyle name="Normal 22 2 2 2" xfId="2861"/>
    <cellStyle name="Normal 22 2 2 2 2" xfId="3907"/>
    <cellStyle name="Normal 22 2 2 2 2 2" xfId="6032"/>
    <cellStyle name="Normal 22 2 2 2 2 2 2" xfId="10188"/>
    <cellStyle name="Normal 22 2 2 2 2 2 2 2" xfId="26785"/>
    <cellStyle name="Normal 22 2 2 2 2 2 2 3" xfId="18488"/>
    <cellStyle name="Normal 22 2 2 2 2 2 3" xfId="22645"/>
    <cellStyle name="Normal 22 2 2 2 2 2 4" xfId="14348"/>
    <cellStyle name="Normal 22 2 2 2 2 3" xfId="8116"/>
    <cellStyle name="Normal 22 2 2 2 2 3 2" xfId="24713"/>
    <cellStyle name="Normal 22 2 2 2 2 3 3" xfId="16416"/>
    <cellStyle name="Normal 22 2 2 2 2 4" xfId="20573"/>
    <cellStyle name="Normal 22 2 2 2 2 5" xfId="12276"/>
    <cellStyle name="Normal 22 2 2 2 3" xfId="4998"/>
    <cellStyle name="Normal 22 2 2 2 3 2" xfId="9154"/>
    <cellStyle name="Normal 22 2 2 2 3 2 2" xfId="25751"/>
    <cellStyle name="Normal 22 2 2 2 3 2 3" xfId="17454"/>
    <cellStyle name="Normal 22 2 2 2 3 3" xfId="21611"/>
    <cellStyle name="Normal 22 2 2 2 3 4" xfId="13314"/>
    <cellStyle name="Normal 22 2 2 2 4" xfId="7082"/>
    <cellStyle name="Normal 22 2 2 2 4 2" xfId="23679"/>
    <cellStyle name="Normal 22 2 2 2 4 3" xfId="15382"/>
    <cellStyle name="Normal 22 2 2 2 5" xfId="19539"/>
    <cellStyle name="Normal 22 2 2 2 6" xfId="11242"/>
    <cellStyle name="Normal 22 2 2 3" xfId="3389"/>
    <cellStyle name="Normal 22 2 2 3 2" xfId="5517"/>
    <cellStyle name="Normal 22 2 2 3 2 2" xfId="9673"/>
    <cellStyle name="Normal 22 2 2 3 2 2 2" xfId="26270"/>
    <cellStyle name="Normal 22 2 2 3 2 2 3" xfId="17973"/>
    <cellStyle name="Normal 22 2 2 3 2 3" xfId="22130"/>
    <cellStyle name="Normal 22 2 2 3 2 4" xfId="13833"/>
    <cellStyle name="Normal 22 2 2 3 3" xfId="7601"/>
    <cellStyle name="Normal 22 2 2 3 3 2" xfId="24198"/>
    <cellStyle name="Normal 22 2 2 3 3 3" xfId="15901"/>
    <cellStyle name="Normal 22 2 2 3 4" xfId="20058"/>
    <cellStyle name="Normal 22 2 2 3 5" xfId="11761"/>
    <cellStyle name="Normal 22 2 2 4" xfId="4469"/>
    <cellStyle name="Normal 22 2 2 4 2" xfId="8637"/>
    <cellStyle name="Normal 22 2 2 4 2 2" xfId="25234"/>
    <cellStyle name="Normal 22 2 2 4 2 3" xfId="16937"/>
    <cellStyle name="Normal 22 2 2 4 3" xfId="21094"/>
    <cellStyle name="Normal 22 2 2 4 4" xfId="12797"/>
    <cellStyle name="Normal 22 2 2 5" xfId="6560"/>
    <cellStyle name="Normal 22 2 2 5 2" xfId="23164"/>
    <cellStyle name="Normal 22 2 2 5 3" xfId="14867"/>
    <cellStyle name="Normal 22 2 2 6" xfId="19021"/>
    <cellStyle name="Normal 22 2 2 7" xfId="10724"/>
    <cellStyle name="Normal 22 2 3" xfId="2860"/>
    <cellStyle name="Normal 22 2 3 2" xfId="3906"/>
    <cellStyle name="Normal 22 2 3 2 2" xfId="6031"/>
    <cellStyle name="Normal 22 2 3 2 2 2" xfId="10187"/>
    <cellStyle name="Normal 22 2 3 2 2 2 2" xfId="26784"/>
    <cellStyle name="Normal 22 2 3 2 2 2 3" xfId="18487"/>
    <cellStyle name="Normal 22 2 3 2 2 3" xfId="22644"/>
    <cellStyle name="Normal 22 2 3 2 2 4" xfId="14347"/>
    <cellStyle name="Normal 22 2 3 2 3" xfId="8115"/>
    <cellStyle name="Normal 22 2 3 2 3 2" xfId="24712"/>
    <cellStyle name="Normal 22 2 3 2 3 3" xfId="16415"/>
    <cellStyle name="Normal 22 2 3 2 4" xfId="20572"/>
    <cellStyle name="Normal 22 2 3 2 5" xfId="12275"/>
    <cellStyle name="Normal 22 2 3 3" xfId="4997"/>
    <cellStyle name="Normal 22 2 3 3 2" xfId="9153"/>
    <cellStyle name="Normal 22 2 3 3 2 2" xfId="25750"/>
    <cellStyle name="Normal 22 2 3 3 2 3" xfId="17453"/>
    <cellStyle name="Normal 22 2 3 3 3" xfId="21610"/>
    <cellStyle name="Normal 22 2 3 3 4" xfId="13313"/>
    <cellStyle name="Normal 22 2 3 4" xfId="7081"/>
    <cellStyle name="Normal 22 2 3 4 2" xfId="23678"/>
    <cellStyle name="Normal 22 2 3 4 3" xfId="15381"/>
    <cellStyle name="Normal 22 2 3 5" xfId="19538"/>
    <cellStyle name="Normal 22 2 3 6" xfId="11241"/>
    <cellStyle name="Normal 22 2 4" xfId="3388"/>
    <cellStyle name="Normal 22 2 4 2" xfId="5516"/>
    <cellStyle name="Normal 22 2 4 2 2" xfId="9672"/>
    <cellStyle name="Normal 22 2 4 2 2 2" xfId="26269"/>
    <cellStyle name="Normal 22 2 4 2 2 3" xfId="17972"/>
    <cellStyle name="Normal 22 2 4 2 3" xfId="22129"/>
    <cellStyle name="Normal 22 2 4 2 4" xfId="13832"/>
    <cellStyle name="Normal 22 2 4 3" xfId="7600"/>
    <cellStyle name="Normal 22 2 4 3 2" xfId="24197"/>
    <cellStyle name="Normal 22 2 4 3 3" xfId="15900"/>
    <cellStyle name="Normal 22 2 4 4" xfId="20057"/>
    <cellStyle name="Normal 22 2 4 5" xfId="11760"/>
    <cellStyle name="Normal 22 2 5" xfId="4468"/>
    <cellStyle name="Normal 22 2 5 2" xfId="8636"/>
    <cellStyle name="Normal 22 2 5 2 2" xfId="25233"/>
    <cellStyle name="Normal 22 2 5 2 3" xfId="16936"/>
    <cellStyle name="Normal 22 2 5 3" xfId="21093"/>
    <cellStyle name="Normal 22 2 5 4" xfId="12796"/>
    <cellStyle name="Normal 22 2 6" xfId="6559"/>
    <cellStyle name="Normal 22 2 6 2" xfId="23163"/>
    <cellStyle name="Normal 22 2 6 3" xfId="14866"/>
    <cellStyle name="Normal 22 2 7" xfId="19020"/>
    <cellStyle name="Normal 22 2 8" xfId="10723"/>
    <cellStyle name="Normal 22 3" xfId="1525"/>
    <cellStyle name="Normal 22 3 2" xfId="1526"/>
    <cellStyle name="Normal 22 3 2 2" xfId="2863"/>
    <cellStyle name="Normal 22 3 2 2 2" xfId="3909"/>
    <cellStyle name="Normal 22 3 2 2 2 2" xfId="6034"/>
    <cellStyle name="Normal 22 3 2 2 2 2 2" xfId="10190"/>
    <cellStyle name="Normal 22 3 2 2 2 2 2 2" xfId="26787"/>
    <cellStyle name="Normal 22 3 2 2 2 2 2 3" xfId="18490"/>
    <cellStyle name="Normal 22 3 2 2 2 2 3" xfId="22647"/>
    <cellStyle name="Normal 22 3 2 2 2 2 4" xfId="14350"/>
    <cellStyle name="Normal 22 3 2 2 2 3" xfId="8118"/>
    <cellStyle name="Normal 22 3 2 2 2 3 2" xfId="24715"/>
    <cellStyle name="Normal 22 3 2 2 2 3 3" xfId="16418"/>
    <cellStyle name="Normal 22 3 2 2 2 4" xfId="20575"/>
    <cellStyle name="Normal 22 3 2 2 2 5" xfId="12278"/>
    <cellStyle name="Normal 22 3 2 2 3" xfId="5000"/>
    <cellStyle name="Normal 22 3 2 2 3 2" xfId="9156"/>
    <cellStyle name="Normal 22 3 2 2 3 2 2" xfId="25753"/>
    <cellStyle name="Normal 22 3 2 2 3 2 3" xfId="17456"/>
    <cellStyle name="Normal 22 3 2 2 3 3" xfId="21613"/>
    <cellStyle name="Normal 22 3 2 2 3 4" xfId="13316"/>
    <cellStyle name="Normal 22 3 2 2 4" xfId="7084"/>
    <cellStyle name="Normal 22 3 2 2 4 2" xfId="23681"/>
    <cellStyle name="Normal 22 3 2 2 4 3" xfId="15384"/>
    <cellStyle name="Normal 22 3 2 2 5" xfId="19541"/>
    <cellStyle name="Normal 22 3 2 2 6" xfId="11244"/>
    <cellStyle name="Normal 22 3 2 3" xfId="3391"/>
    <cellStyle name="Normal 22 3 2 3 2" xfId="5519"/>
    <cellStyle name="Normal 22 3 2 3 2 2" xfId="9675"/>
    <cellStyle name="Normal 22 3 2 3 2 2 2" xfId="26272"/>
    <cellStyle name="Normal 22 3 2 3 2 2 3" xfId="17975"/>
    <cellStyle name="Normal 22 3 2 3 2 3" xfId="22132"/>
    <cellStyle name="Normal 22 3 2 3 2 4" xfId="13835"/>
    <cellStyle name="Normal 22 3 2 3 3" xfId="7603"/>
    <cellStyle name="Normal 22 3 2 3 3 2" xfId="24200"/>
    <cellStyle name="Normal 22 3 2 3 3 3" xfId="15903"/>
    <cellStyle name="Normal 22 3 2 3 4" xfId="20060"/>
    <cellStyle name="Normal 22 3 2 3 5" xfId="11763"/>
    <cellStyle name="Normal 22 3 2 4" xfId="4471"/>
    <cellStyle name="Normal 22 3 2 4 2" xfId="8639"/>
    <cellStyle name="Normal 22 3 2 4 2 2" xfId="25236"/>
    <cellStyle name="Normal 22 3 2 4 2 3" xfId="16939"/>
    <cellStyle name="Normal 22 3 2 4 3" xfId="21096"/>
    <cellStyle name="Normal 22 3 2 4 4" xfId="12799"/>
    <cellStyle name="Normal 22 3 2 5" xfId="6562"/>
    <cellStyle name="Normal 22 3 2 5 2" xfId="23166"/>
    <cellStyle name="Normal 22 3 2 5 3" xfId="14869"/>
    <cellStyle name="Normal 22 3 2 6" xfId="19023"/>
    <cellStyle name="Normal 22 3 2 7" xfId="10726"/>
    <cellStyle name="Normal 22 3 3" xfId="2862"/>
    <cellStyle name="Normal 22 3 3 2" xfId="3908"/>
    <cellStyle name="Normal 22 3 3 2 2" xfId="6033"/>
    <cellStyle name="Normal 22 3 3 2 2 2" xfId="10189"/>
    <cellStyle name="Normal 22 3 3 2 2 2 2" xfId="26786"/>
    <cellStyle name="Normal 22 3 3 2 2 2 3" xfId="18489"/>
    <cellStyle name="Normal 22 3 3 2 2 3" xfId="22646"/>
    <cellStyle name="Normal 22 3 3 2 2 4" xfId="14349"/>
    <cellStyle name="Normal 22 3 3 2 3" xfId="8117"/>
    <cellStyle name="Normal 22 3 3 2 3 2" xfId="24714"/>
    <cellStyle name="Normal 22 3 3 2 3 3" xfId="16417"/>
    <cellStyle name="Normal 22 3 3 2 4" xfId="20574"/>
    <cellStyle name="Normal 22 3 3 2 5" xfId="12277"/>
    <cellStyle name="Normal 22 3 3 3" xfId="4999"/>
    <cellStyle name="Normal 22 3 3 3 2" xfId="9155"/>
    <cellStyle name="Normal 22 3 3 3 2 2" xfId="25752"/>
    <cellStyle name="Normal 22 3 3 3 2 3" xfId="17455"/>
    <cellStyle name="Normal 22 3 3 3 3" xfId="21612"/>
    <cellStyle name="Normal 22 3 3 3 4" xfId="13315"/>
    <cellStyle name="Normal 22 3 3 4" xfId="7083"/>
    <cellStyle name="Normal 22 3 3 4 2" xfId="23680"/>
    <cellStyle name="Normal 22 3 3 4 3" xfId="15383"/>
    <cellStyle name="Normal 22 3 3 5" xfId="19540"/>
    <cellStyle name="Normal 22 3 3 6" xfId="11243"/>
    <cellStyle name="Normal 22 3 4" xfId="3390"/>
    <cellStyle name="Normal 22 3 4 2" xfId="5518"/>
    <cellStyle name="Normal 22 3 4 2 2" xfId="9674"/>
    <cellStyle name="Normal 22 3 4 2 2 2" xfId="26271"/>
    <cellStyle name="Normal 22 3 4 2 2 3" xfId="17974"/>
    <cellStyle name="Normal 22 3 4 2 3" xfId="22131"/>
    <cellStyle name="Normal 22 3 4 2 4" xfId="13834"/>
    <cellStyle name="Normal 22 3 4 3" xfId="7602"/>
    <cellStyle name="Normal 22 3 4 3 2" xfId="24199"/>
    <cellStyle name="Normal 22 3 4 3 3" xfId="15902"/>
    <cellStyle name="Normal 22 3 4 4" xfId="20059"/>
    <cellStyle name="Normal 22 3 4 5" xfId="11762"/>
    <cellStyle name="Normal 22 3 5" xfId="4470"/>
    <cellStyle name="Normal 22 3 5 2" xfId="8638"/>
    <cellStyle name="Normal 22 3 5 2 2" xfId="25235"/>
    <cellStyle name="Normal 22 3 5 2 3" xfId="16938"/>
    <cellStyle name="Normal 22 3 5 3" xfId="21095"/>
    <cellStyle name="Normal 22 3 5 4" xfId="12798"/>
    <cellStyle name="Normal 22 3 6" xfId="6561"/>
    <cellStyle name="Normal 22 3 6 2" xfId="23165"/>
    <cellStyle name="Normal 22 3 6 3" xfId="14868"/>
    <cellStyle name="Normal 22 3 7" xfId="19022"/>
    <cellStyle name="Normal 22 3 8" xfId="10725"/>
    <cellStyle name="Normal 22 4" xfId="1527"/>
    <cellStyle name="Normal 22 4 2" xfId="2864"/>
    <cellStyle name="Normal 22 4 2 2" xfId="3910"/>
    <cellStyle name="Normal 22 4 2 2 2" xfId="6035"/>
    <cellStyle name="Normal 22 4 2 2 2 2" xfId="10191"/>
    <cellStyle name="Normal 22 4 2 2 2 2 2" xfId="26788"/>
    <cellStyle name="Normal 22 4 2 2 2 2 3" xfId="18491"/>
    <cellStyle name="Normal 22 4 2 2 2 3" xfId="22648"/>
    <cellStyle name="Normal 22 4 2 2 2 4" xfId="14351"/>
    <cellStyle name="Normal 22 4 2 2 3" xfId="8119"/>
    <cellStyle name="Normal 22 4 2 2 3 2" xfId="24716"/>
    <cellStyle name="Normal 22 4 2 2 3 3" xfId="16419"/>
    <cellStyle name="Normal 22 4 2 2 4" xfId="20576"/>
    <cellStyle name="Normal 22 4 2 2 5" xfId="12279"/>
    <cellStyle name="Normal 22 4 2 3" xfId="5001"/>
    <cellStyle name="Normal 22 4 2 3 2" xfId="9157"/>
    <cellStyle name="Normal 22 4 2 3 2 2" xfId="25754"/>
    <cellStyle name="Normal 22 4 2 3 2 3" xfId="17457"/>
    <cellStyle name="Normal 22 4 2 3 3" xfId="21614"/>
    <cellStyle name="Normal 22 4 2 3 4" xfId="13317"/>
    <cellStyle name="Normal 22 4 2 4" xfId="7085"/>
    <cellStyle name="Normal 22 4 2 4 2" xfId="23682"/>
    <cellStyle name="Normal 22 4 2 4 3" xfId="15385"/>
    <cellStyle name="Normal 22 4 2 5" xfId="19542"/>
    <cellStyle name="Normal 22 4 2 6" xfId="11245"/>
    <cellStyle name="Normal 22 4 3" xfId="3392"/>
    <cellStyle name="Normal 22 4 3 2" xfId="5520"/>
    <cellStyle name="Normal 22 4 3 2 2" xfId="9676"/>
    <cellStyle name="Normal 22 4 3 2 2 2" xfId="26273"/>
    <cellStyle name="Normal 22 4 3 2 2 3" xfId="17976"/>
    <cellStyle name="Normal 22 4 3 2 3" xfId="22133"/>
    <cellStyle name="Normal 22 4 3 2 4" xfId="13836"/>
    <cellStyle name="Normal 22 4 3 3" xfId="7604"/>
    <cellStyle name="Normal 22 4 3 3 2" xfId="24201"/>
    <cellStyle name="Normal 22 4 3 3 3" xfId="15904"/>
    <cellStyle name="Normal 22 4 3 4" xfId="20061"/>
    <cellStyle name="Normal 22 4 3 5" xfId="11764"/>
    <cellStyle name="Normal 22 4 4" xfId="4472"/>
    <cellStyle name="Normal 22 4 4 2" xfId="8640"/>
    <cellStyle name="Normal 22 4 4 2 2" xfId="25237"/>
    <cellStyle name="Normal 22 4 4 2 3" xfId="16940"/>
    <cellStyle name="Normal 22 4 4 3" xfId="21097"/>
    <cellStyle name="Normal 22 4 4 4" xfId="12800"/>
    <cellStyle name="Normal 22 4 5" xfId="6563"/>
    <cellStyle name="Normal 22 4 5 2" xfId="23167"/>
    <cellStyle name="Normal 22 4 5 3" xfId="14870"/>
    <cellStyle name="Normal 22 4 6" xfId="19024"/>
    <cellStyle name="Normal 22 4 7" xfId="10727"/>
    <cellStyle name="Normal 22 5" xfId="2859"/>
    <cellStyle name="Normal 22 5 2" xfId="3905"/>
    <cellStyle name="Normal 22 5 2 2" xfId="6030"/>
    <cellStyle name="Normal 22 5 2 2 2" xfId="10186"/>
    <cellStyle name="Normal 22 5 2 2 2 2" xfId="26783"/>
    <cellStyle name="Normal 22 5 2 2 2 3" xfId="18486"/>
    <cellStyle name="Normal 22 5 2 2 3" xfId="22643"/>
    <cellStyle name="Normal 22 5 2 2 4" xfId="14346"/>
    <cellStyle name="Normal 22 5 2 3" xfId="8114"/>
    <cellStyle name="Normal 22 5 2 3 2" xfId="24711"/>
    <cellStyle name="Normal 22 5 2 3 3" xfId="16414"/>
    <cellStyle name="Normal 22 5 2 4" xfId="20571"/>
    <cellStyle name="Normal 22 5 2 5" xfId="12274"/>
    <cellStyle name="Normal 22 5 3" xfId="4996"/>
    <cellStyle name="Normal 22 5 3 2" xfId="9152"/>
    <cellStyle name="Normal 22 5 3 2 2" xfId="25749"/>
    <cellStyle name="Normal 22 5 3 2 3" xfId="17452"/>
    <cellStyle name="Normal 22 5 3 3" xfId="21609"/>
    <cellStyle name="Normal 22 5 3 4" xfId="13312"/>
    <cellStyle name="Normal 22 5 4" xfId="7080"/>
    <cellStyle name="Normal 22 5 4 2" xfId="23677"/>
    <cellStyle name="Normal 22 5 4 3" xfId="15380"/>
    <cellStyle name="Normal 22 5 5" xfId="19537"/>
    <cellStyle name="Normal 22 5 6" xfId="11240"/>
    <cellStyle name="Normal 22 6" xfId="3387"/>
    <cellStyle name="Normal 22 6 2" xfId="5515"/>
    <cellStyle name="Normal 22 6 2 2" xfId="9671"/>
    <cellStyle name="Normal 22 6 2 2 2" xfId="26268"/>
    <cellStyle name="Normal 22 6 2 2 3" xfId="17971"/>
    <cellStyle name="Normal 22 6 2 3" xfId="22128"/>
    <cellStyle name="Normal 22 6 2 4" xfId="13831"/>
    <cellStyle name="Normal 22 6 3" xfId="7599"/>
    <cellStyle name="Normal 22 6 3 2" xfId="24196"/>
    <cellStyle name="Normal 22 6 3 3" xfId="15899"/>
    <cellStyle name="Normal 22 6 4" xfId="20056"/>
    <cellStyle name="Normal 22 6 5" xfId="11759"/>
    <cellStyle name="Normal 22 7" xfId="4467"/>
    <cellStyle name="Normal 22 7 2" xfId="8635"/>
    <cellStyle name="Normal 22 7 2 2" xfId="25232"/>
    <cellStyle name="Normal 22 7 2 3" xfId="16935"/>
    <cellStyle name="Normal 22 7 3" xfId="21092"/>
    <cellStyle name="Normal 22 7 4" xfId="12795"/>
    <cellStyle name="Normal 22 8" xfId="6558"/>
    <cellStyle name="Normal 22 8 2" xfId="23162"/>
    <cellStyle name="Normal 22 8 3" xfId="14865"/>
    <cellStyle name="Normal 22 9" xfId="19019"/>
    <cellStyle name="Normal 23" xfId="1528"/>
    <cellStyle name="Normal 23 10" xfId="10728"/>
    <cellStyle name="Normal 23 2" xfId="1529"/>
    <cellStyle name="Normal 23 2 2" xfId="1530"/>
    <cellStyle name="Normal 23 2 2 2" xfId="2867"/>
    <cellStyle name="Normal 23 2 2 2 2" xfId="3913"/>
    <cellStyle name="Normal 23 2 2 2 2 2" xfId="6038"/>
    <cellStyle name="Normal 23 2 2 2 2 2 2" xfId="10194"/>
    <cellStyle name="Normal 23 2 2 2 2 2 2 2" xfId="26791"/>
    <cellStyle name="Normal 23 2 2 2 2 2 2 3" xfId="18494"/>
    <cellStyle name="Normal 23 2 2 2 2 2 3" xfId="22651"/>
    <cellStyle name="Normal 23 2 2 2 2 2 4" xfId="14354"/>
    <cellStyle name="Normal 23 2 2 2 2 3" xfId="8122"/>
    <cellStyle name="Normal 23 2 2 2 2 3 2" xfId="24719"/>
    <cellStyle name="Normal 23 2 2 2 2 3 3" xfId="16422"/>
    <cellStyle name="Normal 23 2 2 2 2 4" xfId="20579"/>
    <cellStyle name="Normal 23 2 2 2 2 5" xfId="12282"/>
    <cellStyle name="Normal 23 2 2 2 3" xfId="5004"/>
    <cellStyle name="Normal 23 2 2 2 3 2" xfId="9160"/>
    <cellStyle name="Normal 23 2 2 2 3 2 2" xfId="25757"/>
    <cellStyle name="Normal 23 2 2 2 3 2 3" xfId="17460"/>
    <cellStyle name="Normal 23 2 2 2 3 3" xfId="21617"/>
    <cellStyle name="Normal 23 2 2 2 3 4" xfId="13320"/>
    <cellStyle name="Normal 23 2 2 2 4" xfId="7088"/>
    <cellStyle name="Normal 23 2 2 2 4 2" xfId="23685"/>
    <cellStyle name="Normal 23 2 2 2 4 3" xfId="15388"/>
    <cellStyle name="Normal 23 2 2 2 5" xfId="19545"/>
    <cellStyle name="Normal 23 2 2 2 6" xfId="11248"/>
    <cellStyle name="Normal 23 2 2 3" xfId="3395"/>
    <cellStyle name="Normal 23 2 2 3 2" xfId="5523"/>
    <cellStyle name="Normal 23 2 2 3 2 2" xfId="9679"/>
    <cellStyle name="Normal 23 2 2 3 2 2 2" xfId="26276"/>
    <cellStyle name="Normal 23 2 2 3 2 2 3" xfId="17979"/>
    <cellStyle name="Normal 23 2 2 3 2 3" xfId="22136"/>
    <cellStyle name="Normal 23 2 2 3 2 4" xfId="13839"/>
    <cellStyle name="Normal 23 2 2 3 3" xfId="7607"/>
    <cellStyle name="Normal 23 2 2 3 3 2" xfId="24204"/>
    <cellStyle name="Normal 23 2 2 3 3 3" xfId="15907"/>
    <cellStyle name="Normal 23 2 2 3 4" xfId="20064"/>
    <cellStyle name="Normal 23 2 2 3 5" xfId="11767"/>
    <cellStyle name="Normal 23 2 2 4" xfId="4475"/>
    <cellStyle name="Normal 23 2 2 4 2" xfId="8643"/>
    <cellStyle name="Normal 23 2 2 4 2 2" xfId="25240"/>
    <cellStyle name="Normal 23 2 2 4 2 3" xfId="16943"/>
    <cellStyle name="Normal 23 2 2 4 3" xfId="21100"/>
    <cellStyle name="Normal 23 2 2 4 4" xfId="12803"/>
    <cellStyle name="Normal 23 2 2 5" xfId="6566"/>
    <cellStyle name="Normal 23 2 2 5 2" xfId="23170"/>
    <cellStyle name="Normal 23 2 2 5 3" xfId="14873"/>
    <cellStyle name="Normal 23 2 2 6" xfId="19027"/>
    <cellStyle name="Normal 23 2 2 7" xfId="10730"/>
    <cellStyle name="Normal 23 2 3" xfId="2866"/>
    <cellStyle name="Normal 23 2 3 2" xfId="3912"/>
    <cellStyle name="Normal 23 2 3 2 2" xfId="6037"/>
    <cellStyle name="Normal 23 2 3 2 2 2" xfId="10193"/>
    <cellStyle name="Normal 23 2 3 2 2 2 2" xfId="26790"/>
    <cellStyle name="Normal 23 2 3 2 2 2 3" xfId="18493"/>
    <cellStyle name="Normal 23 2 3 2 2 3" xfId="22650"/>
    <cellStyle name="Normal 23 2 3 2 2 4" xfId="14353"/>
    <cellStyle name="Normal 23 2 3 2 3" xfId="8121"/>
    <cellStyle name="Normal 23 2 3 2 3 2" xfId="24718"/>
    <cellStyle name="Normal 23 2 3 2 3 3" xfId="16421"/>
    <cellStyle name="Normal 23 2 3 2 4" xfId="20578"/>
    <cellStyle name="Normal 23 2 3 2 5" xfId="12281"/>
    <cellStyle name="Normal 23 2 3 3" xfId="5003"/>
    <cellStyle name="Normal 23 2 3 3 2" xfId="9159"/>
    <cellStyle name="Normal 23 2 3 3 2 2" xfId="25756"/>
    <cellStyle name="Normal 23 2 3 3 2 3" xfId="17459"/>
    <cellStyle name="Normal 23 2 3 3 3" xfId="21616"/>
    <cellStyle name="Normal 23 2 3 3 4" xfId="13319"/>
    <cellStyle name="Normal 23 2 3 4" xfId="7087"/>
    <cellStyle name="Normal 23 2 3 4 2" xfId="23684"/>
    <cellStyle name="Normal 23 2 3 4 3" xfId="15387"/>
    <cellStyle name="Normal 23 2 3 5" xfId="19544"/>
    <cellStyle name="Normal 23 2 3 6" xfId="11247"/>
    <cellStyle name="Normal 23 2 4" xfId="3394"/>
    <cellStyle name="Normal 23 2 4 2" xfId="5522"/>
    <cellStyle name="Normal 23 2 4 2 2" xfId="9678"/>
    <cellStyle name="Normal 23 2 4 2 2 2" xfId="26275"/>
    <cellStyle name="Normal 23 2 4 2 2 3" xfId="17978"/>
    <cellStyle name="Normal 23 2 4 2 3" xfId="22135"/>
    <cellStyle name="Normal 23 2 4 2 4" xfId="13838"/>
    <cellStyle name="Normal 23 2 4 3" xfId="7606"/>
    <cellStyle name="Normal 23 2 4 3 2" xfId="24203"/>
    <cellStyle name="Normal 23 2 4 3 3" xfId="15906"/>
    <cellStyle name="Normal 23 2 4 4" xfId="20063"/>
    <cellStyle name="Normal 23 2 4 5" xfId="11766"/>
    <cellStyle name="Normal 23 2 5" xfId="4474"/>
    <cellStyle name="Normal 23 2 5 2" xfId="8642"/>
    <cellStyle name="Normal 23 2 5 2 2" xfId="25239"/>
    <cellStyle name="Normal 23 2 5 2 3" xfId="16942"/>
    <cellStyle name="Normal 23 2 5 3" xfId="21099"/>
    <cellStyle name="Normal 23 2 5 4" xfId="12802"/>
    <cellStyle name="Normal 23 2 6" xfId="6565"/>
    <cellStyle name="Normal 23 2 6 2" xfId="23169"/>
    <cellStyle name="Normal 23 2 6 3" xfId="14872"/>
    <cellStyle name="Normal 23 2 7" xfId="19026"/>
    <cellStyle name="Normal 23 2 8" xfId="10729"/>
    <cellStyle name="Normal 23 3" xfId="1531"/>
    <cellStyle name="Normal 23 3 2" xfId="1532"/>
    <cellStyle name="Normal 23 3 2 2" xfId="2869"/>
    <cellStyle name="Normal 23 3 2 2 2" xfId="3915"/>
    <cellStyle name="Normal 23 3 2 2 2 2" xfId="6040"/>
    <cellStyle name="Normal 23 3 2 2 2 2 2" xfId="10196"/>
    <cellStyle name="Normal 23 3 2 2 2 2 2 2" xfId="26793"/>
    <cellStyle name="Normal 23 3 2 2 2 2 2 3" xfId="18496"/>
    <cellStyle name="Normal 23 3 2 2 2 2 3" xfId="22653"/>
    <cellStyle name="Normal 23 3 2 2 2 2 4" xfId="14356"/>
    <cellStyle name="Normal 23 3 2 2 2 3" xfId="8124"/>
    <cellStyle name="Normal 23 3 2 2 2 3 2" xfId="24721"/>
    <cellStyle name="Normal 23 3 2 2 2 3 3" xfId="16424"/>
    <cellStyle name="Normal 23 3 2 2 2 4" xfId="20581"/>
    <cellStyle name="Normal 23 3 2 2 2 5" xfId="12284"/>
    <cellStyle name="Normal 23 3 2 2 3" xfId="5006"/>
    <cellStyle name="Normal 23 3 2 2 3 2" xfId="9162"/>
    <cellStyle name="Normal 23 3 2 2 3 2 2" xfId="25759"/>
    <cellStyle name="Normal 23 3 2 2 3 2 3" xfId="17462"/>
    <cellStyle name="Normal 23 3 2 2 3 3" xfId="21619"/>
    <cellStyle name="Normal 23 3 2 2 3 4" xfId="13322"/>
    <cellStyle name="Normal 23 3 2 2 4" xfId="7090"/>
    <cellStyle name="Normal 23 3 2 2 4 2" xfId="23687"/>
    <cellStyle name="Normal 23 3 2 2 4 3" xfId="15390"/>
    <cellStyle name="Normal 23 3 2 2 5" xfId="19547"/>
    <cellStyle name="Normal 23 3 2 2 6" xfId="11250"/>
    <cellStyle name="Normal 23 3 2 3" xfId="3397"/>
    <cellStyle name="Normal 23 3 2 3 2" xfId="5525"/>
    <cellStyle name="Normal 23 3 2 3 2 2" xfId="9681"/>
    <cellStyle name="Normal 23 3 2 3 2 2 2" xfId="26278"/>
    <cellStyle name="Normal 23 3 2 3 2 2 3" xfId="17981"/>
    <cellStyle name="Normal 23 3 2 3 2 3" xfId="22138"/>
    <cellStyle name="Normal 23 3 2 3 2 4" xfId="13841"/>
    <cellStyle name="Normal 23 3 2 3 3" xfId="7609"/>
    <cellStyle name="Normal 23 3 2 3 3 2" xfId="24206"/>
    <cellStyle name="Normal 23 3 2 3 3 3" xfId="15909"/>
    <cellStyle name="Normal 23 3 2 3 4" xfId="20066"/>
    <cellStyle name="Normal 23 3 2 3 5" xfId="11769"/>
    <cellStyle name="Normal 23 3 2 4" xfId="4477"/>
    <cellStyle name="Normal 23 3 2 4 2" xfId="8645"/>
    <cellStyle name="Normal 23 3 2 4 2 2" xfId="25242"/>
    <cellStyle name="Normal 23 3 2 4 2 3" xfId="16945"/>
    <cellStyle name="Normal 23 3 2 4 3" xfId="21102"/>
    <cellStyle name="Normal 23 3 2 4 4" xfId="12805"/>
    <cellStyle name="Normal 23 3 2 5" xfId="6568"/>
    <cellStyle name="Normal 23 3 2 5 2" xfId="23172"/>
    <cellStyle name="Normal 23 3 2 5 3" xfId="14875"/>
    <cellStyle name="Normal 23 3 2 6" xfId="19029"/>
    <cellStyle name="Normal 23 3 2 7" xfId="10732"/>
    <cellStyle name="Normal 23 3 3" xfId="2868"/>
    <cellStyle name="Normal 23 3 3 2" xfId="3914"/>
    <cellStyle name="Normal 23 3 3 2 2" xfId="6039"/>
    <cellStyle name="Normal 23 3 3 2 2 2" xfId="10195"/>
    <cellStyle name="Normal 23 3 3 2 2 2 2" xfId="26792"/>
    <cellStyle name="Normal 23 3 3 2 2 2 3" xfId="18495"/>
    <cellStyle name="Normal 23 3 3 2 2 3" xfId="22652"/>
    <cellStyle name="Normal 23 3 3 2 2 4" xfId="14355"/>
    <cellStyle name="Normal 23 3 3 2 3" xfId="8123"/>
    <cellStyle name="Normal 23 3 3 2 3 2" xfId="24720"/>
    <cellStyle name="Normal 23 3 3 2 3 3" xfId="16423"/>
    <cellStyle name="Normal 23 3 3 2 4" xfId="20580"/>
    <cellStyle name="Normal 23 3 3 2 5" xfId="12283"/>
    <cellStyle name="Normal 23 3 3 3" xfId="5005"/>
    <cellStyle name="Normal 23 3 3 3 2" xfId="9161"/>
    <cellStyle name="Normal 23 3 3 3 2 2" xfId="25758"/>
    <cellStyle name="Normal 23 3 3 3 2 3" xfId="17461"/>
    <cellStyle name="Normal 23 3 3 3 3" xfId="21618"/>
    <cellStyle name="Normal 23 3 3 3 4" xfId="13321"/>
    <cellStyle name="Normal 23 3 3 4" xfId="7089"/>
    <cellStyle name="Normal 23 3 3 4 2" xfId="23686"/>
    <cellStyle name="Normal 23 3 3 4 3" xfId="15389"/>
    <cellStyle name="Normal 23 3 3 5" xfId="19546"/>
    <cellStyle name="Normal 23 3 3 6" xfId="11249"/>
    <cellStyle name="Normal 23 3 4" xfId="3396"/>
    <cellStyle name="Normal 23 3 4 2" xfId="5524"/>
    <cellStyle name="Normal 23 3 4 2 2" xfId="9680"/>
    <cellStyle name="Normal 23 3 4 2 2 2" xfId="26277"/>
    <cellStyle name="Normal 23 3 4 2 2 3" xfId="17980"/>
    <cellStyle name="Normal 23 3 4 2 3" xfId="22137"/>
    <cellStyle name="Normal 23 3 4 2 4" xfId="13840"/>
    <cellStyle name="Normal 23 3 4 3" xfId="7608"/>
    <cellStyle name="Normal 23 3 4 3 2" xfId="24205"/>
    <cellStyle name="Normal 23 3 4 3 3" xfId="15908"/>
    <cellStyle name="Normal 23 3 4 4" xfId="20065"/>
    <cellStyle name="Normal 23 3 4 5" xfId="11768"/>
    <cellStyle name="Normal 23 3 5" xfId="4476"/>
    <cellStyle name="Normal 23 3 5 2" xfId="8644"/>
    <cellStyle name="Normal 23 3 5 2 2" xfId="25241"/>
    <cellStyle name="Normal 23 3 5 2 3" xfId="16944"/>
    <cellStyle name="Normal 23 3 5 3" xfId="21101"/>
    <cellStyle name="Normal 23 3 5 4" xfId="12804"/>
    <cellStyle name="Normal 23 3 6" xfId="6567"/>
    <cellStyle name="Normal 23 3 6 2" xfId="23171"/>
    <cellStyle name="Normal 23 3 6 3" xfId="14874"/>
    <cellStyle name="Normal 23 3 7" xfId="19028"/>
    <cellStyle name="Normal 23 3 8" xfId="10731"/>
    <cellStyle name="Normal 23 4" xfId="1533"/>
    <cellStyle name="Normal 23 4 2" xfId="2870"/>
    <cellStyle name="Normal 23 4 2 2" xfId="3916"/>
    <cellStyle name="Normal 23 4 2 2 2" xfId="6041"/>
    <cellStyle name="Normal 23 4 2 2 2 2" xfId="10197"/>
    <cellStyle name="Normal 23 4 2 2 2 2 2" xfId="26794"/>
    <cellStyle name="Normal 23 4 2 2 2 2 3" xfId="18497"/>
    <cellStyle name="Normal 23 4 2 2 2 3" xfId="22654"/>
    <cellStyle name="Normal 23 4 2 2 2 4" xfId="14357"/>
    <cellStyle name="Normal 23 4 2 2 3" xfId="8125"/>
    <cellStyle name="Normal 23 4 2 2 3 2" xfId="24722"/>
    <cellStyle name="Normal 23 4 2 2 3 3" xfId="16425"/>
    <cellStyle name="Normal 23 4 2 2 4" xfId="20582"/>
    <cellStyle name="Normal 23 4 2 2 5" xfId="12285"/>
    <cellStyle name="Normal 23 4 2 3" xfId="5007"/>
    <cellStyle name="Normal 23 4 2 3 2" xfId="9163"/>
    <cellStyle name="Normal 23 4 2 3 2 2" xfId="25760"/>
    <cellStyle name="Normal 23 4 2 3 2 3" xfId="17463"/>
    <cellStyle name="Normal 23 4 2 3 3" xfId="21620"/>
    <cellStyle name="Normal 23 4 2 3 4" xfId="13323"/>
    <cellStyle name="Normal 23 4 2 4" xfId="7091"/>
    <cellStyle name="Normal 23 4 2 4 2" xfId="23688"/>
    <cellStyle name="Normal 23 4 2 4 3" xfId="15391"/>
    <cellStyle name="Normal 23 4 2 5" xfId="19548"/>
    <cellStyle name="Normal 23 4 2 6" xfId="11251"/>
    <cellStyle name="Normal 23 4 3" xfId="3398"/>
    <cellStyle name="Normal 23 4 3 2" xfId="5526"/>
    <cellStyle name="Normal 23 4 3 2 2" xfId="9682"/>
    <cellStyle name="Normal 23 4 3 2 2 2" xfId="26279"/>
    <cellStyle name="Normal 23 4 3 2 2 3" xfId="17982"/>
    <cellStyle name="Normal 23 4 3 2 3" xfId="22139"/>
    <cellStyle name="Normal 23 4 3 2 4" xfId="13842"/>
    <cellStyle name="Normal 23 4 3 3" xfId="7610"/>
    <cellStyle name="Normal 23 4 3 3 2" xfId="24207"/>
    <cellStyle name="Normal 23 4 3 3 3" xfId="15910"/>
    <cellStyle name="Normal 23 4 3 4" xfId="20067"/>
    <cellStyle name="Normal 23 4 3 5" xfId="11770"/>
    <cellStyle name="Normal 23 4 4" xfId="4478"/>
    <cellStyle name="Normal 23 4 4 2" xfId="8646"/>
    <cellStyle name="Normal 23 4 4 2 2" xfId="25243"/>
    <cellStyle name="Normal 23 4 4 2 3" xfId="16946"/>
    <cellStyle name="Normal 23 4 4 3" xfId="21103"/>
    <cellStyle name="Normal 23 4 4 4" xfId="12806"/>
    <cellStyle name="Normal 23 4 5" xfId="6569"/>
    <cellStyle name="Normal 23 4 5 2" xfId="23173"/>
    <cellStyle name="Normal 23 4 5 3" xfId="14876"/>
    <cellStyle name="Normal 23 4 6" xfId="19030"/>
    <cellStyle name="Normal 23 4 7" xfId="10733"/>
    <cellStyle name="Normal 23 5" xfId="2865"/>
    <cellStyle name="Normal 23 5 2" xfId="3911"/>
    <cellStyle name="Normal 23 5 2 2" xfId="6036"/>
    <cellStyle name="Normal 23 5 2 2 2" xfId="10192"/>
    <cellStyle name="Normal 23 5 2 2 2 2" xfId="26789"/>
    <cellStyle name="Normal 23 5 2 2 2 3" xfId="18492"/>
    <cellStyle name="Normal 23 5 2 2 3" xfId="22649"/>
    <cellStyle name="Normal 23 5 2 2 4" xfId="14352"/>
    <cellStyle name="Normal 23 5 2 3" xfId="8120"/>
    <cellStyle name="Normal 23 5 2 3 2" xfId="24717"/>
    <cellStyle name="Normal 23 5 2 3 3" xfId="16420"/>
    <cellStyle name="Normal 23 5 2 4" xfId="20577"/>
    <cellStyle name="Normal 23 5 2 5" xfId="12280"/>
    <cellStyle name="Normal 23 5 3" xfId="5002"/>
    <cellStyle name="Normal 23 5 3 2" xfId="9158"/>
    <cellStyle name="Normal 23 5 3 2 2" xfId="25755"/>
    <cellStyle name="Normal 23 5 3 2 3" xfId="17458"/>
    <cellStyle name="Normal 23 5 3 3" xfId="21615"/>
    <cellStyle name="Normal 23 5 3 4" xfId="13318"/>
    <cellStyle name="Normal 23 5 4" xfId="7086"/>
    <cellStyle name="Normal 23 5 4 2" xfId="23683"/>
    <cellStyle name="Normal 23 5 4 3" xfId="15386"/>
    <cellStyle name="Normal 23 5 5" xfId="19543"/>
    <cellStyle name="Normal 23 5 6" xfId="11246"/>
    <cellStyle name="Normal 23 6" xfId="3393"/>
    <cellStyle name="Normal 23 6 2" xfId="5521"/>
    <cellStyle name="Normal 23 6 2 2" xfId="9677"/>
    <cellStyle name="Normal 23 6 2 2 2" xfId="26274"/>
    <cellStyle name="Normal 23 6 2 2 3" xfId="17977"/>
    <cellStyle name="Normal 23 6 2 3" xfId="22134"/>
    <cellStyle name="Normal 23 6 2 4" xfId="13837"/>
    <cellStyle name="Normal 23 6 3" xfId="7605"/>
    <cellStyle name="Normal 23 6 3 2" xfId="24202"/>
    <cellStyle name="Normal 23 6 3 3" xfId="15905"/>
    <cellStyle name="Normal 23 6 4" xfId="20062"/>
    <cellStyle name="Normal 23 6 5" xfId="11765"/>
    <cellStyle name="Normal 23 7" xfId="4473"/>
    <cellStyle name="Normal 23 7 2" xfId="8641"/>
    <cellStyle name="Normal 23 7 2 2" xfId="25238"/>
    <cellStyle name="Normal 23 7 2 3" xfId="16941"/>
    <cellStyle name="Normal 23 7 3" xfId="21098"/>
    <cellStyle name="Normal 23 7 4" xfId="12801"/>
    <cellStyle name="Normal 23 8" xfId="6564"/>
    <cellStyle name="Normal 23 8 2" xfId="23168"/>
    <cellStyle name="Normal 23 8 3" xfId="14871"/>
    <cellStyle name="Normal 23 9" xfId="19025"/>
    <cellStyle name="Normal 24" xfId="1534"/>
    <cellStyle name="Normal 24 10" xfId="10734"/>
    <cellStyle name="Normal 24 2" xfId="1535"/>
    <cellStyle name="Normal 24 2 2" xfId="1536"/>
    <cellStyle name="Normal 24 2 2 2" xfId="2873"/>
    <cellStyle name="Normal 24 2 2 2 2" xfId="3919"/>
    <cellStyle name="Normal 24 2 2 2 2 2" xfId="6044"/>
    <cellStyle name="Normal 24 2 2 2 2 2 2" xfId="10200"/>
    <cellStyle name="Normal 24 2 2 2 2 2 2 2" xfId="26797"/>
    <cellStyle name="Normal 24 2 2 2 2 2 2 3" xfId="18500"/>
    <cellStyle name="Normal 24 2 2 2 2 2 3" xfId="22657"/>
    <cellStyle name="Normal 24 2 2 2 2 2 4" xfId="14360"/>
    <cellStyle name="Normal 24 2 2 2 2 3" xfId="8128"/>
    <cellStyle name="Normal 24 2 2 2 2 3 2" xfId="24725"/>
    <cellStyle name="Normal 24 2 2 2 2 3 3" xfId="16428"/>
    <cellStyle name="Normal 24 2 2 2 2 4" xfId="20585"/>
    <cellStyle name="Normal 24 2 2 2 2 5" xfId="12288"/>
    <cellStyle name="Normal 24 2 2 2 3" xfId="5010"/>
    <cellStyle name="Normal 24 2 2 2 3 2" xfId="9166"/>
    <cellStyle name="Normal 24 2 2 2 3 2 2" xfId="25763"/>
    <cellStyle name="Normal 24 2 2 2 3 2 3" xfId="17466"/>
    <cellStyle name="Normal 24 2 2 2 3 3" xfId="21623"/>
    <cellStyle name="Normal 24 2 2 2 3 4" xfId="13326"/>
    <cellStyle name="Normal 24 2 2 2 4" xfId="7094"/>
    <cellStyle name="Normal 24 2 2 2 4 2" xfId="23691"/>
    <cellStyle name="Normal 24 2 2 2 4 3" xfId="15394"/>
    <cellStyle name="Normal 24 2 2 2 5" xfId="19551"/>
    <cellStyle name="Normal 24 2 2 2 6" xfId="11254"/>
    <cellStyle name="Normal 24 2 2 3" xfId="3401"/>
    <cellStyle name="Normal 24 2 2 3 2" xfId="5529"/>
    <cellStyle name="Normal 24 2 2 3 2 2" xfId="9685"/>
    <cellStyle name="Normal 24 2 2 3 2 2 2" xfId="26282"/>
    <cellStyle name="Normal 24 2 2 3 2 2 3" xfId="17985"/>
    <cellStyle name="Normal 24 2 2 3 2 3" xfId="22142"/>
    <cellStyle name="Normal 24 2 2 3 2 4" xfId="13845"/>
    <cellStyle name="Normal 24 2 2 3 3" xfId="7613"/>
    <cellStyle name="Normal 24 2 2 3 3 2" xfId="24210"/>
    <cellStyle name="Normal 24 2 2 3 3 3" xfId="15913"/>
    <cellStyle name="Normal 24 2 2 3 4" xfId="20070"/>
    <cellStyle name="Normal 24 2 2 3 5" xfId="11773"/>
    <cellStyle name="Normal 24 2 2 4" xfId="4481"/>
    <cellStyle name="Normal 24 2 2 4 2" xfId="8649"/>
    <cellStyle name="Normal 24 2 2 4 2 2" xfId="25246"/>
    <cellStyle name="Normal 24 2 2 4 2 3" xfId="16949"/>
    <cellStyle name="Normal 24 2 2 4 3" xfId="21106"/>
    <cellStyle name="Normal 24 2 2 4 4" xfId="12809"/>
    <cellStyle name="Normal 24 2 2 5" xfId="6572"/>
    <cellStyle name="Normal 24 2 2 5 2" xfId="23176"/>
    <cellStyle name="Normal 24 2 2 5 3" xfId="14879"/>
    <cellStyle name="Normal 24 2 2 6" xfId="19033"/>
    <cellStyle name="Normal 24 2 2 7" xfId="10736"/>
    <cellStyle name="Normal 24 2 3" xfId="2872"/>
    <cellStyle name="Normal 24 2 3 2" xfId="3918"/>
    <cellStyle name="Normal 24 2 3 2 2" xfId="6043"/>
    <cellStyle name="Normal 24 2 3 2 2 2" xfId="10199"/>
    <cellStyle name="Normal 24 2 3 2 2 2 2" xfId="26796"/>
    <cellStyle name="Normal 24 2 3 2 2 2 3" xfId="18499"/>
    <cellStyle name="Normal 24 2 3 2 2 3" xfId="22656"/>
    <cellStyle name="Normal 24 2 3 2 2 4" xfId="14359"/>
    <cellStyle name="Normal 24 2 3 2 3" xfId="8127"/>
    <cellStyle name="Normal 24 2 3 2 3 2" xfId="24724"/>
    <cellStyle name="Normal 24 2 3 2 3 3" xfId="16427"/>
    <cellStyle name="Normal 24 2 3 2 4" xfId="20584"/>
    <cellStyle name="Normal 24 2 3 2 5" xfId="12287"/>
    <cellStyle name="Normal 24 2 3 3" xfId="5009"/>
    <cellStyle name="Normal 24 2 3 3 2" xfId="9165"/>
    <cellStyle name="Normal 24 2 3 3 2 2" xfId="25762"/>
    <cellStyle name="Normal 24 2 3 3 2 3" xfId="17465"/>
    <cellStyle name="Normal 24 2 3 3 3" xfId="21622"/>
    <cellStyle name="Normal 24 2 3 3 4" xfId="13325"/>
    <cellStyle name="Normal 24 2 3 4" xfId="7093"/>
    <cellStyle name="Normal 24 2 3 4 2" xfId="23690"/>
    <cellStyle name="Normal 24 2 3 4 3" xfId="15393"/>
    <cellStyle name="Normal 24 2 3 5" xfId="19550"/>
    <cellStyle name="Normal 24 2 3 6" xfId="11253"/>
    <cellStyle name="Normal 24 2 4" xfId="3400"/>
    <cellStyle name="Normal 24 2 4 2" xfId="5528"/>
    <cellStyle name="Normal 24 2 4 2 2" xfId="9684"/>
    <cellStyle name="Normal 24 2 4 2 2 2" xfId="26281"/>
    <cellStyle name="Normal 24 2 4 2 2 3" xfId="17984"/>
    <cellStyle name="Normal 24 2 4 2 3" xfId="22141"/>
    <cellStyle name="Normal 24 2 4 2 4" xfId="13844"/>
    <cellStyle name="Normal 24 2 4 3" xfId="7612"/>
    <cellStyle name="Normal 24 2 4 3 2" xfId="24209"/>
    <cellStyle name="Normal 24 2 4 3 3" xfId="15912"/>
    <cellStyle name="Normal 24 2 4 4" xfId="20069"/>
    <cellStyle name="Normal 24 2 4 5" xfId="11772"/>
    <cellStyle name="Normal 24 2 5" xfId="4480"/>
    <cellStyle name="Normal 24 2 5 2" xfId="8648"/>
    <cellStyle name="Normal 24 2 5 2 2" xfId="25245"/>
    <cellStyle name="Normal 24 2 5 2 3" xfId="16948"/>
    <cellStyle name="Normal 24 2 5 3" xfId="21105"/>
    <cellStyle name="Normal 24 2 5 4" xfId="12808"/>
    <cellStyle name="Normal 24 2 6" xfId="6571"/>
    <cellStyle name="Normal 24 2 6 2" xfId="23175"/>
    <cellStyle name="Normal 24 2 6 3" xfId="14878"/>
    <cellStyle name="Normal 24 2 7" xfId="19032"/>
    <cellStyle name="Normal 24 2 8" xfId="10735"/>
    <cellStyle name="Normal 24 3" xfId="1537"/>
    <cellStyle name="Normal 24 3 2" xfId="1538"/>
    <cellStyle name="Normal 24 3 2 2" xfId="2875"/>
    <cellStyle name="Normal 24 3 2 2 2" xfId="3921"/>
    <cellStyle name="Normal 24 3 2 2 2 2" xfId="6046"/>
    <cellStyle name="Normal 24 3 2 2 2 2 2" xfId="10202"/>
    <cellStyle name="Normal 24 3 2 2 2 2 2 2" xfId="26799"/>
    <cellStyle name="Normal 24 3 2 2 2 2 2 3" xfId="18502"/>
    <cellStyle name="Normal 24 3 2 2 2 2 3" xfId="22659"/>
    <cellStyle name="Normal 24 3 2 2 2 2 4" xfId="14362"/>
    <cellStyle name="Normal 24 3 2 2 2 3" xfId="8130"/>
    <cellStyle name="Normal 24 3 2 2 2 3 2" xfId="24727"/>
    <cellStyle name="Normal 24 3 2 2 2 3 3" xfId="16430"/>
    <cellStyle name="Normal 24 3 2 2 2 4" xfId="20587"/>
    <cellStyle name="Normal 24 3 2 2 2 5" xfId="12290"/>
    <cellStyle name="Normal 24 3 2 2 3" xfId="5012"/>
    <cellStyle name="Normal 24 3 2 2 3 2" xfId="9168"/>
    <cellStyle name="Normal 24 3 2 2 3 2 2" xfId="25765"/>
    <cellStyle name="Normal 24 3 2 2 3 2 3" xfId="17468"/>
    <cellStyle name="Normal 24 3 2 2 3 3" xfId="21625"/>
    <cellStyle name="Normal 24 3 2 2 3 4" xfId="13328"/>
    <cellStyle name="Normal 24 3 2 2 4" xfId="7096"/>
    <cellStyle name="Normal 24 3 2 2 4 2" xfId="23693"/>
    <cellStyle name="Normal 24 3 2 2 4 3" xfId="15396"/>
    <cellStyle name="Normal 24 3 2 2 5" xfId="19553"/>
    <cellStyle name="Normal 24 3 2 2 6" xfId="11256"/>
    <cellStyle name="Normal 24 3 2 3" xfId="3403"/>
    <cellStyle name="Normal 24 3 2 3 2" xfId="5531"/>
    <cellStyle name="Normal 24 3 2 3 2 2" xfId="9687"/>
    <cellStyle name="Normal 24 3 2 3 2 2 2" xfId="26284"/>
    <cellStyle name="Normal 24 3 2 3 2 2 3" xfId="17987"/>
    <cellStyle name="Normal 24 3 2 3 2 3" xfId="22144"/>
    <cellStyle name="Normal 24 3 2 3 2 4" xfId="13847"/>
    <cellStyle name="Normal 24 3 2 3 3" xfId="7615"/>
    <cellStyle name="Normal 24 3 2 3 3 2" xfId="24212"/>
    <cellStyle name="Normal 24 3 2 3 3 3" xfId="15915"/>
    <cellStyle name="Normal 24 3 2 3 4" xfId="20072"/>
    <cellStyle name="Normal 24 3 2 3 5" xfId="11775"/>
    <cellStyle name="Normal 24 3 2 4" xfId="4483"/>
    <cellStyle name="Normal 24 3 2 4 2" xfId="8651"/>
    <cellStyle name="Normal 24 3 2 4 2 2" xfId="25248"/>
    <cellStyle name="Normal 24 3 2 4 2 3" xfId="16951"/>
    <cellStyle name="Normal 24 3 2 4 3" xfId="21108"/>
    <cellStyle name="Normal 24 3 2 4 4" xfId="12811"/>
    <cellStyle name="Normal 24 3 2 5" xfId="6574"/>
    <cellStyle name="Normal 24 3 2 5 2" xfId="23178"/>
    <cellStyle name="Normal 24 3 2 5 3" xfId="14881"/>
    <cellStyle name="Normal 24 3 2 6" xfId="19035"/>
    <cellStyle name="Normal 24 3 2 7" xfId="10738"/>
    <cellStyle name="Normal 24 3 3" xfId="2874"/>
    <cellStyle name="Normal 24 3 3 2" xfId="3920"/>
    <cellStyle name="Normal 24 3 3 2 2" xfId="6045"/>
    <cellStyle name="Normal 24 3 3 2 2 2" xfId="10201"/>
    <cellStyle name="Normal 24 3 3 2 2 2 2" xfId="26798"/>
    <cellStyle name="Normal 24 3 3 2 2 2 3" xfId="18501"/>
    <cellStyle name="Normal 24 3 3 2 2 3" xfId="22658"/>
    <cellStyle name="Normal 24 3 3 2 2 4" xfId="14361"/>
    <cellStyle name="Normal 24 3 3 2 3" xfId="8129"/>
    <cellStyle name="Normal 24 3 3 2 3 2" xfId="24726"/>
    <cellStyle name="Normal 24 3 3 2 3 3" xfId="16429"/>
    <cellStyle name="Normal 24 3 3 2 4" xfId="20586"/>
    <cellStyle name="Normal 24 3 3 2 5" xfId="12289"/>
    <cellStyle name="Normal 24 3 3 3" xfId="5011"/>
    <cellStyle name="Normal 24 3 3 3 2" xfId="9167"/>
    <cellStyle name="Normal 24 3 3 3 2 2" xfId="25764"/>
    <cellStyle name="Normal 24 3 3 3 2 3" xfId="17467"/>
    <cellStyle name="Normal 24 3 3 3 3" xfId="21624"/>
    <cellStyle name="Normal 24 3 3 3 4" xfId="13327"/>
    <cellStyle name="Normal 24 3 3 4" xfId="7095"/>
    <cellStyle name="Normal 24 3 3 4 2" xfId="23692"/>
    <cellStyle name="Normal 24 3 3 4 3" xfId="15395"/>
    <cellStyle name="Normal 24 3 3 5" xfId="19552"/>
    <cellStyle name="Normal 24 3 3 6" xfId="11255"/>
    <cellStyle name="Normal 24 3 4" xfId="3402"/>
    <cellStyle name="Normal 24 3 4 2" xfId="5530"/>
    <cellStyle name="Normal 24 3 4 2 2" xfId="9686"/>
    <cellStyle name="Normal 24 3 4 2 2 2" xfId="26283"/>
    <cellStyle name="Normal 24 3 4 2 2 3" xfId="17986"/>
    <cellStyle name="Normal 24 3 4 2 3" xfId="22143"/>
    <cellStyle name="Normal 24 3 4 2 4" xfId="13846"/>
    <cellStyle name="Normal 24 3 4 3" xfId="7614"/>
    <cellStyle name="Normal 24 3 4 3 2" xfId="24211"/>
    <cellStyle name="Normal 24 3 4 3 3" xfId="15914"/>
    <cellStyle name="Normal 24 3 4 4" xfId="20071"/>
    <cellStyle name="Normal 24 3 4 5" xfId="11774"/>
    <cellStyle name="Normal 24 3 5" xfId="4482"/>
    <cellStyle name="Normal 24 3 5 2" xfId="8650"/>
    <cellStyle name="Normal 24 3 5 2 2" xfId="25247"/>
    <cellStyle name="Normal 24 3 5 2 3" xfId="16950"/>
    <cellStyle name="Normal 24 3 5 3" xfId="21107"/>
    <cellStyle name="Normal 24 3 5 4" xfId="12810"/>
    <cellStyle name="Normal 24 3 6" xfId="6573"/>
    <cellStyle name="Normal 24 3 6 2" xfId="23177"/>
    <cellStyle name="Normal 24 3 6 3" xfId="14880"/>
    <cellStyle name="Normal 24 3 7" xfId="19034"/>
    <cellStyle name="Normal 24 3 8" xfId="10737"/>
    <cellStyle name="Normal 24 4" xfId="1539"/>
    <cellStyle name="Normal 24 4 2" xfId="2876"/>
    <cellStyle name="Normal 24 4 2 2" xfId="3922"/>
    <cellStyle name="Normal 24 4 2 2 2" xfId="6047"/>
    <cellStyle name="Normal 24 4 2 2 2 2" xfId="10203"/>
    <cellStyle name="Normal 24 4 2 2 2 2 2" xfId="26800"/>
    <cellStyle name="Normal 24 4 2 2 2 2 3" xfId="18503"/>
    <cellStyle name="Normal 24 4 2 2 2 3" xfId="22660"/>
    <cellStyle name="Normal 24 4 2 2 2 4" xfId="14363"/>
    <cellStyle name="Normal 24 4 2 2 3" xfId="8131"/>
    <cellStyle name="Normal 24 4 2 2 3 2" xfId="24728"/>
    <cellStyle name="Normal 24 4 2 2 3 3" xfId="16431"/>
    <cellStyle name="Normal 24 4 2 2 4" xfId="20588"/>
    <cellStyle name="Normal 24 4 2 2 5" xfId="12291"/>
    <cellStyle name="Normal 24 4 2 3" xfId="5013"/>
    <cellStyle name="Normal 24 4 2 3 2" xfId="9169"/>
    <cellStyle name="Normal 24 4 2 3 2 2" xfId="25766"/>
    <cellStyle name="Normal 24 4 2 3 2 3" xfId="17469"/>
    <cellStyle name="Normal 24 4 2 3 3" xfId="21626"/>
    <cellStyle name="Normal 24 4 2 3 4" xfId="13329"/>
    <cellStyle name="Normal 24 4 2 4" xfId="7097"/>
    <cellStyle name="Normal 24 4 2 4 2" xfId="23694"/>
    <cellStyle name="Normal 24 4 2 4 3" xfId="15397"/>
    <cellStyle name="Normal 24 4 2 5" xfId="19554"/>
    <cellStyle name="Normal 24 4 2 6" xfId="11257"/>
    <cellStyle name="Normal 24 4 3" xfId="3404"/>
    <cellStyle name="Normal 24 4 3 2" xfId="5532"/>
    <cellStyle name="Normal 24 4 3 2 2" xfId="9688"/>
    <cellStyle name="Normal 24 4 3 2 2 2" xfId="26285"/>
    <cellStyle name="Normal 24 4 3 2 2 3" xfId="17988"/>
    <cellStyle name="Normal 24 4 3 2 3" xfId="22145"/>
    <cellStyle name="Normal 24 4 3 2 4" xfId="13848"/>
    <cellStyle name="Normal 24 4 3 3" xfId="7616"/>
    <cellStyle name="Normal 24 4 3 3 2" xfId="24213"/>
    <cellStyle name="Normal 24 4 3 3 3" xfId="15916"/>
    <cellStyle name="Normal 24 4 3 4" xfId="20073"/>
    <cellStyle name="Normal 24 4 3 5" xfId="11776"/>
    <cellStyle name="Normal 24 4 4" xfId="4484"/>
    <cellStyle name="Normal 24 4 4 2" xfId="8652"/>
    <cellStyle name="Normal 24 4 4 2 2" xfId="25249"/>
    <cellStyle name="Normal 24 4 4 2 3" xfId="16952"/>
    <cellStyle name="Normal 24 4 4 3" xfId="21109"/>
    <cellStyle name="Normal 24 4 4 4" xfId="12812"/>
    <cellStyle name="Normal 24 4 5" xfId="6575"/>
    <cellStyle name="Normal 24 4 5 2" xfId="23179"/>
    <cellStyle name="Normal 24 4 5 3" xfId="14882"/>
    <cellStyle name="Normal 24 4 6" xfId="19036"/>
    <cellStyle name="Normal 24 4 7" xfId="10739"/>
    <cellStyle name="Normal 24 5" xfId="2871"/>
    <cellStyle name="Normal 24 5 2" xfId="3917"/>
    <cellStyle name="Normal 24 5 2 2" xfId="6042"/>
    <cellStyle name="Normal 24 5 2 2 2" xfId="10198"/>
    <cellStyle name="Normal 24 5 2 2 2 2" xfId="26795"/>
    <cellStyle name="Normal 24 5 2 2 2 3" xfId="18498"/>
    <cellStyle name="Normal 24 5 2 2 3" xfId="22655"/>
    <cellStyle name="Normal 24 5 2 2 4" xfId="14358"/>
    <cellStyle name="Normal 24 5 2 3" xfId="8126"/>
    <cellStyle name="Normal 24 5 2 3 2" xfId="24723"/>
    <cellStyle name="Normal 24 5 2 3 3" xfId="16426"/>
    <cellStyle name="Normal 24 5 2 4" xfId="20583"/>
    <cellStyle name="Normal 24 5 2 5" xfId="12286"/>
    <cellStyle name="Normal 24 5 3" xfId="5008"/>
    <cellStyle name="Normal 24 5 3 2" xfId="9164"/>
    <cellStyle name="Normal 24 5 3 2 2" xfId="25761"/>
    <cellStyle name="Normal 24 5 3 2 3" xfId="17464"/>
    <cellStyle name="Normal 24 5 3 3" xfId="21621"/>
    <cellStyle name="Normal 24 5 3 4" xfId="13324"/>
    <cellStyle name="Normal 24 5 4" xfId="7092"/>
    <cellStyle name="Normal 24 5 4 2" xfId="23689"/>
    <cellStyle name="Normal 24 5 4 3" xfId="15392"/>
    <cellStyle name="Normal 24 5 5" xfId="19549"/>
    <cellStyle name="Normal 24 5 6" xfId="11252"/>
    <cellStyle name="Normal 24 6" xfId="3399"/>
    <cellStyle name="Normal 24 6 2" xfId="5527"/>
    <cellStyle name="Normal 24 6 2 2" xfId="9683"/>
    <cellStyle name="Normal 24 6 2 2 2" xfId="26280"/>
    <cellStyle name="Normal 24 6 2 2 3" xfId="17983"/>
    <cellStyle name="Normal 24 6 2 3" xfId="22140"/>
    <cellStyle name="Normal 24 6 2 4" xfId="13843"/>
    <cellStyle name="Normal 24 6 3" xfId="7611"/>
    <cellStyle name="Normal 24 6 3 2" xfId="24208"/>
    <cellStyle name="Normal 24 6 3 3" xfId="15911"/>
    <cellStyle name="Normal 24 6 4" xfId="20068"/>
    <cellStyle name="Normal 24 6 5" xfId="11771"/>
    <cellStyle name="Normal 24 7" xfId="4479"/>
    <cellStyle name="Normal 24 7 2" xfId="8647"/>
    <cellStyle name="Normal 24 7 2 2" xfId="25244"/>
    <cellStyle name="Normal 24 7 2 3" xfId="16947"/>
    <cellStyle name="Normal 24 7 3" xfId="21104"/>
    <cellStyle name="Normal 24 7 4" xfId="12807"/>
    <cellStyle name="Normal 24 8" xfId="6570"/>
    <cellStyle name="Normal 24 8 2" xfId="23174"/>
    <cellStyle name="Normal 24 8 3" xfId="14877"/>
    <cellStyle name="Normal 24 9" xfId="19031"/>
    <cellStyle name="Normal 25" xfId="1540"/>
    <cellStyle name="Normal 25 10" xfId="10740"/>
    <cellStyle name="Normal 25 2" xfId="1541"/>
    <cellStyle name="Normal 25 2 2" xfId="1542"/>
    <cellStyle name="Normal 25 2 2 2" xfId="2879"/>
    <cellStyle name="Normal 25 2 2 2 2" xfId="3925"/>
    <cellStyle name="Normal 25 2 2 2 2 2" xfId="6050"/>
    <cellStyle name="Normal 25 2 2 2 2 2 2" xfId="10206"/>
    <cellStyle name="Normal 25 2 2 2 2 2 2 2" xfId="26803"/>
    <cellStyle name="Normal 25 2 2 2 2 2 2 3" xfId="18506"/>
    <cellStyle name="Normal 25 2 2 2 2 2 3" xfId="22663"/>
    <cellStyle name="Normal 25 2 2 2 2 2 4" xfId="14366"/>
    <cellStyle name="Normal 25 2 2 2 2 3" xfId="8134"/>
    <cellStyle name="Normal 25 2 2 2 2 3 2" xfId="24731"/>
    <cellStyle name="Normal 25 2 2 2 2 3 3" xfId="16434"/>
    <cellStyle name="Normal 25 2 2 2 2 4" xfId="20591"/>
    <cellStyle name="Normal 25 2 2 2 2 5" xfId="12294"/>
    <cellStyle name="Normal 25 2 2 2 3" xfId="5016"/>
    <cellStyle name="Normal 25 2 2 2 3 2" xfId="9172"/>
    <cellStyle name="Normal 25 2 2 2 3 2 2" xfId="25769"/>
    <cellStyle name="Normal 25 2 2 2 3 2 3" xfId="17472"/>
    <cellStyle name="Normal 25 2 2 2 3 3" xfId="21629"/>
    <cellStyle name="Normal 25 2 2 2 3 4" xfId="13332"/>
    <cellStyle name="Normal 25 2 2 2 4" xfId="7100"/>
    <cellStyle name="Normal 25 2 2 2 4 2" xfId="23697"/>
    <cellStyle name="Normal 25 2 2 2 4 3" xfId="15400"/>
    <cellStyle name="Normal 25 2 2 2 5" xfId="19557"/>
    <cellStyle name="Normal 25 2 2 2 6" xfId="11260"/>
    <cellStyle name="Normal 25 2 2 3" xfId="3407"/>
    <cellStyle name="Normal 25 2 2 3 2" xfId="5535"/>
    <cellStyle name="Normal 25 2 2 3 2 2" xfId="9691"/>
    <cellStyle name="Normal 25 2 2 3 2 2 2" xfId="26288"/>
    <cellStyle name="Normal 25 2 2 3 2 2 3" xfId="17991"/>
    <cellStyle name="Normal 25 2 2 3 2 3" xfId="22148"/>
    <cellStyle name="Normal 25 2 2 3 2 4" xfId="13851"/>
    <cellStyle name="Normal 25 2 2 3 3" xfId="7619"/>
    <cellStyle name="Normal 25 2 2 3 3 2" xfId="24216"/>
    <cellStyle name="Normal 25 2 2 3 3 3" xfId="15919"/>
    <cellStyle name="Normal 25 2 2 3 4" xfId="20076"/>
    <cellStyle name="Normal 25 2 2 3 5" xfId="11779"/>
    <cellStyle name="Normal 25 2 2 4" xfId="4487"/>
    <cellStyle name="Normal 25 2 2 4 2" xfId="8655"/>
    <cellStyle name="Normal 25 2 2 4 2 2" xfId="25252"/>
    <cellStyle name="Normal 25 2 2 4 2 3" xfId="16955"/>
    <cellStyle name="Normal 25 2 2 4 3" xfId="21112"/>
    <cellStyle name="Normal 25 2 2 4 4" xfId="12815"/>
    <cellStyle name="Normal 25 2 2 5" xfId="6578"/>
    <cellStyle name="Normal 25 2 2 5 2" xfId="23182"/>
    <cellStyle name="Normal 25 2 2 5 3" xfId="14885"/>
    <cellStyle name="Normal 25 2 2 6" xfId="19039"/>
    <cellStyle name="Normal 25 2 2 7" xfId="10742"/>
    <cellStyle name="Normal 25 2 3" xfId="2878"/>
    <cellStyle name="Normal 25 2 3 2" xfId="3924"/>
    <cellStyle name="Normal 25 2 3 2 2" xfId="6049"/>
    <cellStyle name="Normal 25 2 3 2 2 2" xfId="10205"/>
    <cellStyle name="Normal 25 2 3 2 2 2 2" xfId="26802"/>
    <cellStyle name="Normal 25 2 3 2 2 2 3" xfId="18505"/>
    <cellStyle name="Normal 25 2 3 2 2 3" xfId="22662"/>
    <cellStyle name="Normal 25 2 3 2 2 4" xfId="14365"/>
    <cellStyle name="Normal 25 2 3 2 3" xfId="8133"/>
    <cellStyle name="Normal 25 2 3 2 3 2" xfId="24730"/>
    <cellStyle name="Normal 25 2 3 2 3 3" xfId="16433"/>
    <cellStyle name="Normal 25 2 3 2 4" xfId="20590"/>
    <cellStyle name="Normal 25 2 3 2 5" xfId="12293"/>
    <cellStyle name="Normal 25 2 3 3" xfId="5015"/>
    <cellStyle name="Normal 25 2 3 3 2" xfId="9171"/>
    <cellStyle name="Normal 25 2 3 3 2 2" xfId="25768"/>
    <cellStyle name="Normal 25 2 3 3 2 3" xfId="17471"/>
    <cellStyle name="Normal 25 2 3 3 3" xfId="21628"/>
    <cellStyle name="Normal 25 2 3 3 4" xfId="13331"/>
    <cellStyle name="Normal 25 2 3 4" xfId="7099"/>
    <cellStyle name="Normal 25 2 3 4 2" xfId="23696"/>
    <cellStyle name="Normal 25 2 3 4 3" xfId="15399"/>
    <cellStyle name="Normal 25 2 3 5" xfId="19556"/>
    <cellStyle name="Normal 25 2 3 6" xfId="11259"/>
    <cellStyle name="Normal 25 2 4" xfId="3406"/>
    <cellStyle name="Normal 25 2 4 2" xfId="5534"/>
    <cellStyle name="Normal 25 2 4 2 2" xfId="9690"/>
    <cellStyle name="Normal 25 2 4 2 2 2" xfId="26287"/>
    <cellStyle name="Normal 25 2 4 2 2 3" xfId="17990"/>
    <cellStyle name="Normal 25 2 4 2 3" xfId="22147"/>
    <cellStyle name="Normal 25 2 4 2 4" xfId="13850"/>
    <cellStyle name="Normal 25 2 4 3" xfId="7618"/>
    <cellStyle name="Normal 25 2 4 3 2" xfId="24215"/>
    <cellStyle name="Normal 25 2 4 3 3" xfId="15918"/>
    <cellStyle name="Normal 25 2 4 4" xfId="20075"/>
    <cellStyle name="Normal 25 2 4 5" xfId="11778"/>
    <cellStyle name="Normal 25 2 5" xfId="4486"/>
    <cellStyle name="Normal 25 2 5 2" xfId="8654"/>
    <cellStyle name="Normal 25 2 5 2 2" xfId="25251"/>
    <cellStyle name="Normal 25 2 5 2 3" xfId="16954"/>
    <cellStyle name="Normal 25 2 5 3" xfId="21111"/>
    <cellStyle name="Normal 25 2 5 4" xfId="12814"/>
    <cellStyle name="Normal 25 2 6" xfId="6577"/>
    <cellStyle name="Normal 25 2 6 2" xfId="23181"/>
    <cellStyle name="Normal 25 2 6 3" xfId="14884"/>
    <cellStyle name="Normal 25 2 7" xfId="19038"/>
    <cellStyle name="Normal 25 2 8" xfId="10741"/>
    <cellStyle name="Normal 25 3" xfId="1543"/>
    <cellStyle name="Normal 25 3 2" xfId="1544"/>
    <cellStyle name="Normal 25 3 2 2" xfId="2881"/>
    <cellStyle name="Normal 25 3 2 2 2" xfId="3927"/>
    <cellStyle name="Normal 25 3 2 2 2 2" xfId="6052"/>
    <cellStyle name="Normal 25 3 2 2 2 2 2" xfId="10208"/>
    <cellStyle name="Normal 25 3 2 2 2 2 2 2" xfId="26805"/>
    <cellStyle name="Normal 25 3 2 2 2 2 2 3" xfId="18508"/>
    <cellStyle name="Normal 25 3 2 2 2 2 3" xfId="22665"/>
    <cellStyle name="Normal 25 3 2 2 2 2 4" xfId="14368"/>
    <cellStyle name="Normal 25 3 2 2 2 3" xfId="8136"/>
    <cellStyle name="Normal 25 3 2 2 2 3 2" xfId="24733"/>
    <cellStyle name="Normal 25 3 2 2 2 3 3" xfId="16436"/>
    <cellStyle name="Normal 25 3 2 2 2 4" xfId="20593"/>
    <cellStyle name="Normal 25 3 2 2 2 5" xfId="12296"/>
    <cellStyle name="Normal 25 3 2 2 3" xfId="5018"/>
    <cellStyle name="Normal 25 3 2 2 3 2" xfId="9174"/>
    <cellStyle name="Normal 25 3 2 2 3 2 2" xfId="25771"/>
    <cellStyle name="Normal 25 3 2 2 3 2 3" xfId="17474"/>
    <cellStyle name="Normal 25 3 2 2 3 3" xfId="21631"/>
    <cellStyle name="Normal 25 3 2 2 3 4" xfId="13334"/>
    <cellStyle name="Normal 25 3 2 2 4" xfId="7102"/>
    <cellStyle name="Normal 25 3 2 2 4 2" xfId="23699"/>
    <cellStyle name="Normal 25 3 2 2 4 3" xfId="15402"/>
    <cellStyle name="Normal 25 3 2 2 5" xfId="19559"/>
    <cellStyle name="Normal 25 3 2 2 6" xfId="11262"/>
    <cellStyle name="Normal 25 3 2 3" xfId="3409"/>
    <cellStyle name="Normal 25 3 2 3 2" xfId="5537"/>
    <cellStyle name="Normal 25 3 2 3 2 2" xfId="9693"/>
    <cellStyle name="Normal 25 3 2 3 2 2 2" xfId="26290"/>
    <cellStyle name="Normal 25 3 2 3 2 2 3" xfId="17993"/>
    <cellStyle name="Normal 25 3 2 3 2 3" xfId="22150"/>
    <cellStyle name="Normal 25 3 2 3 2 4" xfId="13853"/>
    <cellStyle name="Normal 25 3 2 3 3" xfId="7621"/>
    <cellStyle name="Normal 25 3 2 3 3 2" xfId="24218"/>
    <cellStyle name="Normal 25 3 2 3 3 3" xfId="15921"/>
    <cellStyle name="Normal 25 3 2 3 4" xfId="20078"/>
    <cellStyle name="Normal 25 3 2 3 5" xfId="11781"/>
    <cellStyle name="Normal 25 3 2 4" xfId="4489"/>
    <cellStyle name="Normal 25 3 2 4 2" xfId="8657"/>
    <cellStyle name="Normal 25 3 2 4 2 2" xfId="25254"/>
    <cellStyle name="Normal 25 3 2 4 2 3" xfId="16957"/>
    <cellStyle name="Normal 25 3 2 4 3" xfId="21114"/>
    <cellStyle name="Normal 25 3 2 4 4" xfId="12817"/>
    <cellStyle name="Normal 25 3 2 5" xfId="6580"/>
    <cellStyle name="Normal 25 3 2 5 2" xfId="23184"/>
    <cellStyle name="Normal 25 3 2 5 3" xfId="14887"/>
    <cellStyle name="Normal 25 3 2 6" xfId="19041"/>
    <cellStyle name="Normal 25 3 2 7" xfId="10744"/>
    <cellStyle name="Normal 25 3 3" xfId="2880"/>
    <cellStyle name="Normal 25 3 3 2" xfId="3926"/>
    <cellStyle name="Normal 25 3 3 2 2" xfId="6051"/>
    <cellStyle name="Normal 25 3 3 2 2 2" xfId="10207"/>
    <cellStyle name="Normal 25 3 3 2 2 2 2" xfId="26804"/>
    <cellStyle name="Normal 25 3 3 2 2 2 3" xfId="18507"/>
    <cellStyle name="Normal 25 3 3 2 2 3" xfId="22664"/>
    <cellStyle name="Normal 25 3 3 2 2 4" xfId="14367"/>
    <cellStyle name="Normal 25 3 3 2 3" xfId="8135"/>
    <cellStyle name="Normal 25 3 3 2 3 2" xfId="24732"/>
    <cellStyle name="Normal 25 3 3 2 3 3" xfId="16435"/>
    <cellStyle name="Normal 25 3 3 2 4" xfId="20592"/>
    <cellStyle name="Normal 25 3 3 2 5" xfId="12295"/>
    <cellStyle name="Normal 25 3 3 3" xfId="5017"/>
    <cellStyle name="Normal 25 3 3 3 2" xfId="9173"/>
    <cellStyle name="Normal 25 3 3 3 2 2" xfId="25770"/>
    <cellStyle name="Normal 25 3 3 3 2 3" xfId="17473"/>
    <cellStyle name="Normal 25 3 3 3 3" xfId="21630"/>
    <cellStyle name="Normal 25 3 3 3 4" xfId="13333"/>
    <cellStyle name="Normal 25 3 3 4" xfId="7101"/>
    <cellStyle name="Normal 25 3 3 4 2" xfId="23698"/>
    <cellStyle name="Normal 25 3 3 4 3" xfId="15401"/>
    <cellStyle name="Normal 25 3 3 5" xfId="19558"/>
    <cellStyle name="Normal 25 3 3 6" xfId="11261"/>
    <cellStyle name="Normal 25 3 4" xfId="3408"/>
    <cellStyle name="Normal 25 3 4 2" xfId="5536"/>
    <cellStyle name="Normal 25 3 4 2 2" xfId="9692"/>
    <cellStyle name="Normal 25 3 4 2 2 2" xfId="26289"/>
    <cellStyle name="Normal 25 3 4 2 2 3" xfId="17992"/>
    <cellStyle name="Normal 25 3 4 2 3" xfId="22149"/>
    <cellStyle name="Normal 25 3 4 2 4" xfId="13852"/>
    <cellStyle name="Normal 25 3 4 3" xfId="7620"/>
    <cellStyle name="Normal 25 3 4 3 2" xfId="24217"/>
    <cellStyle name="Normal 25 3 4 3 3" xfId="15920"/>
    <cellStyle name="Normal 25 3 4 4" xfId="20077"/>
    <cellStyle name="Normal 25 3 4 5" xfId="11780"/>
    <cellStyle name="Normal 25 3 5" xfId="4488"/>
    <cellStyle name="Normal 25 3 5 2" xfId="8656"/>
    <cellStyle name="Normal 25 3 5 2 2" xfId="25253"/>
    <cellStyle name="Normal 25 3 5 2 3" xfId="16956"/>
    <cellStyle name="Normal 25 3 5 3" xfId="21113"/>
    <cellStyle name="Normal 25 3 5 4" xfId="12816"/>
    <cellStyle name="Normal 25 3 6" xfId="6579"/>
    <cellStyle name="Normal 25 3 6 2" xfId="23183"/>
    <cellStyle name="Normal 25 3 6 3" xfId="14886"/>
    <cellStyle name="Normal 25 3 7" xfId="19040"/>
    <cellStyle name="Normal 25 3 8" xfId="10743"/>
    <cellStyle name="Normal 25 4" xfId="1545"/>
    <cellStyle name="Normal 25 4 2" xfId="2882"/>
    <cellStyle name="Normal 25 4 2 2" xfId="3928"/>
    <cellStyle name="Normal 25 4 2 2 2" xfId="6053"/>
    <cellStyle name="Normal 25 4 2 2 2 2" xfId="10209"/>
    <cellStyle name="Normal 25 4 2 2 2 2 2" xfId="26806"/>
    <cellStyle name="Normal 25 4 2 2 2 2 3" xfId="18509"/>
    <cellStyle name="Normal 25 4 2 2 2 3" xfId="22666"/>
    <cellStyle name="Normal 25 4 2 2 2 4" xfId="14369"/>
    <cellStyle name="Normal 25 4 2 2 3" xfId="8137"/>
    <cellStyle name="Normal 25 4 2 2 3 2" xfId="24734"/>
    <cellStyle name="Normal 25 4 2 2 3 3" xfId="16437"/>
    <cellStyle name="Normal 25 4 2 2 4" xfId="20594"/>
    <cellStyle name="Normal 25 4 2 2 5" xfId="12297"/>
    <cellStyle name="Normal 25 4 2 3" xfId="5019"/>
    <cellStyle name="Normal 25 4 2 3 2" xfId="9175"/>
    <cellStyle name="Normal 25 4 2 3 2 2" xfId="25772"/>
    <cellStyle name="Normal 25 4 2 3 2 3" xfId="17475"/>
    <cellStyle name="Normal 25 4 2 3 3" xfId="21632"/>
    <cellStyle name="Normal 25 4 2 3 4" xfId="13335"/>
    <cellStyle name="Normal 25 4 2 4" xfId="7103"/>
    <cellStyle name="Normal 25 4 2 4 2" xfId="23700"/>
    <cellStyle name="Normal 25 4 2 4 3" xfId="15403"/>
    <cellStyle name="Normal 25 4 2 5" xfId="19560"/>
    <cellStyle name="Normal 25 4 2 6" xfId="11263"/>
    <cellStyle name="Normal 25 4 3" xfId="3410"/>
    <cellStyle name="Normal 25 4 3 2" xfId="5538"/>
    <cellStyle name="Normal 25 4 3 2 2" xfId="9694"/>
    <cellStyle name="Normal 25 4 3 2 2 2" xfId="26291"/>
    <cellStyle name="Normal 25 4 3 2 2 3" xfId="17994"/>
    <cellStyle name="Normal 25 4 3 2 3" xfId="22151"/>
    <cellStyle name="Normal 25 4 3 2 4" xfId="13854"/>
    <cellStyle name="Normal 25 4 3 3" xfId="7622"/>
    <cellStyle name="Normal 25 4 3 3 2" xfId="24219"/>
    <cellStyle name="Normal 25 4 3 3 3" xfId="15922"/>
    <cellStyle name="Normal 25 4 3 4" xfId="20079"/>
    <cellStyle name="Normal 25 4 3 5" xfId="11782"/>
    <cellStyle name="Normal 25 4 4" xfId="4490"/>
    <cellStyle name="Normal 25 4 4 2" xfId="8658"/>
    <cellStyle name="Normal 25 4 4 2 2" xfId="25255"/>
    <cellStyle name="Normal 25 4 4 2 3" xfId="16958"/>
    <cellStyle name="Normal 25 4 4 3" xfId="21115"/>
    <cellStyle name="Normal 25 4 4 4" xfId="12818"/>
    <cellStyle name="Normal 25 4 5" xfId="6581"/>
    <cellStyle name="Normal 25 4 5 2" xfId="23185"/>
    <cellStyle name="Normal 25 4 5 3" xfId="14888"/>
    <cellStyle name="Normal 25 4 6" xfId="19042"/>
    <cellStyle name="Normal 25 4 7" xfId="10745"/>
    <cellStyle name="Normal 25 5" xfId="2877"/>
    <cellStyle name="Normal 25 5 2" xfId="3923"/>
    <cellStyle name="Normal 25 5 2 2" xfId="6048"/>
    <cellStyle name="Normal 25 5 2 2 2" xfId="10204"/>
    <cellStyle name="Normal 25 5 2 2 2 2" xfId="26801"/>
    <cellStyle name="Normal 25 5 2 2 2 3" xfId="18504"/>
    <cellStyle name="Normal 25 5 2 2 3" xfId="22661"/>
    <cellStyle name="Normal 25 5 2 2 4" xfId="14364"/>
    <cellStyle name="Normal 25 5 2 3" xfId="8132"/>
    <cellStyle name="Normal 25 5 2 3 2" xfId="24729"/>
    <cellStyle name="Normal 25 5 2 3 3" xfId="16432"/>
    <cellStyle name="Normal 25 5 2 4" xfId="20589"/>
    <cellStyle name="Normal 25 5 2 5" xfId="12292"/>
    <cellStyle name="Normal 25 5 3" xfId="5014"/>
    <cellStyle name="Normal 25 5 3 2" xfId="9170"/>
    <cellStyle name="Normal 25 5 3 2 2" xfId="25767"/>
    <cellStyle name="Normal 25 5 3 2 3" xfId="17470"/>
    <cellStyle name="Normal 25 5 3 3" xfId="21627"/>
    <cellStyle name="Normal 25 5 3 4" xfId="13330"/>
    <cellStyle name="Normal 25 5 4" xfId="7098"/>
    <cellStyle name="Normal 25 5 4 2" xfId="23695"/>
    <cellStyle name="Normal 25 5 4 3" xfId="15398"/>
    <cellStyle name="Normal 25 5 5" xfId="19555"/>
    <cellStyle name="Normal 25 5 6" xfId="11258"/>
    <cellStyle name="Normal 25 6" xfId="3405"/>
    <cellStyle name="Normal 25 6 2" xfId="5533"/>
    <cellStyle name="Normal 25 6 2 2" xfId="9689"/>
    <cellStyle name="Normal 25 6 2 2 2" xfId="26286"/>
    <cellStyle name="Normal 25 6 2 2 3" xfId="17989"/>
    <cellStyle name="Normal 25 6 2 3" xfId="22146"/>
    <cellStyle name="Normal 25 6 2 4" xfId="13849"/>
    <cellStyle name="Normal 25 6 3" xfId="7617"/>
    <cellStyle name="Normal 25 6 3 2" xfId="24214"/>
    <cellStyle name="Normal 25 6 3 3" xfId="15917"/>
    <cellStyle name="Normal 25 6 4" xfId="20074"/>
    <cellStyle name="Normal 25 6 5" xfId="11777"/>
    <cellStyle name="Normal 25 7" xfId="4485"/>
    <cellStyle name="Normal 25 7 2" xfId="8653"/>
    <cellStyle name="Normal 25 7 2 2" xfId="25250"/>
    <cellStyle name="Normal 25 7 2 3" xfId="16953"/>
    <cellStyle name="Normal 25 7 3" xfId="21110"/>
    <cellStyle name="Normal 25 7 4" xfId="12813"/>
    <cellStyle name="Normal 25 8" xfId="6576"/>
    <cellStyle name="Normal 25 8 2" xfId="23180"/>
    <cellStyle name="Normal 25 8 3" xfId="14883"/>
    <cellStyle name="Normal 25 9" xfId="19037"/>
    <cellStyle name="Normal 26" xfId="1546"/>
    <cellStyle name="Normal 26 10" xfId="10746"/>
    <cellStyle name="Normal 26 2" xfId="1547"/>
    <cellStyle name="Normal 26 2 2" xfId="1548"/>
    <cellStyle name="Normal 26 2 2 2" xfId="2885"/>
    <cellStyle name="Normal 26 2 2 2 2" xfId="3931"/>
    <cellStyle name="Normal 26 2 2 2 2 2" xfId="6056"/>
    <cellStyle name="Normal 26 2 2 2 2 2 2" xfId="10212"/>
    <cellStyle name="Normal 26 2 2 2 2 2 2 2" xfId="26809"/>
    <cellStyle name="Normal 26 2 2 2 2 2 2 3" xfId="18512"/>
    <cellStyle name="Normal 26 2 2 2 2 2 3" xfId="22669"/>
    <cellStyle name="Normal 26 2 2 2 2 2 4" xfId="14372"/>
    <cellStyle name="Normal 26 2 2 2 2 3" xfId="8140"/>
    <cellStyle name="Normal 26 2 2 2 2 3 2" xfId="24737"/>
    <cellStyle name="Normal 26 2 2 2 2 3 3" xfId="16440"/>
    <cellStyle name="Normal 26 2 2 2 2 4" xfId="20597"/>
    <cellStyle name="Normal 26 2 2 2 2 5" xfId="12300"/>
    <cellStyle name="Normal 26 2 2 2 3" xfId="5022"/>
    <cellStyle name="Normal 26 2 2 2 3 2" xfId="9178"/>
    <cellStyle name="Normal 26 2 2 2 3 2 2" xfId="25775"/>
    <cellStyle name="Normal 26 2 2 2 3 2 3" xfId="17478"/>
    <cellStyle name="Normal 26 2 2 2 3 3" xfId="21635"/>
    <cellStyle name="Normal 26 2 2 2 3 4" xfId="13338"/>
    <cellStyle name="Normal 26 2 2 2 4" xfId="7106"/>
    <cellStyle name="Normal 26 2 2 2 4 2" xfId="23703"/>
    <cellStyle name="Normal 26 2 2 2 4 3" xfId="15406"/>
    <cellStyle name="Normal 26 2 2 2 5" xfId="19563"/>
    <cellStyle name="Normal 26 2 2 2 6" xfId="11266"/>
    <cellStyle name="Normal 26 2 2 3" xfId="3413"/>
    <cellStyle name="Normal 26 2 2 3 2" xfId="5541"/>
    <cellStyle name="Normal 26 2 2 3 2 2" xfId="9697"/>
    <cellStyle name="Normal 26 2 2 3 2 2 2" xfId="26294"/>
    <cellStyle name="Normal 26 2 2 3 2 2 3" xfId="17997"/>
    <cellStyle name="Normal 26 2 2 3 2 3" xfId="22154"/>
    <cellStyle name="Normal 26 2 2 3 2 4" xfId="13857"/>
    <cellStyle name="Normal 26 2 2 3 3" xfId="7625"/>
    <cellStyle name="Normal 26 2 2 3 3 2" xfId="24222"/>
    <cellStyle name="Normal 26 2 2 3 3 3" xfId="15925"/>
    <cellStyle name="Normal 26 2 2 3 4" xfId="20082"/>
    <cellStyle name="Normal 26 2 2 3 5" xfId="11785"/>
    <cellStyle name="Normal 26 2 2 4" xfId="4493"/>
    <cellStyle name="Normal 26 2 2 4 2" xfId="8661"/>
    <cellStyle name="Normal 26 2 2 4 2 2" xfId="25258"/>
    <cellStyle name="Normal 26 2 2 4 2 3" xfId="16961"/>
    <cellStyle name="Normal 26 2 2 4 3" xfId="21118"/>
    <cellStyle name="Normal 26 2 2 4 4" xfId="12821"/>
    <cellStyle name="Normal 26 2 2 5" xfId="6584"/>
    <cellStyle name="Normal 26 2 2 5 2" xfId="23188"/>
    <cellStyle name="Normal 26 2 2 5 3" xfId="14891"/>
    <cellStyle name="Normal 26 2 2 6" xfId="19045"/>
    <cellStyle name="Normal 26 2 2 7" xfId="10748"/>
    <cellStyle name="Normal 26 2 3" xfId="2884"/>
    <cellStyle name="Normal 26 2 3 2" xfId="3930"/>
    <cellStyle name="Normal 26 2 3 2 2" xfId="6055"/>
    <cellStyle name="Normal 26 2 3 2 2 2" xfId="10211"/>
    <cellStyle name="Normal 26 2 3 2 2 2 2" xfId="26808"/>
    <cellStyle name="Normal 26 2 3 2 2 2 3" xfId="18511"/>
    <cellStyle name="Normal 26 2 3 2 2 3" xfId="22668"/>
    <cellStyle name="Normal 26 2 3 2 2 4" xfId="14371"/>
    <cellStyle name="Normal 26 2 3 2 3" xfId="8139"/>
    <cellStyle name="Normal 26 2 3 2 3 2" xfId="24736"/>
    <cellStyle name="Normal 26 2 3 2 3 3" xfId="16439"/>
    <cellStyle name="Normal 26 2 3 2 4" xfId="20596"/>
    <cellStyle name="Normal 26 2 3 2 5" xfId="12299"/>
    <cellStyle name="Normal 26 2 3 3" xfId="5021"/>
    <cellStyle name="Normal 26 2 3 3 2" xfId="9177"/>
    <cellStyle name="Normal 26 2 3 3 2 2" xfId="25774"/>
    <cellStyle name="Normal 26 2 3 3 2 3" xfId="17477"/>
    <cellStyle name="Normal 26 2 3 3 3" xfId="21634"/>
    <cellStyle name="Normal 26 2 3 3 4" xfId="13337"/>
    <cellStyle name="Normal 26 2 3 4" xfId="7105"/>
    <cellStyle name="Normal 26 2 3 4 2" xfId="23702"/>
    <cellStyle name="Normal 26 2 3 4 3" xfId="15405"/>
    <cellStyle name="Normal 26 2 3 5" xfId="19562"/>
    <cellStyle name="Normal 26 2 3 6" xfId="11265"/>
    <cellStyle name="Normal 26 2 4" xfId="3412"/>
    <cellStyle name="Normal 26 2 4 2" xfId="5540"/>
    <cellStyle name="Normal 26 2 4 2 2" xfId="9696"/>
    <cellStyle name="Normal 26 2 4 2 2 2" xfId="26293"/>
    <cellStyle name="Normal 26 2 4 2 2 3" xfId="17996"/>
    <cellStyle name="Normal 26 2 4 2 3" xfId="22153"/>
    <cellStyle name="Normal 26 2 4 2 4" xfId="13856"/>
    <cellStyle name="Normal 26 2 4 3" xfId="7624"/>
    <cellStyle name="Normal 26 2 4 3 2" xfId="24221"/>
    <cellStyle name="Normal 26 2 4 3 3" xfId="15924"/>
    <cellStyle name="Normal 26 2 4 4" xfId="20081"/>
    <cellStyle name="Normal 26 2 4 5" xfId="11784"/>
    <cellStyle name="Normal 26 2 5" xfId="4492"/>
    <cellStyle name="Normal 26 2 5 2" xfId="8660"/>
    <cellStyle name="Normal 26 2 5 2 2" xfId="25257"/>
    <cellStyle name="Normal 26 2 5 2 3" xfId="16960"/>
    <cellStyle name="Normal 26 2 5 3" xfId="21117"/>
    <cellStyle name="Normal 26 2 5 4" xfId="12820"/>
    <cellStyle name="Normal 26 2 6" xfId="6583"/>
    <cellStyle name="Normal 26 2 6 2" xfId="23187"/>
    <cellStyle name="Normal 26 2 6 3" xfId="14890"/>
    <cellStyle name="Normal 26 2 7" xfId="19044"/>
    <cellStyle name="Normal 26 2 8" xfId="10747"/>
    <cellStyle name="Normal 26 3" xfId="1549"/>
    <cellStyle name="Normal 26 3 2" xfId="1550"/>
    <cellStyle name="Normal 26 3 2 2" xfId="2887"/>
    <cellStyle name="Normal 26 3 2 2 2" xfId="3933"/>
    <cellStyle name="Normal 26 3 2 2 2 2" xfId="6058"/>
    <cellStyle name="Normal 26 3 2 2 2 2 2" xfId="10214"/>
    <cellStyle name="Normal 26 3 2 2 2 2 2 2" xfId="26811"/>
    <cellStyle name="Normal 26 3 2 2 2 2 2 3" xfId="18514"/>
    <cellStyle name="Normal 26 3 2 2 2 2 3" xfId="22671"/>
    <cellStyle name="Normal 26 3 2 2 2 2 4" xfId="14374"/>
    <cellStyle name="Normal 26 3 2 2 2 3" xfId="8142"/>
    <cellStyle name="Normal 26 3 2 2 2 3 2" xfId="24739"/>
    <cellStyle name="Normal 26 3 2 2 2 3 3" xfId="16442"/>
    <cellStyle name="Normal 26 3 2 2 2 4" xfId="20599"/>
    <cellStyle name="Normal 26 3 2 2 2 5" xfId="12302"/>
    <cellStyle name="Normal 26 3 2 2 3" xfId="5024"/>
    <cellStyle name="Normal 26 3 2 2 3 2" xfId="9180"/>
    <cellStyle name="Normal 26 3 2 2 3 2 2" xfId="25777"/>
    <cellStyle name="Normal 26 3 2 2 3 2 3" xfId="17480"/>
    <cellStyle name="Normal 26 3 2 2 3 3" xfId="21637"/>
    <cellStyle name="Normal 26 3 2 2 3 4" xfId="13340"/>
    <cellStyle name="Normal 26 3 2 2 4" xfId="7108"/>
    <cellStyle name="Normal 26 3 2 2 4 2" xfId="23705"/>
    <cellStyle name="Normal 26 3 2 2 4 3" xfId="15408"/>
    <cellStyle name="Normal 26 3 2 2 5" xfId="19565"/>
    <cellStyle name="Normal 26 3 2 2 6" xfId="11268"/>
    <cellStyle name="Normal 26 3 2 3" xfId="3415"/>
    <cellStyle name="Normal 26 3 2 3 2" xfId="5543"/>
    <cellStyle name="Normal 26 3 2 3 2 2" xfId="9699"/>
    <cellStyle name="Normal 26 3 2 3 2 2 2" xfId="26296"/>
    <cellStyle name="Normal 26 3 2 3 2 2 3" xfId="17999"/>
    <cellStyle name="Normal 26 3 2 3 2 3" xfId="22156"/>
    <cellStyle name="Normal 26 3 2 3 2 4" xfId="13859"/>
    <cellStyle name="Normal 26 3 2 3 3" xfId="7627"/>
    <cellStyle name="Normal 26 3 2 3 3 2" xfId="24224"/>
    <cellStyle name="Normal 26 3 2 3 3 3" xfId="15927"/>
    <cellStyle name="Normal 26 3 2 3 4" xfId="20084"/>
    <cellStyle name="Normal 26 3 2 3 5" xfId="11787"/>
    <cellStyle name="Normal 26 3 2 4" xfId="4495"/>
    <cellStyle name="Normal 26 3 2 4 2" xfId="8663"/>
    <cellStyle name="Normal 26 3 2 4 2 2" xfId="25260"/>
    <cellStyle name="Normal 26 3 2 4 2 3" xfId="16963"/>
    <cellStyle name="Normal 26 3 2 4 3" xfId="21120"/>
    <cellStyle name="Normal 26 3 2 4 4" xfId="12823"/>
    <cellStyle name="Normal 26 3 2 5" xfId="6586"/>
    <cellStyle name="Normal 26 3 2 5 2" xfId="23190"/>
    <cellStyle name="Normal 26 3 2 5 3" xfId="14893"/>
    <cellStyle name="Normal 26 3 2 6" xfId="19047"/>
    <cellStyle name="Normal 26 3 2 7" xfId="10750"/>
    <cellStyle name="Normal 26 3 3" xfId="2886"/>
    <cellStyle name="Normal 26 3 3 2" xfId="3932"/>
    <cellStyle name="Normal 26 3 3 2 2" xfId="6057"/>
    <cellStyle name="Normal 26 3 3 2 2 2" xfId="10213"/>
    <cellStyle name="Normal 26 3 3 2 2 2 2" xfId="26810"/>
    <cellStyle name="Normal 26 3 3 2 2 2 3" xfId="18513"/>
    <cellStyle name="Normal 26 3 3 2 2 3" xfId="22670"/>
    <cellStyle name="Normal 26 3 3 2 2 4" xfId="14373"/>
    <cellStyle name="Normal 26 3 3 2 3" xfId="8141"/>
    <cellStyle name="Normal 26 3 3 2 3 2" xfId="24738"/>
    <cellStyle name="Normal 26 3 3 2 3 3" xfId="16441"/>
    <cellStyle name="Normal 26 3 3 2 4" xfId="20598"/>
    <cellStyle name="Normal 26 3 3 2 5" xfId="12301"/>
    <cellStyle name="Normal 26 3 3 3" xfId="5023"/>
    <cellStyle name="Normal 26 3 3 3 2" xfId="9179"/>
    <cellStyle name="Normal 26 3 3 3 2 2" xfId="25776"/>
    <cellStyle name="Normal 26 3 3 3 2 3" xfId="17479"/>
    <cellStyle name="Normal 26 3 3 3 3" xfId="21636"/>
    <cellStyle name="Normal 26 3 3 3 4" xfId="13339"/>
    <cellStyle name="Normal 26 3 3 4" xfId="7107"/>
    <cellStyle name="Normal 26 3 3 4 2" xfId="23704"/>
    <cellStyle name="Normal 26 3 3 4 3" xfId="15407"/>
    <cellStyle name="Normal 26 3 3 5" xfId="19564"/>
    <cellStyle name="Normal 26 3 3 6" xfId="11267"/>
    <cellStyle name="Normal 26 3 4" xfId="3414"/>
    <cellStyle name="Normal 26 3 4 2" xfId="5542"/>
    <cellStyle name="Normal 26 3 4 2 2" xfId="9698"/>
    <cellStyle name="Normal 26 3 4 2 2 2" xfId="26295"/>
    <cellStyle name="Normal 26 3 4 2 2 3" xfId="17998"/>
    <cellStyle name="Normal 26 3 4 2 3" xfId="22155"/>
    <cellStyle name="Normal 26 3 4 2 4" xfId="13858"/>
    <cellStyle name="Normal 26 3 4 3" xfId="7626"/>
    <cellStyle name="Normal 26 3 4 3 2" xfId="24223"/>
    <cellStyle name="Normal 26 3 4 3 3" xfId="15926"/>
    <cellStyle name="Normal 26 3 4 4" xfId="20083"/>
    <cellStyle name="Normal 26 3 4 5" xfId="11786"/>
    <cellStyle name="Normal 26 3 5" xfId="4494"/>
    <cellStyle name="Normal 26 3 5 2" xfId="8662"/>
    <cellStyle name="Normal 26 3 5 2 2" xfId="25259"/>
    <cellStyle name="Normal 26 3 5 2 3" xfId="16962"/>
    <cellStyle name="Normal 26 3 5 3" xfId="21119"/>
    <cellStyle name="Normal 26 3 5 4" xfId="12822"/>
    <cellStyle name="Normal 26 3 6" xfId="6585"/>
    <cellStyle name="Normal 26 3 6 2" xfId="23189"/>
    <cellStyle name="Normal 26 3 6 3" xfId="14892"/>
    <cellStyle name="Normal 26 3 7" xfId="19046"/>
    <cellStyle name="Normal 26 3 8" xfId="10749"/>
    <cellStyle name="Normal 26 4" xfId="1551"/>
    <cellStyle name="Normal 26 4 2" xfId="2888"/>
    <cellStyle name="Normal 26 4 2 2" xfId="3934"/>
    <cellStyle name="Normal 26 4 2 2 2" xfId="6059"/>
    <cellStyle name="Normal 26 4 2 2 2 2" xfId="10215"/>
    <cellStyle name="Normal 26 4 2 2 2 2 2" xfId="26812"/>
    <cellStyle name="Normal 26 4 2 2 2 2 3" xfId="18515"/>
    <cellStyle name="Normal 26 4 2 2 2 3" xfId="22672"/>
    <cellStyle name="Normal 26 4 2 2 2 4" xfId="14375"/>
    <cellStyle name="Normal 26 4 2 2 3" xfId="8143"/>
    <cellStyle name="Normal 26 4 2 2 3 2" xfId="24740"/>
    <cellStyle name="Normal 26 4 2 2 3 3" xfId="16443"/>
    <cellStyle name="Normal 26 4 2 2 4" xfId="20600"/>
    <cellStyle name="Normal 26 4 2 2 5" xfId="12303"/>
    <cellStyle name="Normal 26 4 2 3" xfId="5025"/>
    <cellStyle name="Normal 26 4 2 3 2" xfId="9181"/>
    <cellStyle name="Normal 26 4 2 3 2 2" xfId="25778"/>
    <cellStyle name="Normal 26 4 2 3 2 3" xfId="17481"/>
    <cellStyle name="Normal 26 4 2 3 3" xfId="21638"/>
    <cellStyle name="Normal 26 4 2 3 4" xfId="13341"/>
    <cellStyle name="Normal 26 4 2 4" xfId="7109"/>
    <cellStyle name="Normal 26 4 2 4 2" xfId="23706"/>
    <cellStyle name="Normal 26 4 2 4 3" xfId="15409"/>
    <cellStyle name="Normal 26 4 2 5" xfId="19566"/>
    <cellStyle name="Normal 26 4 2 6" xfId="11269"/>
    <cellStyle name="Normal 26 4 3" xfId="3416"/>
    <cellStyle name="Normal 26 4 3 2" xfId="5544"/>
    <cellStyle name="Normal 26 4 3 2 2" xfId="9700"/>
    <cellStyle name="Normal 26 4 3 2 2 2" xfId="26297"/>
    <cellStyle name="Normal 26 4 3 2 2 3" xfId="18000"/>
    <cellStyle name="Normal 26 4 3 2 3" xfId="22157"/>
    <cellStyle name="Normal 26 4 3 2 4" xfId="13860"/>
    <cellStyle name="Normal 26 4 3 3" xfId="7628"/>
    <cellStyle name="Normal 26 4 3 3 2" xfId="24225"/>
    <cellStyle name="Normal 26 4 3 3 3" xfId="15928"/>
    <cellStyle name="Normal 26 4 3 4" xfId="20085"/>
    <cellStyle name="Normal 26 4 3 5" xfId="11788"/>
    <cellStyle name="Normal 26 4 4" xfId="4496"/>
    <cellStyle name="Normal 26 4 4 2" xfId="8664"/>
    <cellStyle name="Normal 26 4 4 2 2" xfId="25261"/>
    <cellStyle name="Normal 26 4 4 2 3" xfId="16964"/>
    <cellStyle name="Normal 26 4 4 3" xfId="21121"/>
    <cellStyle name="Normal 26 4 4 4" xfId="12824"/>
    <cellStyle name="Normal 26 4 5" xfId="6587"/>
    <cellStyle name="Normal 26 4 5 2" xfId="23191"/>
    <cellStyle name="Normal 26 4 5 3" xfId="14894"/>
    <cellStyle name="Normal 26 4 6" xfId="19048"/>
    <cellStyle name="Normal 26 4 7" xfId="10751"/>
    <cellStyle name="Normal 26 5" xfId="2883"/>
    <cellStyle name="Normal 26 5 2" xfId="3929"/>
    <cellStyle name="Normal 26 5 2 2" xfId="6054"/>
    <cellStyle name="Normal 26 5 2 2 2" xfId="10210"/>
    <cellStyle name="Normal 26 5 2 2 2 2" xfId="26807"/>
    <cellStyle name="Normal 26 5 2 2 2 3" xfId="18510"/>
    <cellStyle name="Normal 26 5 2 2 3" xfId="22667"/>
    <cellStyle name="Normal 26 5 2 2 4" xfId="14370"/>
    <cellStyle name="Normal 26 5 2 3" xfId="8138"/>
    <cellStyle name="Normal 26 5 2 3 2" xfId="24735"/>
    <cellStyle name="Normal 26 5 2 3 3" xfId="16438"/>
    <cellStyle name="Normal 26 5 2 4" xfId="20595"/>
    <cellStyle name="Normal 26 5 2 5" xfId="12298"/>
    <cellStyle name="Normal 26 5 3" xfId="5020"/>
    <cellStyle name="Normal 26 5 3 2" xfId="9176"/>
    <cellStyle name="Normal 26 5 3 2 2" xfId="25773"/>
    <cellStyle name="Normal 26 5 3 2 3" xfId="17476"/>
    <cellStyle name="Normal 26 5 3 3" xfId="21633"/>
    <cellStyle name="Normal 26 5 3 4" xfId="13336"/>
    <cellStyle name="Normal 26 5 4" xfId="7104"/>
    <cellStyle name="Normal 26 5 4 2" xfId="23701"/>
    <cellStyle name="Normal 26 5 4 3" xfId="15404"/>
    <cellStyle name="Normal 26 5 5" xfId="19561"/>
    <cellStyle name="Normal 26 5 6" xfId="11264"/>
    <cellStyle name="Normal 26 6" xfId="3411"/>
    <cellStyle name="Normal 26 6 2" xfId="5539"/>
    <cellStyle name="Normal 26 6 2 2" xfId="9695"/>
    <cellStyle name="Normal 26 6 2 2 2" xfId="26292"/>
    <cellStyle name="Normal 26 6 2 2 3" xfId="17995"/>
    <cellStyle name="Normal 26 6 2 3" xfId="22152"/>
    <cellStyle name="Normal 26 6 2 4" xfId="13855"/>
    <cellStyle name="Normal 26 6 3" xfId="7623"/>
    <cellStyle name="Normal 26 6 3 2" xfId="24220"/>
    <cellStyle name="Normal 26 6 3 3" xfId="15923"/>
    <cellStyle name="Normal 26 6 4" xfId="20080"/>
    <cellStyle name="Normal 26 6 5" xfId="11783"/>
    <cellStyle name="Normal 26 7" xfId="4491"/>
    <cellStyle name="Normal 26 7 2" xfId="8659"/>
    <cellStyle name="Normal 26 7 2 2" xfId="25256"/>
    <cellStyle name="Normal 26 7 2 3" xfId="16959"/>
    <cellStyle name="Normal 26 7 3" xfId="21116"/>
    <cellStyle name="Normal 26 7 4" xfId="12819"/>
    <cellStyle name="Normal 26 8" xfId="6582"/>
    <cellStyle name="Normal 26 8 2" xfId="23186"/>
    <cellStyle name="Normal 26 8 3" xfId="14889"/>
    <cellStyle name="Normal 26 9" xfId="19043"/>
    <cellStyle name="Normal 27" xfId="1552"/>
    <cellStyle name="Normal 27 10" xfId="10752"/>
    <cellStyle name="Normal 27 2" xfId="1553"/>
    <cellStyle name="Normal 27 2 2" xfId="1554"/>
    <cellStyle name="Normal 27 2 2 2" xfId="2891"/>
    <cellStyle name="Normal 27 2 2 2 2" xfId="3937"/>
    <cellStyle name="Normal 27 2 2 2 2 2" xfId="6062"/>
    <cellStyle name="Normal 27 2 2 2 2 2 2" xfId="10218"/>
    <cellStyle name="Normal 27 2 2 2 2 2 2 2" xfId="26815"/>
    <cellStyle name="Normal 27 2 2 2 2 2 2 3" xfId="18518"/>
    <cellStyle name="Normal 27 2 2 2 2 2 3" xfId="22675"/>
    <cellStyle name="Normal 27 2 2 2 2 2 4" xfId="14378"/>
    <cellStyle name="Normal 27 2 2 2 2 3" xfId="8146"/>
    <cellStyle name="Normal 27 2 2 2 2 3 2" xfId="24743"/>
    <cellStyle name="Normal 27 2 2 2 2 3 3" xfId="16446"/>
    <cellStyle name="Normal 27 2 2 2 2 4" xfId="20603"/>
    <cellStyle name="Normal 27 2 2 2 2 5" xfId="12306"/>
    <cellStyle name="Normal 27 2 2 2 3" xfId="5028"/>
    <cellStyle name="Normal 27 2 2 2 3 2" xfId="9184"/>
    <cellStyle name="Normal 27 2 2 2 3 2 2" xfId="25781"/>
    <cellStyle name="Normal 27 2 2 2 3 2 3" xfId="17484"/>
    <cellStyle name="Normal 27 2 2 2 3 3" xfId="21641"/>
    <cellStyle name="Normal 27 2 2 2 3 4" xfId="13344"/>
    <cellStyle name="Normal 27 2 2 2 4" xfId="7112"/>
    <cellStyle name="Normal 27 2 2 2 4 2" xfId="23709"/>
    <cellStyle name="Normal 27 2 2 2 4 3" xfId="15412"/>
    <cellStyle name="Normal 27 2 2 2 5" xfId="19569"/>
    <cellStyle name="Normal 27 2 2 2 6" xfId="11272"/>
    <cellStyle name="Normal 27 2 2 3" xfId="3419"/>
    <cellStyle name="Normal 27 2 2 3 2" xfId="5547"/>
    <cellStyle name="Normal 27 2 2 3 2 2" xfId="9703"/>
    <cellStyle name="Normal 27 2 2 3 2 2 2" xfId="26300"/>
    <cellStyle name="Normal 27 2 2 3 2 2 3" xfId="18003"/>
    <cellStyle name="Normal 27 2 2 3 2 3" xfId="22160"/>
    <cellStyle name="Normal 27 2 2 3 2 4" xfId="13863"/>
    <cellStyle name="Normal 27 2 2 3 3" xfId="7631"/>
    <cellStyle name="Normal 27 2 2 3 3 2" xfId="24228"/>
    <cellStyle name="Normal 27 2 2 3 3 3" xfId="15931"/>
    <cellStyle name="Normal 27 2 2 3 4" xfId="20088"/>
    <cellStyle name="Normal 27 2 2 3 5" xfId="11791"/>
    <cellStyle name="Normal 27 2 2 4" xfId="4499"/>
    <cellStyle name="Normal 27 2 2 4 2" xfId="8667"/>
    <cellStyle name="Normal 27 2 2 4 2 2" xfId="25264"/>
    <cellStyle name="Normal 27 2 2 4 2 3" xfId="16967"/>
    <cellStyle name="Normal 27 2 2 4 3" xfId="21124"/>
    <cellStyle name="Normal 27 2 2 4 4" xfId="12827"/>
    <cellStyle name="Normal 27 2 2 5" xfId="6590"/>
    <cellStyle name="Normal 27 2 2 5 2" xfId="23194"/>
    <cellStyle name="Normal 27 2 2 5 3" xfId="14897"/>
    <cellStyle name="Normal 27 2 2 6" xfId="19051"/>
    <cellStyle name="Normal 27 2 2 7" xfId="10754"/>
    <cellStyle name="Normal 27 2 3" xfId="2890"/>
    <cellStyle name="Normal 27 2 3 2" xfId="3936"/>
    <cellStyle name="Normal 27 2 3 2 2" xfId="6061"/>
    <cellStyle name="Normal 27 2 3 2 2 2" xfId="10217"/>
    <cellStyle name="Normal 27 2 3 2 2 2 2" xfId="26814"/>
    <cellStyle name="Normal 27 2 3 2 2 2 3" xfId="18517"/>
    <cellStyle name="Normal 27 2 3 2 2 3" xfId="22674"/>
    <cellStyle name="Normal 27 2 3 2 2 4" xfId="14377"/>
    <cellStyle name="Normal 27 2 3 2 3" xfId="8145"/>
    <cellStyle name="Normal 27 2 3 2 3 2" xfId="24742"/>
    <cellStyle name="Normal 27 2 3 2 3 3" xfId="16445"/>
    <cellStyle name="Normal 27 2 3 2 4" xfId="20602"/>
    <cellStyle name="Normal 27 2 3 2 5" xfId="12305"/>
    <cellStyle name="Normal 27 2 3 3" xfId="5027"/>
    <cellStyle name="Normal 27 2 3 3 2" xfId="9183"/>
    <cellStyle name="Normal 27 2 3 3 2 2" xfId="25780"/>
    <cellStyle name="Normal 27 2 3 3 2 3" xfId="17483"/>
    <cellStyle name="Normal 27 2 3 3 3" xfId="21640"/>
    <cellStyle name="Normal 27 2 3 3 4" xfId="13343"/>
    <cellStyle name="Normal 27 2 3 4" xfId="7111"/>
    <cellStyle name="Normal 27 2 3 4 2" xfId="23708"/>
    <cellStyle name="Normal 27 2 3 4 3" xfId="15411"/>
    <cellStyle name="Normal 27 2 3 5" xfId="19568"/>
    <cellStyle name="Normal 27 2 3 6" xfId="11271"/>
    <cellStyle name="Normal 27 2 4" xfId="3418"/>
    <cellStyle name="Normal 27 2 4 2" xfId="5546"/>
    <cellStyle name="Normal 27 2 4 2 2" xfId="9702"/>
    <cellStyle name="Normal 27 2 4 2 2 2" xfId="26299"/>
    <cellStyle name="Normal 27 2 4 2 2 3" xfId="18002"/>
    <cellStyle name="Normal 27 2 4 2 3" xfId="22159"/>
    <cellStyle name="Normal 27 2 4 2 4" xfId="13862"/>
    <cellStyle name="Normal 27 2 4 3" xfId="7630"/>
    <cellStyle name="Normal 27 2 4 3 2" xfId="24227"/>
    <cellStyle name="Normal 27 2 4 3 3" xfId="15930"/>
    <cellStyle name="Normal 27 2 4 4" xfId="20087"/>
    <cellStyle name="Normal 27 2 4 5" xfId="11790"/>
    <cellStyle name="Normal 27 2 5" xfId="4498"/>
    <cellStyle name="Normal 27 2 5 2" xfId="8666"/>
    <cellStyle name="Normal 27 2 5 2 2" xfId="25263"/>
    <cellStyle name="Normal 27 2 5 2 3" xfId="16966"/>
    <cellStyle name="Normal 27 2 5 3" xfId="21123"/>
    <cellStyle name="Normal 27 2 5 4" xfId="12826"/>
    <cellStyle name="Normal 27 2 6" xfId="6589"/>
    <cellStyle name="Normal 27 2 6 2" xfId="23193"/>
    <cellStyle name="Normal 27 2 6 3" xfId="14896"/>
    <cellStyle name="Normal 27 2 7" xfId="19050"/>
    <cellStyle name="Normal 27 2 8" xfId="10753"/>
    <cellStyle name="Normal 27 3" xfId="1555"/>
    <cellStyle name="Normal 27 3 2" xfId="1556"/>
    <cellStyle name="Normal 27 3 2 2" xfId="2893"/>
    <cellStyle name="Normal 27 3 2 2 2" xfId="3939"/>
    <cellStyle name="Normal 27 3 2 2 2 2" xfId="6064"/>
    <cellStyle name="Normal 27 3 2 2 2 2 2" xfId="10220"/>
    <cellStyle name="Normal 27 3 2 2 2 2 2 2" xfId="26817"/>
    <cellStyle name="Normal 27 3 2 2 2 2 2 3" xfId="18520"/>
    <cellStyle name="Normal 27 3 2 2 2 2 3" xfId="22677"/>
    <cellStyle name="Normal 27 3 2 2 2 2 4" xfId="14380"/>
    <cellStyle name="Normal 27 3 2 2 2 3" xfId="8148"/>
    <cellStyle name="Normal 27 3 2 2 2 3 2" xfId="24745"/>
    <cellStyle name="Normal 27 3 2 2 2 3 3" xfId="16448"/>
    <cellStyle name="Normal 27 3 2 2 2 4" xfId="20605"/>
    <cellStyle name="Normal 27 3 2 2 2 5" xfId="12308"/>
    <cellStyle name="Normal 27 3 2 2 3" xfId="5030"/>
    <cellStyle name="Normal 27 3 2 2 3 2" xfId="9186"/>
    <cellStyle name="Normal 27 3 2 2 3 2 2" xfId="25783"/>
    <cellStyle name="Normal 27 3 2 2 3 2 3" xfId="17486"/>
    <cellStyle name="Normal 27 3 2 2 3 3" xfId="21643"/>
    <cellStyle name="Normal 27 3 2 2 3 4" xfId="13346"/>
    <cellStyle name="Normal 27 3 2 2 4" xfId="7114"/>
    <cellStyle name="Normal 27 3 2 2 4 2" xfId="23711"/>
    <cellStyle name="Normal 27 3 2 2 4 3" xfId="15414"/>
    <cellStyle name="Normal 27 3 2 2 5" xfId="19571"/>
    <cellStyle name="Normal 27 3 2 2 6" xfId="11274"/>
    <cellStyle name="Normal 27 3 2 3" xfId="3421"/>
    <cellStyle name="Normal 27 3 2 3 2" xfId="5549"/>
    <cellStyle name="Normal 27 3 2 3 2 2" xfId="9705"/>
    <cellStyle name="Normal 27 3 2 3 2 2 2" xfId="26302"/>
    <cellStyle name="Normal 27 3 2 3 2 2 3" xfId="18005"/>
    <cellStyle name="Normal 27 3 2 3 2 3" xfId="22162"/>
    <cellStyle name="Normal 27 3 2 3 2 4" xfId="13865"/>
    <cellStyle name="Normal 27 3 2 3 3" xfId="7633"/>
    <cellStyle name="Normal 27 3 2 3 3 2" xfId="24230"/>
    <cellStyle name="Normal 27 3 2 3 3 3" xfId="15933"/>
    <cellStyle name="Normal 27 3 2 3 4" xfId="20090"/>
    <cellStyle name="Normal 27 3 2 3 5" xfId="11793"/>
    <cellStyle name="Normal 27 3 2 4" xfId="4501"/>
    <cellStyle name="Normal 27 3 2 4 2" xfId="8669"/>
    <cellStyle name="Normal 27 3 2 4 2 2" xfId="25266"/>
    <cellStyle name="Normal 27 3 2 4 2 3" xfId="16969"/>
    <cellStyle name="Normal 27 3 2 4 3" xfId="21126"/>
    <cellStyle name="Normal 27 3 2 4 4" xfId="12829"/>
    <cellStyle name="Normal 27 3 2 5" xfId="6592"/>
    <cellStyle name="Normal 27 3 2 5 2" xfId="23196"/>
    <cellStyle name="Normal 27 3 2 5 3" xfId="14899"/>
    <cellStyle name="Normal 27 3 2 6" xfId="19053"/>
    <cellStyle name="Normal 27 3 2 7" xfId="10756"/>
    <cellStyle name="Normal 27 3 3" xfId="2892"/>
    <cellStyle name="Normal 27 3 3 2" xfId="3938"/>
    <cellStyle name="Normal 27 3 3 2 2" xfId="6063"/>
    <cellStyle name="Normal 27 3 3 2 2 2" xfId="10219"/>
    <cellStyle name="Normal 27 3 3 2 2 2 2" xfId="26816"/>
    <cellStyle name="Normal 27 3 3 2 2 2 3" xfId="18519"/>
    <cellStyle name="Normal 27 3 3 2 2 3" xfId="22676"/>
    <cellStyle name="Normal 27 3 3 2 2 4" xfId="14379"/>
    <cellStyle name="Normal 27 3 3 2 3" xfId="8147"/>
    <cellStyle name="Normal 27 3 3 2 3 2" xfId="24744"/>
    <cellStyle name="Normal 27 3 3 2 3 3" xfId="16447"/>
    <cellStyle name="Normal 27 3 3 2 4" xfId="20604"/>
    <cellStyle name="Normal 27 3 3 2 5" xfId="12307"/>
    <cellStyle name="Normal 27 3 3 3" xfId="5029"/>
    <cellStyle name="Normal 27 3 3 3 2" xfId="9185"/>
    <cellStyle name="Normal 27 3 3 3 2 2" xfId="25782"/>
    <cellStyle name="Normal 27 3 3 3 2 3" xfId="17485"/>
    <cellStyle name="Normal 27 3 3 3 3" xfId="21642"/>
    <cellStyle name="Normal 27 3 3 3 4" xfId="13345"/>
    <cellStyle name="Normal 27 3 3 4" xfId="7113"/>
    <cellStyle name="Normal 27 3 3 4 2" xfId="23710"/>
    <cellStyle name="Normal 27 3 3 4 3" xfId="15413"/>
    <cellStyle name="Normal 27 3 3 5" xfId="19570"/>
    <cellStyle name="Normal 27 3 3 6" xfId="11273"/>
    <cellStyle name="Normal 27 3 4" xfId="3420"/>
    <cellStyle name="Normal 27 3 4 2" xfId="5548"/>
    <cellStyle name="Normal 27 3 4 2 2" xfId="9704"/>
    <cellStyle name="Normal 27 3 4 2 2 2" xfId="26301"/>
    <cellStyle name="Normal 27 3 4 2 2 3" xfId="18004"/>
    <cellStyle name="Normal 27 3 4 2 3" xfId="22161"/>
    <cellStyle name="Normal 27 3 4 2 4" xfId="13864"/>
    <cellStyle name="Normal 27 3 4 3" xfId="7632"/>
    <cellStyle name="Normal 27 3 4 3 2" xfId="24229"/>
    <cellStyle name="Normal 27 3 4 3 3" xfId="15932"/>
    <cellStyle name="Normal 27 3 4 4" xfId="20089"/>
    <cellStyle name="Normal 27 3 4 5" xfId="11792"/>
    <cellStyle name="Normal 27 3 5" xfId="4500"/>
    <cellStyle name="Normal 27 3 5 2" xfId="8668"/>
    <cellStyle name="Normal 27 3 5 2 2" xfId="25265"/>
    <cellStyle name="Normal 27 3 5 2 3" xfId="16968"/>
    <cellStyle name="Normal 27 3 5 3" xfId="21125"/>
    <cellStyle name="Normal 27 3 5 4" xfId="12828"/>
    <cellStyle name="Normal 27 3 6" xfId="6591"/>
    <cellStyle name="Normal 27 3 6 2" xfId="23195"/>
    <cellStyle name="Normal 27 3 6 3" xfId="14898"/>
    <cellStyle name="Normal 27 3 7" xfId="19052"/>
    <cellStyle name="Normal 27 3 8" xfId="10755"/>
    <cellStyle name="Normal 27 4" xfId="1557"/>
    <cellStyle name="Normal 27 4 2" xfId="2894"/>
    <cellStyle name="Normal 27 4 2 2" xfId="3940"/>
    <cellStyle name="Normal 27 4 2 2 2" xfId="6065"/>
    <cellStyle name="Normal 27 4 2 2 2 2" xfId="10221"/>
    <cellStyle name="Normal 27 4 2 2 2 2 2" xfId="26818"/>
    <cellStyle name="Normal 27 4 2 2 2 2 3" xfId="18521"/>
    <cellStyle name="Normal 27 4 2 2 2 3" xfId="22678"/>
    <cellStyle name="Normal 27 4 2 2 2 4" xfId="14381"/>
    <cellStyle name="Normal 27 4 2 2 3" xfId="8149"/>
    <cellStyle name="Normal 27 4 2 2 3 2" xfId="24746"/>
    <cellStyle name="Normal 27 4 2 2 3 3" xfId="16449"/>
    <cellStyle name="Normal 27 4 2 2 4" xfId="20606"/>
    <cellStyle name="Normal 27 4 2 2 5" xfId="12309"/>
    <cellStyle name="Normal 27 4 2 3" xfId="5031"/>
    <cellStyle name="Normal 27 4 2 3 2" xfId="9187"/>
    <cellStyle name="Normal 27 4 2 3 2 2" xfId="25784"/>
    <cellStyle name="Normal 27 4 2 3 2 3" xfId="17487"/>
    <cellStyle name="Normal 27 4 2 3 3" xfId="21644"/>
    <cellStyle name="Normal 27 4 2 3 4" xfId="13347"/>
    <cellStyle name="Normal 27 4 2 4" xfId="7115"/>
    <cellStyle name="Normal 27 4 2 4 2" xfId="23712"/>
    <cellStyle name="Normal 27 4 2 4 3" xfId="15415"/>
    <cellStyle name="Normal 27 4 2 5" xfId="19572"/>
    <cellStyle name="Normal 27 4 2 6" xfId="11275"/>
    <cellStyle name="Normal 27 4 3" xfId="3422"/>
    <cellStyle name="Normal 27 4 3 2" xfId="5550"/>
    <cellStyle name="Normal 27 4 3 2 2" xfId="9706"/>
    <cellStyle name="Normal 27 4 3 2 2 2" xfId="26303"/>
    <cellStyle name="Normal 27 4 3 2 2 3" xfId="18006"/>
    <cellStyle name="Normal 27 4 3 2 3" xfId="22163"/>
    <cellStyle name="Normal 27 4 3 2 4" xfId="13866"/>
    <cellStyle name="Normal 27 4 3 3" xfId="7634"/>
    <cellStyle name="Normal 27 4 3 3 2" xfId="24231"/>
    <cellStyle name="Normal 27 4 3 3 3" xfId="15934"/>
    <cellStyle name="Normal 27 4 3 4" xfId="20091"/>
    <cellStyle name="Normal 27 4 3 5" xfId="11794"/>
    <cellStyle name="Normal 27 4 4" xfId="4502"/>
    <cellStyle name="Normal 27 4 4 2" xfId="8670"/>
    <cellStyle name="Normal 27 4 4 2 2" xfId="25267"/>
    <cellStyle name="Normal 27 4 4 2 3" xfId="16970"/>
    <cellStyle name="Normal 27 4 4 3" xfId="21127"/>
    <cellStyle name="Normal 27 4 4 4" xfId="12830"/>
    <cellStyle name="Normal 27 4 5" xfId="6593"/>
    <cellStyle name="Normal 27 4 5 2" xfId="23197"/>
    <cellStyle name="Normal 27 4 5 3" xfId="14900"/>
    <cellStyle name="Normal 27 4 6" xfId="19054"/>
    <cellStyle name="Normal 27 4 7" xfId="10757"/>
    <cellStyle name="Normal 27 5" xfId="2889"/>
    <cellStyle name="Normal 27 5 2" xfId="3935"/>
    <cellStyle name="Normal 27 5 2 2" xfId="6060"/>
    <cellStyle name="Normal 27 5 2 2 2" xfId="10216"/>
    <cellStyle name="Normal 27 5 2 2 2 2" xfId="26813"/>
    <cellStyle name="Normal 27 5 2 2 2 3" xfId="18516"/>
    <cellStyle name="Normal 27 5 2 2 3" xfId="22673"/>
    <cellStyle name="Normal 27 5 2 2 4" xfId="14376"/>
    <cellStyle name="Normal 27 5 2 3" xfId="8144"/>
    <cellStyle name="Normal 27 5 2 3 2" xfId="24741"/>
    <cellStyle name="Normal 27 5 2 3 3" xfId="16444"/>
    <cellStyle name="Normal 27 5 2 4" xfId="20601"/>
    <cellStyle name="Normal 27 5 2 5" xfId="12304"/>
    <cellStyle name="Normal 27 5 3" xfId="5026"/>
    <cellStyle name="Normal 27 5 3 2" xfId="9182"/>
    <cellStyle name="Normal 27 5 3 2 2" xfId="25779"/>
    <cellStyle name="Normal 27 5 3 2 3" xfId="17482"/>
    <cellStyle name="Normal 27 5 3 3" xfId="21639"/>
    <cellStyle name="Normal 27 5 3 4" xfId="13342"/>
    <cellStyle name="Normal 27 5 4" xfId="7110"/>
    <cellStyle name="Normal 27 5 4 2" xfId="23707"/>
    <cellStyle name="Normal 27 5 4 3" xfId="15410"/>
    <cellStyle name="Normal 27 5 5" xfId="19567"/>
    <cellStyle name="Normal 27 5 6" xfId="11270"/>
    <cellStyle name="Normal 27 6" xfId="3417"/>
    <cellStyle name="Normal 27 6 2" xfId="5545"/>
    <cellStyle name="Normal 27 6 2 2" xfId="9701"/>
    <cellStyle name="Normal 27 6 2 2 2" xfId="26298"/>
    <cellStyle name="Normal 27 6 2 2 3" xfId="18001"/>
    <cellStyle name="Normal 27 6 2 3" xfId="22158"/>
    <cellStyle name="Normal 27 6 2 4" xfId="13861"/>
    <cellStyle name="Normal 27 6 3" xfId="7629"/>
    <cellStyle name="Normal 27 6 3 2" xfId="24226"/>
    <cellStyle name="Normal 27 6 3 3" xfId="15929"/>
    <cellStyle name="Normal 27 6 4" xfId="20086"/>
    <cellStyle name="Normal 27 6 5" xfId="11789"/>
    <cellStyle name="Normal 27 7" xfId="4497"/>
    <cellStyle name="Normal 27 7 2" xfId="8665"/>
    <cellStyle name="Normal 27 7 2 2" xfId="25262"/>
    <cellStyle name="Normal 27 7 2 3" xfId="16965"/>
    <cellStyle name="Normal 27 7 3" xfId="21122"/>
    <cellStyle name="Normal 27 7 4" xfId="12825"/>
    <cellStyle name="Normal 27 8" xfId="6588"/>
    <cellStyle name="Normal 27 8 2" xfId="23192"/>
    <cellStyle name="Normal 27 8 3" xfId="14895"/>
    <cellStyle name="Normal 27 9" xfId="19049"/>
    <cellStyle name="Normal 28" xfId="1558"/>
    <cellStyle name="Normal 28 10" xfId="10758"/>
    <cellStyle name="Normal 28 2" xfId="1559"/>
    <cellStyle name="Normal 28 2 2" xfId="1560"/>
    <cellStyle name="Normal 28 2 2 2" xfId="2897"/>
    <cellStyle name="Normal 28 2 2 2 2" xfId="3943"/>
    <cellStyle name="Normal 28 2 2 2 2 2" xfId="6068"/>
    <cellStyle name="Normal 28 2 2 2 2 2 2" xfId="10224"/>
    <cellStyle name="Normal 28 2 2 2 2 2 2 2" xfId="26821"/>
    <cellStyle name="Normal 28 2 2 2 2 2 2 3" xfId="18524"/>
    <cellStyle name="Normal 28 2 2 2 2 2 3" xfId="22681"/>
    <cellStyle name="Normal 28 2 2 2 2 2 4" xfId="14384"/>
    <cellStyle name="Normal 28 2 2 2 2 3" xfId="8152"/>
    <cellStyle name="Normal 28 2 2 2 2 3 2" xfId="24749"/>
    <cellStyle name="Normal 28 2 2 2 2 3 3" xfId="16452"/>
    <cellStyle name="Normal 28 2 2 2 2 4" xfId="20609"/>
    <cellStyle name="Normal 28 2 2 2 2 5" xfId="12312"/>
    <cellStyle name="Normal 28 2 2 2 3" xfId="5034"/>
    <cellStyle name="Normal 28 2 2 2 3 2" xfId="9190"/>
    <cellStyle name="Normal 28 2 2 2 3 2 2" xfId="25787"/>
    <cellStyle name="Normal 28 2 2 2 3 2 3" xfId="17490"/>
    <cellStyle name="Normal 28 2 2 2 3 3" xfId="21647"/>
    <cellStyle name="Normal 28 2 2 2 3 4" xfId="13350"/>
    <cellStyle name="Normal 28 2 2 2 4" xfId="7118"/>
    <cellStyle name="Normal 28 2 2 2 4 2" xfId="23715"/>
    <cellStyle name="Normal 28 2 2 2 4 3" xfId="15418"/>
    <cellStyle name="Normal 28 2 2 2 5" xfId="19575"/>
    <cellStyle name="Normal 28 2 2 2 6" xfId="11278"/>
    <cellStyle name="Normal 28 2 2 3" xfId="3425"/>
    <cellStyle name="Normal 28 2 2 3 2" xfId="5553"/>
    <cellStyle name="Normal 28 2 2 3 2 2" xfId="9709"/>
    <cellStyle name="Normal 28 2 2 3 2 2 2" xfId="26306"/>
    <cellStyle name="Normal 28 2 2 3 2 2 3" xfId="18009"/>
    <cellStyle name="Normal 28 2 2 3 2 3" xfId="22166"/>
    <cellStyle name="Normal 28 2 2 3 2 4" xfId="13869"/>
    <cellStyle name="Normal 28 2 2 3 3" xfId="7637"/>
    <cellStyle name="Normal 28 2 2 3 3 2" xfId="24234"/>
    <cellStyle name="Normal 28 2 2 3 3 3" xfId="15937"/>
    <cellStyle name="Normal 28 2 2 3 4" xfId="20094"/>
    <cellStyle name="Normal 28 2 2 3 5" xfId="11797"/>
    <cellStyle name="Normal 28 2 2 4" xfId="4505"/>
    <cellStyle name="Normal 28 2 2 4 2" xfId="8673"/>
    <cellStyle name="Normal 28 2 2 4 2 2" xfId="25270"/>
    <cellStyle name="Normal 28 2 2 4 2 3" xfId="16973"/>
    <cellStyle name="Normal 28 2 2 4 3" xfId="21130"/>
    <cellStyle name="Normal 28 2 2 4 4" xfId="12833"/>
    <cellStyle name="Normal 28 2 2 5" xfId="6596"/>
    <cellStyle name="Normal 28 2 2 5 2" xfId="23200"/>
    <cellStyle name="Normal 28 2 2 5 3" xfId="14903"/>
    <cellStyle name="Normal 28 2 2 6" xfId="19057"/>
    <cellStyle name="Normal 28 2 2 7" xfId="10760"/>
    <cellStyle name="Normal 28 2 3" xfId="2896"/>
    <cellStyle name="Normal 28 2 3 2" xfId="3942"/>
    <cellStyle name="Normal 28 2 3 2 2" xfId="6067"/>
    <cellStyle name="Normal 28 2 3 2 2 2" xfId="10223"/>
    <cellStyle name="Normal 28 2 3 2 2 2 2" xfId="26820"/>
    <cellStyle name="Normal 28 2 3 2 2 2 3" xfId="18523"/>
    <cellStyle name="Normal 28 2 3 2 2 3" xfId="22680"/>
    <cellStyle name="Normal 28 2 3 2 2 4" xfId="14383"/>
    <cellStyle name="Normal 28 2 3 2 3" xfId="8151"/>
    <cellStyle name="Normal 28 2 3 2 3 2" xfId="24748"/>
    <cellStyle name="Normal 28 2 3 2 3 3" xfId="16451"/>
    <cellStyle name="Normal 28 2 3 2 4" xfId="20608"/>
    <cellStyle name="Normal 28 2 3 2 5" xfId="12311"/>
    <cellStyle name="Normal 28 2 3 3" xfId="5033"/>
    <cellStyle name="Normal 28 2 3 3 2" xfId="9189"/>
    <cellStyle name="Normal 28 2 3 3 2 2" xfId="25786"/>
    <cellStyle name="Normal 28 2 3 3 2 3" xfId="17489"/>
    <cellStyle name="Normal 28 2 3 3 3" xfId="21646"/>
    <cellStyle name="Normal 28 2 3 3 4" xfId="13349"/>
    <cellStyle name="Normal 28 2 3 4" xfId="7117"/>
    <cellStyle name="Normal 28 2 3 4 2" xfId="23714"/>
    <cellStyle name="Normal 28 2 3 4 3" xfId="15417"/>
    <cellStyle name="Normal 28 2 3 5" xfId="19574"/>
    <cellStyle name="Normal 28 2 3 6" xfId="11277"/>
    <cellStyle name="Normal 28 2 4" xfId="3424"/>
    <cellStyle name="Normal 28 2 4 2" xfId="5552"/>
    <cellStyle name="Normal 28 2 4 2 2" xfId="9708"/>
    <cellStyle name="Normal 28 2 4 2 2 2" xfId="26305"/>
    <cellStyle name="Normal 28 2 4 2 2 3" xfId="18008"/>
    <cellStyle name="Normal 28 2 4 2 3" xfId="22165"/>
    <cellStyle name="Normal 28 2 4 2 4" xfId="13868"/>
    <cellStyle name="Normal 28 2 4 3" xfId="7636"/>
    <cellStyle name="Normal 28 2 4 3 2" xfId="24233"/>
    <cellStyle name="Normal 28 2 4 3 3" xfId="15936"/>
    <cellStyle name="Normal 28 2 4 4" xfId="20093"/>
    <cellStyle name="Normal 28 2 4 5" xfId="11796"/>
    <cellStyle name="Normal 28 2 5" xfId="4504"/>
    <cellStyle name="Normal 28 2 5 2" xfId="8672"/>
    <cellStyle name="Normal 28 2 5 2 2" xfId="25269"/>
    <cellStyle name="Normal 28 2 5 2 3" xfId="16972"/>
    <cellStyle name="Normal 28 2 5 3" xfId="21129"/>
    <cellStyle name="Normal 28 2 5 4" xfId="12832"/>
    <cellStyle name="Normal 28 2 6" xfId="6595"/>
    <cellStyle name="Normal 28 2 6 2" xfId="23199"/>
    <cellStyle name="Normal 28 2 6 3" xfId="14902"/>
    <cellStyle name="Normal 28 2 7" xfId="19056"/>
    <cellStyle name="Normal 28 2 8" xfId="10759"/>
    <cellStyle name="Normal 28 3" xfId="1561"/>
    <cellStyle name="Normal 28 3 2" xfId="1562"/>
    <cellStyle name="Normal 28 3 2 2" xfId="2899"/>
    <cellStyle name="Normal 28 3 2 2 2" xfId="3945"/>
    <cellStyle name="Normal 28 3 2 2 2 2" xfId="6070"/>
    <cellStyle name="Normal 28 3 2 2 2 2 2" xfId="10226"/>
    <cellStyle name="Normal 28 3 2 2 2 2 2 2" xfId="26823"/>
    <cellStyle name="Normal 28 3 2 2 2 2 2 3" xfId="18526"/>
    <cellStyle name="Normal 28 3 2 2 2 2 3" xfId="22683"/>
    <cellStyle name="Normal 28 3 2 2 2 2 4" xfId="14386"/>
    <cellStyle name="Normal 28 3 2 2 2 3" xfId="8154"/>
    <cellStyle name="Normal 28 3 2 2 2 3 2" xfId="24751"/>
    <cellStyle name="Normal 28 3 2 2 2 3 3" xfId="16454"/>
    <cellStyle name="Normal 28 3 2 2 2 4" xfId="20611"/>
    <cellStyle name="Normal 28 3 2 2 2 5" xfId="12314"/>
    <cellStyle name="Normal 28 3 2 2 3" xfId="5036"/>
    <cellStyle name="Normal 28 3 2 2 3 2" xfId="9192"/>
    <cellStyle name="Normal 28 3 2 2 3 2 2" xfId="25789"/>
    <cellStyle name="Normal 28 3 2 2 3 2 3" xfId="17492"/>
    <cellStyle name="Normal 28 3 2 2 3 3" xfId="21649"/>
    <cellStyle name="Normal 28 3 2 2 3 4" xfId="13352"/>
    <cellStyle name="Normal 28 3 2 2 4" xfId="7120"/>
    <cellStyle name="Normal 28 3 2 2 4 2" xfId="23717"/>
    <cellStyle name="Normal 28 3 2 2 4 3" xfId="15420"/>
    <cellStyle name="Normal 28 3 2 2 5" xfId="19577"/>
    <cellStyle name="Normal 28 3 2 2 6" xfId="11280"/>
    <cellStyle name="Normal 28 3 2 3" xfId="3427"/>
    <cellStyle name="Normal 28 3 2 3 2" xfId="5555"/>
    <cellStyle name="Normal 28 3 2 3 2 2" xfId="9711"/>
    <cellStyle name="Normal 28 3 2 3 2 2 2" xfId="26308"/>
    <cellStyle name="Normal 28 3 2 3 2 2 3" xfId="18011"/>
    <cellStyle name="Normal 28 3 2 3 2 3" xfId="22168"/>
    <cellStyle name="Normal 28 3 2 3 2 4" xfId="13871"/>
    <cellStyle name="Normal 28 3 2 3 3" xfId="7639"/>
    <cellStyle name="Normal 28 3 2 3 3 2" xfId="24236"/>
    <cellStyle name="Normal 28 3 2 3 3 3" xfId="15939"/>
    <cellStyle name="Normal 28 3 2 3 4" xfId="20096"/>
    <cellStyle name="Normal 28 3 2 3 5" xfId="11799"/>
    <cellStyle name="Normal 28 3 2 4" xfId="4507"/>
    <cellStyle name="Normal 28 3 2 4 2" xfId="8675"/>
    <cellStyle name="Normal 28 3 2 4 2 2" xfId="25272"/>
    <cellStyle name="Normal 28 3 2 4 2 3" xfId="16975"/>
    <cellStyle name="Normal 28 3 2 4 3" xfId="21132"/>
    <cellStyle name="Normal 28 3 2 4 4" xfId="12835"/>
    <cellStyle name="Normal 28 3 2 5" xfId="6598"/>
    <cellStyle name="Normal 28 3 2 5 2" xfId="23202"/>
    <cellStyle name="Normal 28 3 2 5 3" xfId="14905"/>
    <cellStyle name="Normal 28 3 2 6" xfId="19059"/>
    <cellStyle name="Normal 28 3 2 7" xfId="10762"/>
    <cellStyle name="Normal 28 3 3" xfId="2898"/>
    <cellStyle name="Normal 28 3 3 2" xfId="3944"/>
    <cellStyle name="Normal 28 3 3 2 2" xfId="6069"/>
    <cellStyle name="Normal 28 3 3 2 2 2" xfId="10225"/>
    <cellStyle name="Normal 28 3 3 2 2 2 2" xfId="26822"/>
    <cellStyle name="Normal 28 3 3 2 2 2 3" xfId="18525"/>
    <cellStyle name="Normal 28 3 3 2 2 3" xfId="22682"/>
    <cellStyle name="Normal 28 3 3 2 2 4" xfId="14385"/>
    <cellStyle name="Normal 28 3 3 2 3" xfId="8153"/>
    <cellStyle name="Normal 28 3 3 2 3 2" xfId="24750"/>
    <cellStyle name="Normal 28 3 3 2 3 3" xfId="16453"/>
    <cellStyle name="Normal 28 3 3 2 4" xfId="20610"/>
    <cellStyle name="Normal 28 3 3 2 5" xfId="12313"/>
    <cellStyle name="Normal 28 3 3 3" xfId="5035"/>
    <cellStyle name="Normal 28 3 3 3 2" xfId="9191"/>
    <cellStyle name="Normal 28 3 3 3 2 2" xfId="25788"/>
    <cellStyle name="Normal 28 3 3 3 2 3" xfId="17491"/>
    <cellStyle name="Normal 28 3 3 3 3" xfId="21648"/>
    <cellStyle name="Normal 28 3 3 3 4" xfId="13351"/>
    <cellStyle name="Normal 28 3 3 4" xfId="7119"/>
    <cellStyle name="Normal 28 3 3 4 2" xfId="23716"/>
    <cellStyle name="Normal 28 3 3 4 3" xfId="15419"/>
    <cellStyle name="Normal 28 3 3 5" xfId="19576"/>
    <cellStyle name="Normal 28 3 3 6" xfId="11279"/>
    <cellStyle name="Normal 28 3 4" xfId="3426"/>
    <cellStyle name="Normal 28 3 4 2" xfId="5554"/>
    <cellStyle name="Normal 28 3 4 2 2" xfId="9710"/>
    <cellStyle name="Normal 28 3 4 2 2 2" xfId="26307"/>
    <cellStyle name="Normal 28 3 4 2 2 3" xfId="18010"/>
    <cellStyle name="Normal 28 3 4 2 3" xfId="22167"/>
    <cellStyle name="Normal 28 3 4 2 4" xfId="13870"/>
    <cellStyle name="Normal 28 3 4 3" xfId="7638"/>
    <cellStyle name="Normal 28 3 4 3 2" xfId="24235"/>
    <cellStyle name="Normal 28 3 4 3 3" xfId="15938"/>
    <cellStyle name="Normal 28 3 4 4" xfId="20095"/>
    <cellStyle name="Normal 28 3 4 5" xfId="11798"/>
    <cellStyle name="Normal 28 3 5" xfId="4506"/>
    <cellStyle name="Normal 28 3 5 2" xfId="8674"/>
    <cellStyle name="Normal 28 3 5 2 2" xfId="25271"/>
    <cellStyle name="Normal 28 3 5 2 3" xfId="16974"/>
    <cellStyle name="Normal 28 3 5 3" xfId="21131"/>
    <cellStyle name="Normal 28 3 5 4" xfId="12834"/>
    <cellStyle name="Normal 28 3 6" xfId="6597"/>
    <cellStyle name="Normal 28 3 6 2" xfId="23201"/>
    <cellStyle name="Normal 28 3 6 3" xfId="14904"/>
    <cellStyle name="Normal 28 3 7" xfId="19058"/>
    <cellStyle name="Normal 28 3 8" xfId="10761"/>
    <cellStyle name="Normal 28 4" xfId="1563"/>
    <cellStyle name="Normal 28 4 2" xfId="2900"/>
    <cellStyle name="Normal 28 4 2 2" xfId="3946"/>
    <cellStyle name="Normal 28 4 2 2 2" xfId="6071"/>
    <cellStyle name="Normal 28 4 2 2 2 2" xfId="10227"/>
    <cellStyle name="Normal 28 4 2 2 2 2 2" xfId="26824"/>
    <cellStyle name="Normal 28 4 2 2 2 2 3" xfId="18527"/>
    <cellStyle name="Normal 28 4 2 2 2 3" xfId="22684"/>
    <cellStyle name="Normal 28 4 2 2 2 4" xfId="14387"/>
    <cellStyle name="Normal 28 4 2 2 3" xfId="8155"/>
    <cellStyle name="Normal 28 4 2 2 3 2" xfId="24752"/>
    <cellStyle name="Normal 28 4 2 2 3 3" xfId="16455"/>
    <cellStyle name="Normal 28 4 2 2 4" xfId="20612"/>
    <cellStyle name="Normal 28 4 2 2 5" xfId="12315"/>
    <cellStyle name="Normal 28 4 2 3" xfId="5037"/>
    <cellStyle name="Normal 28 4 2 3 2" xfId="9193"/>
    <cellStyle name="Normal 28 4 2 3 2 2" xfId="25790"/>
    <cellStyle name="Normal 28 4 2 3 2 3" xfId="17493"/>
    <cellStyle name="Normal 28 4 2 3 3" xfId="21650"/>
    <cellStyle name="Normal 28 4 2 3 4" xfId="13353"/>
    <cellStyle name="Normal 28 4 2 4" xfId="7121"/>
    <cellStyle name="Normal 28 4 2 4 2" xfId="23718"/>
    <cellStyle name="Normal 28 4 2 4 3" xfId="15421"/>
    <cellStyle name="Normal 28 4 2 5" xfId="19578"/>
    <cellStyle name="Normal 28 4 2 6" xfId="11281"/>
    <cellStyle name="Normal 28 4 3" xfId="3428"/>
    <cellStyle name="Normal 28 4 3 2" xfId="5556"/>
    <cellStyle name="Normal 28 4 3 2 2" xfId="9712"/>
    <cellStyle name="Normal 28 4 3 2 2 2" xfId="26309"/>
    <cellStyle name="Normal 28 4 3 2 2 3" xfId="18012"/>
    <cellStyle name="Normal 28 4 3 2 3" xfId="22169"/>
    <cellStyle name="Normal 28 4 3 2 4" xfId="13872"/>
    <cellStyle name="Normal 28 4 3 3" xfId="7640"/>
    <cellStyle name="Normal 28 4 3 3 2" xfId="24237"/>
    <cellStyle name="Normal 28 4 3 3 3" xfId="15940"/>
    <cellStyle name="Normal 28 4 3 4" xfId="20097"/>
    <cellStyle name="Normal 28 4 3 5" xfId="11800"/>
    <cellStyle name="Normal 28 4 4" xfId="4508"/>
    <cellStyle name="Normal 28 4 4 2" xfId="8676"/>
    <cellStyle name="Normal 28 4 4 2 2" xfId="25273"/>
    <cellStyle name="Normal 28 4 4 2 3" xfId="16976"/>
    <cellStyle name="Normal 28 4 4 3" xfId="21133"/>
    <cellStyle name="Normal 28 4 4 4" xfId="12836"/>
    <cellStyle name="Normal 28 4 5" xfId="6599"/>
    <cellStyle name="Normal 28 4 5 2" xfId="23203"/>
    <cellStyle name="Normal 28 4 5 3" xfId="14906"/>
    <cellStyle name="Normal 28 4 6" xfId="19060"/>
    <cellStyle name="Normal 28 4 7" xfId="10763"/>
    <cellStyle name="Normal 28 5" xfId="2895"/>
    <cellStyle name="Normal 28 5 2" xfId="3941"/>
    <cellStyle name="Normal 28 5 2 2" xfId="6066"/>
    <cellStyle name="Normal 28 5 2 2 2" xfId="10222"/>
    <cellStyle name="Normal 28 5 2 2 2 2" xfId="26819"/>
    <cellStyle name="Normal 28 5 2 2 2 3" xfId="18522"/>
    <cellStyle name="Normal 28 5 2 2 3" xfId="22679"/>
    <cellStyle name="Normal 28 5 2 2 4" xfId="14382"/>
    <cellStyle name="Normal 28 5 2 3" xfId="8150"/>
    <cellStyle name="Normal 28 5 2 3 2" xfId="24747"/>
    <cellStyle name="Normal 28 5 2 3 3" xfId="16450"/>
    <cellStyle name="Normal 28 5 2 4" xfId="20607"/>
    <cellStyle name="Normal 28 5 2 5" xfId="12310"/>
    <cellStyle name="Normal 28 5 3" xfId="5032"/>
    <cellStyle name="Normal 28 5 3 2" xfId="9188"/>
    <cellStyle name="Normal 28 5 3 2 2" xfId="25785"/>
    <cellStyle name="Normal 28 5 3 2 3" xfId="17488"/>
    <cellStyle name="Normal 28 5 3 3" xfId="21645"/>
    <cellStyle name="Normal 28 5 3 4" xfId="13348"/>
    <cellStyle name="Normal 28 5 4" xfId="7116"/>
    <cellStyle name="Normal 28 5 4 2" xfId="23713"/>
    <cellStyle name="Normal 28 5 4 3" xfId="15416"/>
    <cellStyle name="Normal 28 5 5" xfId="19573"/>
    <cellStyle name="Normal 28 5 6" xfId="11276"/>
    <cellStyle name="Normal 28 6" xfId="3423"/>
    <cellStyle name="Normal 28 6 2" xfId="5551"/>
    <cellStyle name="Normal 28 6 2 2" xfId="9707"/>
    <cellStyle name="Normal 28 6 2 2 2" xfId="26304"/>
    <cellStyle name="Normal 28 6 2 2 3" xfId="18007"/>
    <cellStyle name="Normal 28 6 2 3" xfId="22164"/>
    <cellStyle name="Normal 28 6 2 4" xfId="13867"/>
    <cellStyle name="Normal 28 6 3" xfId="7635"/>
    <cellStyle name="Normal 28 6 3 2" xfId="24232"/>
    <cellStyle name="Normal 28 6 3 3" xfId="15935"/>
    <cellStyle name="Normal 28 6 4" xfId="20092"/>
    <cellStyle name="Normal 28 6 5" xfId="11795"/>
    <cellStyle name="Normal 28 7" xfId="4503"/>
    <cellStyle name="Normal 28 7 2" xfId="8671"/>
    <cellStyle name="Normal 28 7 2 2" xfId="25268"/>
    <cellStyle name="Normal 28 7 2 3" xfId="16971"/>
    <cellStyle name="Normal 28 7 3" xfId="21128"/>
    <cellStyle name="Normal 28 7 4" xfId="12831"/>
    <cellStyle name="Normal 28 8" xfId="6594"/>
    <cellStyle name="Normal 28 8 2" xfId="23198"/>
    <cellStyle name="Normal 28 8 3" xfId="14901"/>
    <cellStyle name="Normal 28 9" xfId="19055"/>
    <cellStyle name="Normal 29" xfId="1564"/>
    <cellStyle name="Normal 29 10" xfId="10764"/>
    <cellStyle name="Normal 29 2" xfId="1565"/>
    <cellStyle name="Normal 29 2 2" xfId="1566"/>
    <cellStyle name="Normal 29 2 2 2" xfId="2903"/>
    <cellStyle name="Normal 29 2 2 2 2" xfId="3949"/>
    <cellStyle name="Normal 29 2 2 2 2 2" xfId="6074"/>
    <cellStyle name="Normal 29 2 2 2 2 2 2" xfId="10230"/>
    <cellStyle name="Normal 29 2 2 2 2 2 2 2" xfId="26827"/>
    <cellStyle name="Normal 29 2 2 2 2 2 2 3" xfId="18530"/>
    <cellStyle name="Normal 29 2 2 2 2 2 3" xfId="22687"/>
    <cellStyle name="Normal 29 2 2 2 2 2 4" xfId="14390"/>
    <cellStyle name="Normal 29 2 2 2 2 3" xfId="8158"/>
    <cellStyle name="Normal 29 2 2 2 2 3 2" xfId="24755"/>
    <cellStyle name="Normal 29 2 2 2 2 3 3" xfId="16458"/>
    <cellStyle name="Normal 29 2 2 2 2 4" xfId="20615"/>
    <cellStyle name="Normal 29 2 2 2 2 5" xfId="12318"/>
    <cellStyle name="Normal 29 2 2 2 3" xfId="5040"/>
    <cellStyle name="Normal 29 2 2 2 3 2" xfId="9196"/>
    <cellStyle name="Normal 29 2 2 2 3 2 2" xfId="25793"/>
    <cellStyle name="Normal 29 2 2 2 3 2 3" xfId="17496"/>
    <cellStyle name="Normal 29 2 2 2 3 3" xfId="21653"/>
    <cellStyle name="Normal 29 2 2 2 3 4" xfId="13356"/>
    <cellStyle name="Normal 29 2 2 2 4" xfId="7124"/>
    <cellStyle name="Normal 29 2 2 2 4 2" xfId="23721"/>
    <cellStyle name="Normal 29 2 2 2 4 3" xfId="15424"/>
    <cellStyle name="Normal 29 2 2 2 5" xfId="19581"/>
    <cellStyle name="Normal 29 2 2 2 6" xfId="11284"/>
    <cellStyle name="Normal 29 2 2 3" xfId="3431"/>
    <cellStyle name="Normal 29 2 2 3 2" xfId="5559"/>
    <cellStyle name="Normal 29 2 2 3 2 2" xfId="9715"/>
    <cellStyle name="Normal 29 2 2 3 2 2 2" xfId="26312"/>
    <cellStyle name="Normal 29 2 2 3 2 2 3" xfId="18015"/>
    <cellStyle name="Normal 29 2 2 3 2 3" xfId="22172"/>
    <cellStyle name="Normal 29 2 2 3 2 4" xfId="13875"/>
    <cellStyle name="Normal 29 2 2 3 3" xfId="7643"/>
    <cellStyle name="Normal 29 2 2 3 3 2" xfId="24240"/>
    <cellStyle name="Normal 29 2 2 3 3 3" xfId="15943"/>
    <cellStyle name="Normal 29 2 2 3 4" xfId="20100"/>
    <cellStyle name="Normal 29 2 2 3 5" xfId="11803"/>
    <cellStyle name="Normal 29 2 2 4" xfId="4511"/>
    <cellStyle name="Normal 29 2 2 4 2" xfId="8679"/>
    <cellStyle name="Normal 29 2 2 4 2 2" xfId="25276"/>
    <cellStyle name="Normal 29 2 2 4 2 3" xfId="16979"/>
    <cellStyle name="Normal 29 2 2 4 3" xfId="21136"/>
    <cellStyle name="Normal 29 2 2 4 4" xfId="12839"/>
    <cellStyle name="Normal 29 2 2 5" xfId="6602"/>
    <cellStyle name="Normal 29 2 2 5 2" xfId="23206"/>
    <cellStyle name="Normal 29 2 2 5 3" xfId="14909"/>
    <cellStyle name="Normal 29 2 2 6" xfId="19063"/>
    <cellStyle name="Normal 29 2 2 7" xfId="10766"/>
    <cellStyle name="Normal 29 2 3" xfId="2902"/>
    <cellStyle name="Normal 29 2 3 2" xfId="3948"/>
    <cellStyle name="Normal 29 2 3 2 2" xfId="6073"/>
    <cellStyle name="Normal 29 2 3 2 2 2" xfId="10229"/>
    <cellStyle name="Normal 29 2 3 2 2 2 2" xfId="26826"/>
    <cellStyle name="Normal 29 2 3 2 2 2 3" xfId="18529"/>
    <cellStyle name="Normal 29 2 3 2 2 3" xfId="22686"/>
    <cellStyle name="Normal 29 2 3 2 2 4" xfId="14389"/>
    <cellStyle name="Normal 29 2 3 2 3" xfId="8157"/>
    <cellStyle name="Normal 29 2 3 2 3 2" xfId="24754"/>
    <cellStyle name="Normal 29 2 3 2 3 3" xfId="16457"/>
    <cellStyle name="Normal 29 2 3 2 4" xfId="20614"/>
    <cellStyle name="Normal 29 2 3 2 5" xfId="12317"/>
    <cellStyle name="Normal 29 2 3 3" xfId="5039"/>
    <cellStyle name="Normal 29 2 3 3 2" xfId="9195"/>
    <cellStyle name="Normal 29 2 3 3 2 2" xfId="25792"/>
    <cellStyle name="Normal 29 2 3 3 2 3" xfId="17495"/>
    <cellStyle name="Normal 29 2 3 3 3" xfId="21652"/>
    <cellStyle name="Normal 29 2 3 3 4" xfId="13355"/>
    <cellStyle name="Normal 29 2 3 4" xfId="7123"/>
    <cellStyle name="Normal 29 2 3 4 2" xfId="23720"/>
    <cellStyle name="Normal 29 2 3 4 3" xfId="15423"/>
    <cellStyle name="Normal 29 2 3 5" xfId="19580"/>
    <cellStyle name="Normal 29 2 3 6" xfId="11283"/>
    <cellStyle name="Normal 29 2 4" xfId="3430"/>
    <cellStyle name="Normal 29 2 4 2" xfId="5558"/>
    <cellStyle name="Normal 29 2 4 2 2" xfId="9714"/>
    <cellStyle name="Normal 29 2 4 2 2 2" xfId="26311"/>
    <cellStyle name="Normal 29 2 4 2 2 3" xfId="18014"/>
    <cellStyle name="Normal 29 2 4 2 3" xfId="22171"/>
    <cellStyle name="Normal 29 2 4 2 4" xfId="13874"/>
    <cellStyle name="Normal 29 2 4 3" xfId="7642"/>
    <cellStyle name="Normal 29 2 4 3 2" xfId="24239"/>
    <cellStyle name="Normal 29 2 4 3 3" xfId="15942"/>
    <cellStyle name="Normal 29 2 4 4" xfId="20099"/>
    <cellStyle name="Normal 29 2 4 5" xfId="11802"/>
    <cellStyle name="Normal 29 2 5" xfId="4510"/>
    <cellStyle name="Normal 29 2 5 2" xfId="8678"/>
    <cellStyle name="Normal 29 2 5 2 2" xfId="25275"/>
    <cellStyle name="Normal 29 2 5 2 3" xfId="16978"/>
    <cellStyle name="Normal 29 2 5 3" xfId="21135"/>
    <cellStyle name="Normal 29 2 5 4" xfId="12838"/>
    <cellStyle name="Normal 29 2 6" xfId="6601"/>
    <cellStyle name="Normal 29 2 6 2" xfId="23205"/>
    <cellStyle name="Normal 29 2 6 3" xfId="14908"/>
    <cellStyle name="Normal 29 2 7" xfId="19062"/>
    <cellStyle name="Normal 29 2 8" xfId="10765"/>
    <cellStyle name="Normal 29 3" xfId="1567"/>
    <cellStyle name="Normal 29 3 2" xfId="1568"/>
    <cellStyle name="Normal 29 3 2 2" xfId="2905"/>
    <cellStyle name="Normal 29 3 2 2 2" xfId="3951"/>
    <cellStyle name="Normal 29 3 2 2 2 2" xfId="6076"/>
    <cellStyle name="Normal 29 3 2 2 2 2 2" xfId="10232"/>
    <cellStyle name="Normal 29 3 2 2 2 2 2 2" xfId="26829"/>
    <cellStyle name="Normal 29 3 2 2 2 2 2 3" xfId="18532"/>
    <cellStyle name="Normal 29 3 2 2 2 2 3" xfId="22689"/>
    <cellStyle name="Normal 29 3 2 2 2 2 4" xfId="14392"/>
    <cellStyle name="Normal 29 3 2 2 2 3" xfId="8160"/>
    <cellStyle name="Normal 29 3 2 2 2 3 2" xfId="24757"/>
    <cellStyle name="Normal 29 3 2 2 2 3 3" xfId="16460"/>
    <cellStyle name="Normal 29 3 2 2 2 4" xfId="20617"/>
    <cellStyle name="Normal 29 3 2 2 2 5" xfId="12320"/>
    <cellStyle name="Normal 29 3 2 2 3" xfId="5042"/>
    <cellStyle name="Normal 29 3 2 2 3 2" xfId="9198"/>
    <cellStyle name="Normal 29 3 2 2 3 2 2" xfId="25795"/>
    <cellStyle name="Normal 29 3 2 2 3 2 3" xfId="17498"/>
    <cellStyle name="Normal 29 3 2 2 3 3" xfId="21655"/>
    <cellStyle name="Normal 29 3 2 2 3 4" xfId="13358"/>
    <cellStyle name="Normal 29 3 2 2 4" xfId="7126"/>
    <cellStyle name="Normal 29 3 2 2 4 2" xfId="23723"/>
    <cellStyle name="Normal 29 3 2 2 4 3" xfId="15426"/>
    <cellStyle name="Normal 29 3 2 2 5" xfId="19583"/>
    <cellStyle name="Normal 29 3 2 2 6" xfId="11286"/>
    <cellStyle name="Normal 29 3 2 3" xfId="3433"/>
    <cellStyle name="Normal 29 3 2 3 2" xfId="5561"/>
    <cellStyle name="Normal 29 3 2 3 2 2" xfId="9717"/>
    <cellStyle name="Normal 29 3 2 3 2 2 2" xfId="26314"/>
    <cellStyle name="Normal 29 3 2 3 2 2 3" xfId="18017"/>
    <cellStyle name="Normal 29 3 2 3 2 3" xfId="22174"/>
    <cellStyle name="Normal 29 3 2 3 2 4" xfId="13877"/>
    <cellStyle name="Normal 29 3 2 3 3" xfId="7645"/>
    <cellStyle name="Normal 29 3 2 3 3 2" xfId="24242"/>
    <cellStyle name="Normal 29 3 2 3 3 3" xfId="15945"/>
    <cellStyle name="Normal 29 3 2 3 4" xfId="20102"/>
    <cellStyle name="Normal 29 3 2 3 5" xfId="11805"/>
    <cellStyle name="Normal 29 3 2 4" xfId="4513"/>
    <cellStyle name="Normal 29 3 2 4 2" xfId="8681"/>
    <cellStyle name="Normal 29 3 2 4 2 2" xfId="25278"/>
    <cellStyle name="Normal 29 3 2 4 2 3" xfId="16981"/>
    <cellStyle name="Normal 29 3 2 4 3" xfId="21138"/>
    <cellStyle name="Normal 29 3 2 4 4" xfId="12841"/>
    <cellStyle name="Normal 29 3 2 5" xfId="6604"/>
    <cellStyle name="Normal 29 3 2 5 2" xfId="23208"/>
    <cellStyle name="Normal 29 3 2 5 3" xfId="14911"/>
    <cellStyle name="Normal 29 3 2 6" xfId="19065"/>
    <cellStyle name="Normal 29 3 2 7" xfId="10768"/>
    <cellStyle name="Normal 29 3 3" xfId="2904"/>
    <cellStyle name="Normal 29 3 3 2" xfId="3950"/>
    <cellStyle name="Normal 29 3 3 2 2" xfId="6075"/>
    <cellStyle name="Normal 29 3 3 2 2 2" xfId="10231"/>
    <cellStyle name="Normal 29 3 3 2 2 2 2" xfId="26828"/>
    <cellStyle name="Normal 29 3 3 2 2 2 3" xfId="18531"/>
    <cellStyle name="Normal 29 3 3 2 2 3" xfId="22688"/>
    <cellStyle name="Normal 29 3 3 2 2 4" xfId="14391"/>
    <cellStyle name="Normal 29 3 3 2 3" xfId="8159"/>
    <cellStyle name="Normal 29 3 3 2 3 2" xfId="24756"/>
    <cellStyle name="Normal 29 3 3 2 3 3" xfId="16459"/>
    <cellStyle name="Normal 29 3 3 2 4" xfId="20616"/>
    <cellStyle name="Normal 29 3 3 2 5" xfId="12319"/>
    <cellStyle name="Normal 29 3 3 3" xfId="5041"/>
    <cellStyle name="Normal 29 3 3 3 2" xfId="9197"/>
    <cellStyle name="Normal 29 3 3 3 2 2" xfId="25794"/>
    <cellStyle name="Normal 29 3 3 3 2 3" xfId="17497"/>
    <cellStyle name="Normal 29 3 3 3 3" xfId="21654"/>
    <cellStyle name="Normal 29 3 3 3 4" xfId="13357"/>
    <cellStyle name="Normal 29 3 3 4" xfId="7125"/>
    <cellStyle name="Normal 29 3 3 4 2" xfId="23722"/>
    <cellStyle name="Normal 29 3 3 4 3" xfId="15425"/>
    <cellStyle name="Normal 29 3 3 5" xfId="19582"/>
    <cellStyle name="Normal 29 3 3 6" xfId="11285"/>
    <cellStyle name="Normal 29 3 4" xfId="3432"/>
    <cellStyle name="Normal 29 3 4 2" xfId="5560"/>
    <cellStyle name="Normal 29 3 4 2 2" xfId="9716"/>
    <cellStyle name="Normal 29 3 4 2 2 2" xfId="26313"/>
    <cellStyle name="Normal 29 3 4 2 2 3" xfId="18016"/>
    <cellStyle name="Normal 29 3 4 2 3" xfId="22173"/>
    <cellStyle name="Normal 29 3 4 2 4" xfId="13876"/>
    <cellStyle name="Normal 29 3 4 3" xfId="7644"/>
    <cellStyle name="Normal 29 3 4 3 2" xfId="24241"/>
    <cellStyle name="Normal 29 3 4 3 3" xfId="15944"/>
    <cellStyle name="Normal 29 3 4 4" xfId="20101"/>
    <cellStyle name="Normal 29 3 4 5" xfId="11804"/>
    <cellStyle name="Normal 29 3 5" xfId="4512"/>
    <cellStyle name="Normal 29 3 5 2" xfId="8680"/>
    <cellStyle name="Normal 29 3 5 2 2" xfId="25277"/>
    <cellStyle name="Normal 29 3 5 2 3" xfId="16980"/>
    <cellStyle name="Normal 29 3 5 3" xfId="21137"/>
    <cellStyle name="Normal 29 3 5 4" xfId="12840"/>
    <cellStyle name="Normal 29 3 6" xfId="6603"/>
    <cellStyle name="Normal 29 3 6 2" xfId="23207"/>
    <cellStyle name="Normal 29 3 6 3" xfId="14910"/>
    <cellStyle name="Normal 29 3 7" xfId="19064"/>
    <cellStyle name="Normal 29 3 8" xfId="10767"/>
    <cellStyle name="Normal 29 4" xfId="1569"/>
    <cellStyle name="Normal 29 4 2" xfId="2906"/>
    <cellStyle name="Normal 29 4 2 2" xfId="3952"/>
    <cellStyle name="Normal 29 4 2 2 2" xfId="6077"/>
    <cellStyle name="Normal 29 4 2 2 2 2" xfId="10233"/>
    <cellStyle name="Normal 29 4 2 2 2 2 2" xfId="26830"/>
    <cellStyle name="Normal 29 4 2 2 2 2 3" xfId="18533"/>
    <cellStyle name="Normal 29 4 2 2 2 3" xfId="22690"/>
    <cellStyle name="Normal 29 4 2 2 2 4" xfId="14393"/>
    <cellStyle name="Normal 29 4 2 2 3" xfId="8161"/>
    <cellStyle name="Normal 29 4 2 2 3 2" xfId="24758"/>
    <cellStyle name="Normal 29 4 2 2 3 3" xfId="16461"/>
    <cellStyle name="Normal 29 4 2 2 4" xfId="20618"/>
    <cellStyle name="Normal 29 4 2 2 5" xfId="12321"/>
    <cellStyle name="Normal 29 4 2 3" xfId="5043"/>
    <cellStyle name="Normal 29 4 2 3 2" xfId="9199"/>
    <cellStyle name="Normal 29 4 2 3 2 2" xfId="25796"/>
    <cellStyle name="Normal 29 4 2 3 2 3" xfId="17499"/>
    <cellStyle name="Normal 29 4 2 3 3" xfId="21656"/>
    <cellStyle name="Normal 29 4 2 3 4" xfId="13359"/>
    <cellStyle name="Normal 29 4 2 4" xfId="7127"/>
    <cellStyle name="Normal 29 4 2 4 2" xfId="23724"/>
    <cellStyle name="Normal 29 4 2 4 3" xfId="15427"/>
    <cellStyle name="Normal 29 4 2 5" xfId="19584"/>
    <cellStyle name="Normal 29 4 2 6" xfId="11287"/>
    <cellStyle name="Normal 29 4 3" xfId="3434"/>
    <cellStyle name="Normal 29 4 3 2" xfId="5562"/>
    <cellStyle name="Normal 29 4 3 2 2" xfId="9718"/>
    <cellStyle name="Normal 29 4 3 2 2 2" xfId="26315"/>
    <cellStyle name="Normal 29 4 3 2 2 3" xfId="18018"/>
    <cellStyle name="Normal 29 4 3 2 3" xfId="22175"/>
    <cellStyle name="Normal 29 4 3 2 4" xfId="13878"/>
    <cellStyle name="Normal 29 4 3 3" xfId="7646"/>
    <cellStyle name="Normal 29 4 3 3 2" xfId="24243"/>
    <cellStyle name="Normal 29 4 3 3 3" xfId="15946"/>
    <cellStyle name="Normal 29 4 3 4" xfId="20103"/>
    <cellStyle name="Normal 29 4 3 5" xfId="11806"/>
    <cellStyle name="Normal 29 4 4" xfId="4514"/>
    <cellStyle name="Normal 29 4 4 2" xfId="8682"/>
    <cellStyle name="Normal 29 4 4 2 2" xfId="25279"/>
    <cellStyle name="Normal 29 4 4 2 3" xfId="16982"/>
    <cellStyle name="Normal 29 4 4 3" xfId="21139"/>
    <cellStyle name="Normal 29 4 4 4" xfId="12842"/>
    <cellStyle name="Normal 29 4 5" xfId="6605"/>
    <cellStyle name="Normal 29 4 5 2" xfId="23209"/>
    <cellStyle name="Normal 29 4 5 3" xfId="14912"/>
    <cellStyle name="Normal 29 4 6" xfId="19066"/>
    <cellStyle name="Normal 29 4 7" xfId="10769"/>
    <cellStyle name="Normal 29 5" xfId="2901"/>
    <cellStyle name="Normal 29 5 2" xfId="3947"/>
    <cellStyle name="Normal 29 5 2 2" xfId="6072"/>
    <cellStyle name="Normal 29 5 2 2 2" xfId="10228"/>
    <cellStyle name="Normal 29 5 2 2 2 2" xfId="26825"/>
    <cellStyle name="Normal 29 5 2 2 2 3" xfId="18528"/>
    <cellStyle name="Normal 29 5 2 2 3" xfId="22685"/>
    <cellStyle name="Normal 29 5 2 2 4" xfId="14388"/>
    <cellStyle name="Normal 29 5 2 3" xfId="8156"/>
    <cellStyle name="Normal 29 5 2 3 2" xfId="24753"/>
    <cellStyle name="Normal 29 5 2 3 3" xfId="16456"/>
    <cellStyle name="Normal 29 5 2 4" xfId="20613"/>
    <cellStyle name="Normal 29 5 2 5" xfId="12316"/>
    <cellStyle name="Normal 29 5 3" xfId="5038"/>
    <cellStyle name="Normal 29 5 3 2" xfId="9194"/>
    <cellStyle name="Normal 29 5 3 2 2" xfId="25791"/>
    <cellStyle name="Normal 29 5 3 2 3" xfId="17494"/>
    <cellStyle name="Normal 29 5 3 3" xfId="21651"/>
    <cellStyle name="Normal 29 5 3 4" xfId="13354"/>
    <cellStyle name="Normal 29 5 4" xfId="7122"/>
    <cellStyle name="Normal 29 5 4 2" xfId="23719"/>
    <cellStyle name="Normal 29 5 4 3" xfId="15422"/>
    <cellStyle name="Normal 29 5 5" xfId="19579"/>
    <cellStyle name="Normal 29 5 6" xfId="11282"/>
    <cellStyle name="Normal 29 6" xfId="3429"/>
    <cellStyle name="Normal 29 6 2" xfId="5557"/>
    <cellStyle name="Normal 29 6 2 2" xfId="9713"/>
    <cellStyle name="Normal 29 6 2 2 2" xfId="26310"/>
    <cellStyle name="Normal 29 6 2 2 3" xfId="18013"/>
    <cellStyle name="Normal 29 6 2 3" xfId="22170"/>
    <cellStyle name="Normal 29 6 2 4" xfId="13873"/>
    <cellStyle name="Normal 29 6 3" xfId="7641"/>
    <cellStyle name="Normal 29 6 3 2" xfId="24238"/>
    <cellStyle name="Normal 29 6 3 3" xfId="15941"/>
    <cellStyle name="Normal 29 6 4" xfId="20098"/>
    <cellStyle name="Normal 29 6 5" xfId="11801"/>
    <cellStyle name="Normal 29 7" xfId="4509"/>
    <cellStyle name="Normal 29 7 2" xfId="8677"/>
    <cellStyle name="Normal 29 7 2 2" xfId="25274"/>
    <cellStyle name="Normal 29 7 2 3" xfId="16977"/>
    <cellStyle name="Normal 29 7 3" xfId="21134"/>
    <cellStyle name="Normal 29 7 4" xfId="12837"/>
    <cellStyle name="Normal 29 8" xfId="6600"/>
    <cellStyle name="Normal 29 8 2" xfId="23204"/>
    <cellStyle name="Normal 29 8 3" xfId="14907"/>
    <cellStyle name="Normal 29 9" xfId="19061"/>
    <cellStyle name="Normal 3" xfId="1570"/>
    <cellStyle name="Normal 3 10" xfId="10770"/>
    <cellStyle name="Normal 3 2" xfId="1571"/>
    <cellStyle name="Normal 3 2 10" xfId="10771"/>
    <cellStyle name="Normal 3 2 2" xfId="1572"/>
    <cellStyle name="Normal 3 2 2 2" xfId="1573"/>
    <cellStyle name="Normal 3 2 2 2 2" xfId="2910"/>
    <cellStyle name="Normal 3 2 2 2 2 2" xfId="3956"/>
    <cellStyle name="Normal 3 2 2 2 2 2 2" xfId="6081"/>
    <cellStyle name="Normal 3 2 2 2 2 2 2 2" xfId="10237"/>
    <cellStyle name="Normal 3 2 2 2 2 2 2 2 2" xfId="26834"/>
    <cellStyle name="Normal 3 2 2 2 2 2 2 2 3" xfId="18537"/>
    <cellStyle name="Normal 3 2 2 2 2 2 2 3" xfId="22694"/>
    <cellStyle name="Normal 3 2 2 2 2 2 2 4" xfId="14397"/>
    <cellStyle name="Normal 3 2 2 2 2 2 3" xfId="8165"/>
    <cellStyle name="Normal 3 2 2 2 2 2 3 2" xfId="24762"/>
    <cellStyle name="Normal 3 2 2 2 2 2 3 3" xfId="16465"/>
    <cellStyle name="Normal 3 2 2 2 2 2 4" xfId="20622"/>
    <cellStyle name="Normal 3 2 2 2 2 2 5" xfId="12325"/>
    <cellStyle name="Normal 3 2 2 2 2 3" xfId="5047"/>
    <cellStyle name="Normal 3 2 2 2 2 3 2" xfId="9203"/>
    <cellStyle name="Normal 3 2 2 2 2 3 2 2" xfId="25800"/>
    <cellStyle name="Normal 3 2 2 2 2 3 2 3" xfId="17503"/>
    <cellStyle name="Normal 3 2 2 2 2 3 3" xfId="21660"/>
    <cellStyle name="Normal 3 2 2 2 2 3 4" xfId="13363"/>
    <cellStyle name="Normal 3 2 2 2 2 4" xfId="7131"/>
    <cellStyle name="Normal 3 2 2 2 2 4 2" xfId="23728"/>
    <cellStyle name="Normal 3 2 2 2 2 4 3" xfId="15431"/>
    <cellStyle name="Normal 3 2 2 2 2 5" xfId="19588"/>
    <cellStyle name="Normal 3 2 2 2 2 6" xfId="11291"/>
    <cellStyle name="Normal 3 2 2 2 3" xfId="3438"/>
    <cellStyle name="Normal 3 2 2 2 3 2" xfId="5566"/>
    <cellStyle name="Normal 3 2 2 2 3 2 2" xfId="9722"/>
    <cellStyle name="Normal 3 2 2 2 3 2 2 2" xfId="26319"/>
    <cellStyle name="Normal 3 2 2 2 3 2 2 3" xfId="18022"/>
    <cellStyle name="Normal 3 2 2 2 3 2 3" xfId="22179"/>
    <cellStyle name="Normal 3 2 2 2 3 2 4" xfId="13882"/>
    <cellStyle name="Normal 3 2 2 2 3 3" xfId="7650"/>
    <cellStyle name="Normal 3 2 2 2 3 3 2" xfId="24247"/>
    <cellStyle name="Normal 3 2 2 2 3 3 3" xfId="15950"/>
    <cellStyle name="Normal 3 2 2 2 3 4" xfId="20107"/>
    <cellStyle name="Normal 3 2 2 2 3 5" xfId="11810"/>
    <cellStyle name="Normal 3 2 2 2 4" xfId="4518"/>
    <cellStyle name="Normal 3 2 2 2 4 2" xfId="8686"/>
    <cellStyle name="Normal 3 2 2 2 4 2 2" xfId="25283"/>
    <cellStyle name="Normal 3 2 2 2 4 2 3" xfId="16986"/>
    <cellStyle name="Normal 3 2 2 2 4 3" xfId="21143"/>
    <cellStyle name="Normal 3 2 2 2 4 4" xfId="12846"/>
    <cellStyle name="Normal 3 2 2 2 5" xfId="6609"/>
    <cellStyle name="Normal 3 2 2 2 5 2" xfId="23213"/>
    <cellStyle name="Normal 3 2 2 2 5 3" xfId="14916"/>
    <cellStyle name="Normal 3 2 2 2 6" xfId="19070"/>
    <cellStyle name="Normal 3 2 2 2 7" xfId="10773"/>
    <cellStyle name="Normal 3 2 2 3" xfId="2909"/>
    <cellStyle name="Normal 3 2 2 3 2" xfId="3955"/>
    <cellStyle name="Normal 3 2 2 3 2 2" xfId="6080"/>
    <cellStyle name="Normal 3 2 2 3 2 2 2" xfId="10236"/>
    <cellStyle name="Normal 3 2 2 3 2 2 2 2" xfId="26833"/>
    <cellStyle name="Normal 3 2 2 3 2 2 2 3" xfId="18536"/>
    <cellStyle name="Normal 3 2 2 3 2 2 3" xfId="22693"/>
    <cellStyle name="Normal 3 2 2 3 2 2 4" xfId="14396"/>
    <cellStyle name="Normal 3 2 2 3 2 3" xfId="8164"/>
    <cellStyle name="Normal 3 2 2 3 2 3 2" xfId="24761"/>
    <cellStyle name="Normal 3 2 2 3 2 3 3" xfId="16464"/>
    <cellStyle name="Normal 3 2 2 3 2 4" xfId="20621"/>
    <cellStyle name="Normal 3 2 2 3 2 5" xfId="12324"/>
    <cellStyle name="Normal 3 2 2 3 3" xfId="5046"/>
    <cellStyle name="Normal 3 2 2 3 3 2" xfId="9202"/>
    <cellStyle name="Normal 3 2 2 3 3 2 2" xfId="25799"/>
    <cellStyle name="Normal 3 2 2 3 3 2 3" xfId="17502"/>
    <cellStyle name="Normal 3 2 2 3 3 3" xfId="21659"/>
    <cellStyle name="Normal 3 2 2 3 3 4" xfId="13362"/>
    <cellStyle name="Normal 3 2 2 3 4" xfId="7130"/>
    <cellStyle name="Normal 3 2 2 3 4 2" xfId="23727"/>
    <cellStyle name="Normal 3 2 2 3 4 3" xfId="15430"/>
    <cellStyle name="Normal 3 2 2 3 5" xfId="19587"/>
    <cellStyle name="Normal 3 2 2 3 6" xfId="11290"/>
    <cellStyle name="Normal 3 2 2 4" xfId="3437"/>
    <cellStyle name="Normal 3 2 2 4 2" xfId="5565"/>
    <cellStyle name="Normal 3 2 2 4 2 2" xfId="9721"/>
    <cellStyle name="Normal 3 2 2 4 2 2 2" xfId="26318"/>
    <cellStyle name="Normal 3 2 2 4 2 2 3" xfId="18021"/>
    <cellStyle name="Normal 3 2 2 4 2 3" xfId="22178"/>
    <cellStyle name="Normal 3 2 2 4 2 4" xfId="13881"/>
    <cellStyle name="Normal 3 2 2 4 3" xfId="7649"/>
    <cellStyle name="Normal 3 2 2 4 3 2" xfId="24246"/>
    <cellStyle name="Normal 3 2 2 4 3 3" xfId="15949"/>
    <cellStyle name="Normal 3 2 2 4 4" xfId="20106"/>
    <cellStyle name="Normal 3 2 2 4 5" xfId="11809"/>
    <cellStyle name="Normal 3 2 2 5" xfId="4517"/>
    <cellStyle name="Normal 3 2 2 5 2" xfId="8685"/>
    <cellStyle name="Normal 3 2 2 5 2 2" xfId="25282"/>
    <cellStyle name="Normal 3 2 2 5 2 3" xfId="16985"/>
    <cellStyle name="Normal 3 2 2 5 3" xfId="21142"/>
    <cellStyle name="Normal 3 2 2 5 4" xfId="12845"/>
    <cellStyle name="Normal 3 2 2 6" xfId="6608"/>
    <cellStyle name="Normal 3 2 2 6 2" xfId="23212"/>
    <cellStyle name="Normal 3 2 2 6 3" xfId="14915"/>
    <cellStyle name="Normal 3 2 2 7" xfId="19069"/>
    <cellStyle name="Normal 3 2 2 8" xfId="10772"/>
    <cellStyle name="Normal 3 2 3" xfId="1574"/>
    <cellStyle name="Normal 3 2 3 2" xfId="2911"/>
    <cellStyle name="Normal 3 2 3 2 2" xfId="3957"/>
    <cellStyle name="Normal 3 2 3 2 2 2" xfId="6082"/>
    <cellStyle name="Normal 3 2 3 2 2 2 2" xfId="10238"/>
    <cellStyle name="Normal 3 2 3 2 2 2 2 2" xfId="26835"/>
    <cellStyle name="Normal 3 2 3 2 2 2 2 3" xfId="18538"/>
    <cellStyle name="Normal 3 2 3 2 2 2 3" xfId="22695"/>
    <cellStyle name="Normal 3 2 3 2 2 2 4" xfId="14398"/>
    <cellStyle name="Normal 3 2 3 2 2 3" xfId="8166"/>
    <cellStyle name="Normal 3 2 3 2 2 3 2" xfId="24763"/>
    <cellStyle name="Normal 3 2 3 2 2 3 3" xfId="16466"/>
    <cellStyle name="Normal 3 2 3 2 2 4" xfId="20623"/>
    <cellStyle name="Normal 3 2 3 2 2 5" xfId="12326"/>
    <cellStyle name="Normal 3 2 3 2 3" xfId="5048"/>
    <cellStyle name="Normal 3 2 3 2 3 2" xfId="9204"/>
    <cellStyle name="Normal 3 2 3 2 3 2 2" xfId="25801"/>
    <cellStyle name="Normal 3 2 3 2 3 2 3" xfId="17504"/>
    <cellStyle name="Normal 3 2 3 2 3 3" xfId="21661"/>
    <cellStyle name="Normal 3 2 3 2 3 4" xfId="13364"/>
    <cellStyle name="Normal 3 2 3 2 4" xfId="7132"/>
    <cellStyle name="Normal 3 2 3 2 4 2" xfId="23729"/>
    <cellStyle name="Normal 3 2 3 2 4 3" xfId="15432"/>
    <cellStyle name="Normal 3 2 3 2 5" xfId="19589"/>
    <cellStyle name="Normal 3 2 3 2 6" xfId="11292"/>
    <cellStyle name="Normal 3 2 3 3" xfId="3439"/>
    <cellStyle name="Normal 3 2 3 3 2" xfId="5567"/>
    <cellStyle name="Normal 3 2 3 3 2 2" xfId="9723"/>
    <cellStyle name="Normal 3 2 3 3 2 2 2" xfId="26320"/>
    <cellStyle name="Normal 3 2 3 3 2 2 3" xfId="18023"/>
    <cellStyle name="Normal 3 2 3 3 2 3" xfId="22180"/>
    <cellStyle name="Normal 3 2 3 3 2 4" xfId="13883"/>
    <cellStyle name="Normal 3 2 3 3 3" xfId="7651"/>
    <cellStyle name="Normal 3 2 3 3 3 2" xfId="24248"/>
    <cellStyle name="Normal 3 2 3 3 3 3" xfId="15951"/>
    <cellStyle name="Normal 3 2 3 3 4" xfId="20108"/>
    <cellStyle name="Normal 3 2 3 3 5" xfId="11811"/>
    <cellStyle name="Normal 3 2 3 4" xfId="4519"/>
    <cellStyle name="Normal 3 2 3 4 2" xfId="8687"/>
    <cellStyle name="Normal 3 2 3 4 2 2" xfId="25284"/>
    <cellStyle name="Normal 3 2 3 4 2 3" xfId="16987"/>
    <cellStyle name="Normal 3 2 3 4 3" xfId="21144"/>
    <cellStyle name="Normal 3 2 3 4 4" xfId="12847"/>
    <cellStyle name="Normal 3 2 3 5" xfId="6610"/>
    <cellStyle name="Normal 3 2 3 5 2" xfId="23214"/>
    <cellStyle name="Normal 3 2 3 5 3" xfId="14917"/>
    <cellStyle name="Normal 3 2 3 6" xfId="19071"/>
    <cellStyle name="Normal 3 2 3 7" xfId="10774"/>
    <cellStyle name="Normal 3 2 4" xfId="1575"/>
    <cellStyle name="Normal 3 2 4 2" xfId="2912"/>
    <cellStyle name="Normal 3 2 4 2 2" xfId="3958"/>
    <cellStyle name="Normal 3 2 4 2 2 2" xfId="6083"/>
    <cellStyle name="Normal 3 2 4 2 2 2 2" xfId="10239"/>
    <cellStyle name="Normal 3 2 4 2 2 2 2 2" xfId="26836"/>
    <cellStyle name="Normal 3 2 4 2 2 2 2 3" xfId="18539"/>
    <cellStyle name="Normal 3 2 4 2 2 2 3" xfId="22696"/>
    <cellStyle name="Normal 3 2 4 2 2 2 4" xfId="14399"/>
    <cellStyle name="Normal 3 2 4 2 2 3" xfId="8167"/>
    <cellStyle name="Normal 3 2 4 2 2 3 2" xfId="24764"/>
    <cellStyle name="Normal 3 2 4 2 2 3 3" xfId="16467"/>
    <cellStyle name="Normal 3 2 4 2 2 4" xfId="20624"/>
    <cellStyle name="Normal 3 2 4 2 2 5" xfId="12327"/>
    <cellStyle name="Normal 3 2 4 2 3" xfId="5049"/>
    <cellStyle name="Normal 3 2 4 2 3 2" xfId="9205"/>
    <cellStyle name="Normal 3 2 4 2 3 2 2" xfId="25802"/>
    <cellStyle name="Normal 3 2 4 2 3 2 3" xfId="17505"/>
    <cellStyle name="Normal 3 2 4 2 3 3" xfId="21662"/>
    <cellStyle name="Normal 3 2 4 2 3 4" xfId="13365"/>
    <cellStyle name="Normal 3 2 4 2 4" xfId="7133"/>
    <cellStyle name="Normal 3 2 4 2 4 2" xfId="23730"/>
    <cellStyle name="Normal 3 2 4 2 4 3" xfId="15433"/>
    <cellStyle name="Normal 3 2 4 2 5" xfId="19590"/>
    <cellStyle name="Normal 3 2 4 2 6" xfId="11293"/>
    <cellStyle name="Normal 3 2 4 3" xfId="3440"/>
    <cellStyle name="Normal 3 2 4 3 2" xfId="5568"/>
    <cellStyle name="Normal 3 2 4 3 2 2" xfId="9724"/>
    <cellStyle name="Normal 3 2 4 3 2 2 2" xfId="26321"/>
    <cellStyle name="Normal 3 2 4 3 2 2 3" xfId="18024"/>
    <cellStyle name="Normal 3 2 4 3 2 3" xfId="22181"/>
    <cellStyle name="Normal 3 2 4 3 2 4" xfId="13884"/>
    <cellStyle name="Normal 3 2 4 3 3" xfId="7652"/>
    <cellStyle name="Normal 3 2 4 3 3 2" xfId="24249"/>
    <cellStyle name="Normal 3 2 4 3 3 3" xfId="15952"/>
    <cellStyle name="Normal 3 2 4 3 4" xfId="20109"/>
    <cellStyle name="Normal 3 2 4 3 5" xfId="11812"/>
    <cellStyle name="Normal 3 2 4 4" xfId="4520"/>
    <cellStyle name="Normal 3 2 4 4 2" xfId="8688"/>
    <cellStyle name="Normal 3 2 4 4 2 2" xfId="25285"/>
    <cellStyle name="Normal 3 2 4 4 2 3" xfId="16988"/>
    <cellStyle name="Normal 3 2 4 4 3" xfId="21145"/>
    <cellStyle name="Normal 3 2 4 4 4" xfId="12848"/>
    <cellStyle name="Normal 3 2 4 5" xfId="6611"/>
    <cellStyle name="Normal 3 2 4 5 2" xfId="23215"/>
    <cellStyle name="Normal 3 2 4 5 3" xfId="14918"/>
    <cellStyle name="Normal 3 2 4 6" xfId="19072"/>
    <cellStyle name="Normal 3 2 4 7" xfId="10775"/>
    <cellStyle name="Normal 3 2 5" xfId="2908"/>
    <cellStyle name="Normal 3 2 5 2" xfId="3954"/>
    <cellStyle name="Normal 3 2 5 2 2" xfId="6079"/>
    <cellStyle name="Normal 3 2 5 2 2 2" xfId="10235"/>
    <cellStyle name="Normal 3 2 5 2 2 2 2" xfId="26832"/>
    <cellStyle name="Normal 3 2 5 2 2 2 3" xfId="18535"/>
    <cellStyle name="Normal 3 2 5 2 2 3" xfId="22692"/>
    <cellStyle name="Normal 3 2 5 2 2 4" xfId="14395"/>
    <cellStyle name="Normal 3 2 5 2 3" xfId="8163"/>
    <cellStyle name="Normal 3 2 5 2 3 2" xfId="24760"/>
    <cellStyle name="Normal 3 2 5 2 3 3" xfId="16463"/>
    <cellStyle name="Normal 3 2 5 2 4" xfId="20620"/>
    <cellStyle name="Normal 3 2 5 2 5" xfId="12323"/>
    <cellStyle name="Normal 3 2 5 3" xfId="5045"/>
    <cellStyle name="Normal 3 2 5 3 2" xfId="9201"/>
    <cellStyle name="Normal 3 2 5 3 2 2" xfId="25798"/>
    <cellStyle name="Normal 3 2 5 3 2 3" xfId="17501"/>
    <cellStyle name="Normal 3 2 5 3 3" xfId="21658"/>
    <cellStyle name="Normal 3 2 5 3 4" xfId="13361"/>
    <cellStyle name="Normal 3 2 5 4" xfId="7129"/>
    <cellStyle name="Normal 3 2 5 4 2" xfId="23726"/>
    <cellStyle name="Normal 3 2 5 4 3" xfId="15429"/>
    <cellStyle name="Normal 3 2 5 5" xfId="19586"/>
    <cellStyle name="Normal 3 2 5 6" xfId="11289"/>
    <cellStyle name="Normal 3 2 6" xfId="3436"/>
    <cellStyle name="Normal 3 2 6 2" xfId="5564"/>
    <cellStyle name="Normal 3 2 6 2 2" xfId="9720"/>
    <cellStyle name="Normal 3 2 6 2 2 2" xfId="26317"/>
    <cellStyle name="Normal 3 2 6 2 2 3" xfId="18020"/>
    <cellStyle name="Normal 3 2 6 2 3" xfId="22177"/>
    <cellStyle name="Normal 3 2 6 2 4" xfId="13880"/>
    <cellStyle name="Normal 3 2 6 3" xfId="7648"/>
    <cellStyle name="Normal 3 2 6 3 2" xfId="24245"/>
    <cellStyle name="Normal 3 2 6 3 3" xfId="15948"/>
    <cellStyle name="Normal 3 2 6 4" xfId="20105"/>
    <cellStyle name="Normal 3 2 6 5" xfId="11808"/>
    <cellStyle name="Normal 3 2 7" xfId="4516"/>
    <cellStyle name="Normal 3 2 7 2" xfId="8684"/>
    <cellStyle name="Normal 3 2 7 2 2" xfId="25281"/>
    <cellStyle name="Normal 3 2 7 2 3" xfId="16984"/>
    <cellStyle name="Normal 3 2 7 3" xfId="21141"/>
    <cellStyle name="Normal 3 2 7 4" xfId="12844"/>
    <cellStyle name="Normal 3 2 8" xfId="6607"/>
    <cellStyle name="Normal 3 2 8 2" xfId="23211"/>
    <cellStyle name="Normal 3 2 8 3" xfId="14914"/>
    <cellStyle name="Normal 3 2 9" xfId="19068"/>
    <cellStyle name="Normal 3 3" xfId="1576"/>
    <cellStyle name="Normal 3 3 2" xfId="1577"/>
    <cellStyle name="Normal 3 3 2 2" xfId="2914"/>
    <cellStyle name="Normal 3 3 2 2 2" xfId="3960"/>
    <cellStyle name="Normal 3 3 2 2 2 2" xfId="6085"/>
    <cellStyle name="Normal 3 3 2 2 2 2 2" xfId="10241"/>
    <cellStyle name="Normal 3 3 2 2 2 2 2 2" xfId="26838"/>
    <cellStyle name="Normal 3 3 2 2 2 2 2 3" xfId="18541"/>
    <cellStyle name="Normal 3 3 2 2 2 2 3" xfId="22698"/>
    <cellStyle name="Normal 3 3 2 2 2 2 4" xfId="14401"/>
    <cellStyle name="Normal 3 3 2 2 2 3" xfId="8169"/>
    <cellStyle name="Normal 3 3 2 2 2 3 2" xfId="24766"/>
    <cellStyle name="Normal 3 3 2 2 2 3 3" xfId="16469"/>
    <cellStyle name="Normal 3 3 2 2 2 4" xfId="20626"/>
    <cellStyle name="Normal 3 3 2 2 2 5" xfId="12329"/>
    <cellStyle name="Normal 3 3 2 2 3" xfId="5051"/>
    <cellStyle name="Normal 3 3 2 2 3 2" xfId="9207"/>
    <cellStyle name="Normal 3 3 2 2 3 2 2" xfId="25804"/>
    <cellStyle name="Normal 3 3 2 2 3 2 3" xfId="17507"/>
    <cellStyle name="Normal 3 3 2 2 3 3" xfId="21664"/>
    <cellStyle name="Normal 3 3 2 2 3 4" xfId="13367"/>
    <cellStyle name="Normal 3 3 2 2 4" xfId="7135"/>
    <cellStyle name="Normal 3 3 2 2 4 2" xfId="23732"/>
    <cellStyle name="Normal 3 3 2 2 4 3" xfId="15435"/>
    <cellStyle name="Normal 3 3 2 2 5" xfId="19592"/>
    <cellStyle name="Normal 3 3 2 2 6" xfId="11295"/>
    <cellStyle name="Normal 3 3 2 3" xfId="3442"/>
    <cellStyle name="Normal 3 3 2 3 2" xfId="5570"/>
    <cellStyle name="Normal 3 3 2 3 2 2" xfId="9726"/>
    <cellStyle name="Normal 3 3 2 3 2 2 2" xfId="26323"/>
    <cellStyle name="Normal 3 3 2 3 2 2 3" xfId="18026"/>
    <cellStyle name="Normal 3 3 2 3 2 3" xfId="22183"/>
    <cellStyle name="Normal 3 3 2 3 2 4" xfId="13886"/>
    <cellStyle name="Normal 3 3 2 3 3" xfId="7654"/>
    <cellStyle name="Normal 3 3 2 3 3 2" xfId="24251"/>
    <cellStyle name="Normal 3 3 2 3 3 3" xfId="15954"/>
    <cellStyle name="Normal 3 3 2 3 4" xfId="20111"/>
    <cellStyle name="Normal 3 3 2 3 5" xfId="11814"/>
    <cellStyle name="Normal 3 3 2 4" xfId="4522"/>
    <cellStyle name="Normal 3 3 2 4 2" xfId="8690"/>
    <cellStyle name="Normal 3 3 2 4 2 2" xfId="25287"/>
    <cellStyle name="Normal 3 3 2 4 2 3" xfId="16990"/>
    <cellStyle name="Normal 3 3 2 4 3" xfId="21147"/>
    <cellStyle name="Normal 3 3 2 4 4" xfId="12850"/>
    <cellStyle name="Normal 3 3 2 5" xfId="6613"/>
    <cellStyle name="Normal 3 3 2 5 2" xfId="23217"/>
    <cellStyle name="Normal 3 3 2 5 3" xfId="14920"/>
    <cellStyle name="Normal 3 3 2 6" xfId="19074"/>
    <cellStyle name="Normal 3 3 2 7" xfId="10777"/>
    <cellStyle name="Normal 3 3 3" xfId="2913"/>
    <cellStyle name="Normal 3 3 3 2" xfId="3959"/>
    <cellStyle name="Normal 3 3 3 2 2" xfId="6084"/>
    <cellStyle name="Normal 3 3 3 2 2 2" xfId="10240"/>
    <cellStyle name="Normal 3 3 3 2 2 2 2" xfId="26837"/>
    <cellStyle name="Normal 3 3 3 2 2 2 3" xfId="18540"/>
    <cellStyle name="Normal 3 3 3 2 2 3" xfId="22697"/>
    <cellStyle name="Normal 3 3 3 2 2 4" xfId="14400"/>
    <cellStyle name="Normal 3 3 3 2 3" xfId="8168"/>
    <cellStyle name="Normal 3 3 3 2 3 2" xfId="24765"/>
    <cellStyle name="Normal 3 3 3 2 3 3" xfId="16468"/>
    <cellStyle name="Normal 3 3 3 2 4" xfId="20625"/>
    <cellStyle name="Normal 3 3 3 2 5" xfId="12328"/>
    <cellStyle name="Normal 3 3 3 3" xfId="5050"/>
    <cellStyle name="Normal 3 3 3 3 2" xfId="9206"/>
    <cellStyle name="Normal 3 3 3 3 2 2" xfId="25803"/>
    <cellStyle name="Normal 3 3 3 3 2 3" xfId="17506"/>
    <cellStyle name="Normal 3 3 3 3 3" xfId="21663"/>
    <cellStyle name="Normal 3 3 3 3 4" xfId="13366"/>
    <cellStyle name="Normal 3 3 3 4" xfId="7134"/>
    <cellStyle name="Normal 3 3 3 4 2" xfId="23731"/>
    <cellStyle name="Normal 3 3 3 4 3" xfId="15434"/>
    <cellStyle name="Normal 3 3 3 5" xfId="19591"/>
    <cellStyle name="Normal 3 3 3 6" xfId="11294"/>
    <cellStyle name="Normal 3 3 4" xfId="3441"/>
    <cellStyle name="Normal 3 3 4 2" xfId="5569"/>
    <cellStyle name="Normal 3 3 4 2 2" xfId="9725"/>
    <cellStyle name="Normal 3 3 4 2 2 2" xfId="26322"/>
    <cellStyle name="Normal 3 3 4 2 2 3" xfId="18025"/>
    <cellStyle name="Normal 3 3 4 2 3" xfId="22182"/>
    <cellStyle name="Normal 3 3 4 2 4" xfId="13885"/>
    <cellStyle name="Normal 3 3 4 3" xfId="7653"/>
    <cellStyle name="Normal 3 3 4 3 2" xfId="24250"/>
    <cellStyle name="Normal 3 3 4 3 3" xfId="15953"/>
    <cellStyle name="Normal 3 3 4 4" xfId="20110"/>
    <cellStyle name="Normal 3 3 4 5" xfId="11813"/>
    <cellStyle name="Normal 3 3 5" xfId="4521"/>
    <cellStyle name="Normal 3 3 5 2" xfId="8689"/>
    <cellStyle name="Normal 3 3 5 2 2" xfId="25286"/>
    <cellStyle name="Normal 3 3 5 2 3" xfId="16989"/>
    <cellStyle name="Normal 3 3 5 3" xfId="21146"/>
    <cellStyle name="Normal 3 3 5 4" xfId="12849"/>
    <cellStyle name="Normal 3 3 6" xfId="6612"/>
    <cellStyle name="Normal 3 3 6 2" xfId="23216"/>
    <cellStyle name="Normal 3 3 6 3" xfId="14919"/>
    <cellStyle name="Normal 3 3 7" xfId="19073"/>
    <cellStyle name="Normal 3 3 8" xfId="10776"/>
    <cellStyle name="Normal 3 4" xfId="1578"/>
    <cellStyle name="Normal 3 4 2" xfId="1579"/>
    <cellStyle name="Normal 3 5" xfId="2907"/>
    <cellStyle name="Normal 3 5 2" xfId="3953"/>
    <cellStyle name="Normal 3 5 2 2" xfId="6078"/>
    <cellStyle name="Normal 3 5 2 2 2" xfId="10234"/>
    <cellStyle name="Normal 3 5 2 2 2 2" xfId="26831"/>
    <cellStyle name="Normal 3 5 2 2 2 3" xfId="18534"/>
    <cellStyle name="Normal 3 5 2 2 3" xfId="22691"/>
    <cellStyle name="Normal 3 5 2 2 4" xfId="14394"/>
    <cellStyle name="Normal 3 5 2 3" xfId="8162"/>
    <cellStyle name="Normal 3 5 2 3 2" xfId="24759"/>
    <cellStyle name="Normal 3 5 2 3 3" xfId="16462"/>
    <cellStyle name="Normal 3 5 2 4" xfId="20619"/>
    <cellStyle name="Normal 3 5 2 5" xfId="12322"/>
    <cellStyle name="Normal 3 5 3" xfId="5044"/>
    <cellStyle name="Normal 3 5 3 2" xfId="9200"/>
    <cellStyle name="Normal 3 5 3 2 2" xfId="25797"/>
    <cellStyle name="Normal 3 5 3 2 3" xfId="17500"/>
    <cellStyle name="Normal 3 5 3 3" xfId="21657"/>
    <cellStyle name="Normal 3 5 3 4" xfId="13360"/>
    <cellStyle name="Normal 3 5 4" xfId="7128"/>
    <cellStyle name="Normal 3 5 4 2" xfId="23725"/>
    <cellStyle name="Normal 3 5 4 3" xfId="15428"/>
    <cellStyle name="Normal 3 5 5" xfId="19585"/>
    <cellStyle name="Normal 3 5 6" xfId="11288"/>
    <cellStyle name="Normal 3 6" xfId="3435"/>
    <cellStyle name="Normal 3 6 2" xfId="5563"/>
    <cellStyle name="Normal 3 6 2 2" xfId="9719"/>
    <cellStyle name="Normal 3 6 2 2 2" xfId="26316"/>
    <cellStyle name="Normal 3 6 2 2 3" xfId="18019"/>
    <cellStyle name="Normal 3 6 2 3" xfId="22176"/>
    <cellStyle name="Normal 3 6 2 4" xfId="13879"/>
    <cellStyle name="Normal 3 6 3" xfId="7647"/>
    <cellStyle name="Normal 3 6 3 2" xfId="24244"/>
    <cellStyle name="Normal 3 6 3 3" xfId="15947"/>
    <cellStyle name="Normal 3 6 4" xfId="20104"/>
    <cellStyle name="Normal 3 6 5" xfId="11807"/>
    <cellStyle name="Normal 3 7" xfId="4515"/>
    <cellStyle name="Normal 3 7 2" xfId="8683"/>
    <cellStyle name="Normal 3 7 2 2" xfId="25280"/>
    <cellStyle name="Normal 3 7 2 3" xfId="16983"/>
    <cellStyle name="Normal 3 7 3" xfId="21140"/>
    <cellStyle name="Normal 3 7 4" xfId="12843"/>
    <cellStyle name="Normal 3 8" xfId="6606"/>
    <cellStyle name="Normal 3 8 2" xfId="23210"/>
    <cellStyle name="Normal 3 8 3" xfId="14913"/>
    <cellStyle name="Normal 3 9" xfId="19067"/>
    <cellStyle name="Normal 30" xfId="1580"/>
    <cellStyle name="Normal 30 10" xfId="10778"/>
    <cellStyle name="Normal 30 2" xfId="1581"/>
    <cellStyle name="Normal 30 2 2" xfId="1582"/>
    <cellStyle name="Normal 30 2 2 2" xfId="2917"/>
    <cellStyle name="Normal 30 2 2 2 2" xfId="3963"/>
    <cellStyle name="Normal 30 2 2 2 2 2" xfId="6088"/>
    <cellStyle name="Normal 30 2 2 2 2 2 2" xfId="10244"/>
    <cellStyle name="Normal 30 2 2 2 2 2 2 2" xfId="26841"/>
    <cellStyle name="Normal 30 2 2 2 2 2 2 3" xfId="18544"/>
    <cellStyle name="Normal 30 2 2 2 2 2 3" xfId="22701"/>
    <cellStyle name="Normal 30 2 2 2 2 2 4" xfId="14404"/>
    <cellStyle name="Normal 30 2 2 2 2 3" xfId="8172"/>
    <cellStyle name="Normal 30 2 2 2 2 3 2" xfId="24769"/>
    <cellStyle name="Normal 30 2 2 2 2 3 3" xfId="16472"/>
    <cellStyle name="Normal 30 2 2 2 2 4" xfId="20629"/>
    <cellStyle name="Normal 30 2 2 2 2 5" xfId="12332"/>
    <cellStyle name="Normal 30 2 2 2 3" xfId="5054"/>
    <cellStyle name="Normal 30 2 2 2 3 2" xfId="9210"/>
    <cellStyle name="Normal 30 2 2 2 3 2 2" xfId="25807"/>
    <cellStyle name="Normal 30 2 2 2 3 2 3" xfId="17510"/>
    <cellStyle name="Normal 30 2 2 2 3 3" xfId="21667"/>
    <cellStyle name="Normal 30 2 2 2 3 4" xfId="13370"/>
    <cellStyle name="Normal 30 2 2 2 4" xfId="7138"/>
    <cellStyle name="Normal 30 2 2 2 4 2" xfId="23735"/>
    <cellStyle name="Normal 30 2 2 2 4 3" xfId="15438"/>
    <cellStyle name="Normal 30 2 2 2 5" xfId="19595"/>
    <cellStyle name="Normal 30 2 2 2 6" xfId="11298"/>
    <cellStyle name="Normal 30 2 2 3" xfId="3445"/>
    <cellStyle name="Normal 30 2 2 3 2" xfId="5573"/>
    <cellStyle name="Normal 30 2 2 3 2 2" xfId="9729"/>
    <cellStyle name="Normal 30 2 2 3 2 2 2" xfId="26326"/>
    <cellStyle name="Normal 30 2 2 3 2 2 3" xfId="18029"/>
    <cellStyle name="Normal 30 2 2 3 2 3" xfId="22186"/>
    <cellStyle name="Normal 30 2 2 3 2 4" xfId="13889"/>
    <cellStyle name="Normal 30 2 2 3 3" xfId="7657"/>
    <cellStyle name="Normal 30 2 2 3 3 2" xfId="24254"/>
    <cellStyle name="Normal 30 2 2 3 3 3" xfId="15957"/>
    <cellStyle name="Normal 30 2 2 3 4" xfId="20114"/>
    <cellStyle name="Normal 30 2 2 3 5" xfId="11817"/>
    <cellStyle name="Normal 30 2 2 4" xfId="4525"/>
    <cellStyle name="Normal 30 2 2 4 2" xfId="8693"/>
    <cellStyle name="Normal 30 2 2 4 2 2" xfId="25290"/>
    <cellStyle name="Normal 30 2 2 4 2 3" xfId="16993"/>
    <cellStyle name="Normal 30 2 2 4 3" xfId="21150"/>
    <cellStyle name="Normal 30 2 2 4 4" xfId="12853"/>
    <cellStyle name="Normal 30 2 2 5" xfId="6616"/>
    <cellStyle name="Normal 30 2 2 5 2" xfId="23220"/>
    <cellStyle name="Normal 30 2 2 5 3" xfId="14923"/>
    <cellStyle name="Normal 30 2 2 6" xfId="19077"/>
    <cellStyle name="Normal 30 2 2 7" xfId="10780"/>
    <cellStyle name="Normal 30 2 3" xfId="2916"/>
    <cellStyle name="Normal 30 2 3 2" xfId="3962"/>
    <cellStyle name="Normal 30 2 3 2 2" xfId="6087"/>
    <cellStyle name="Normal 30 2 3 2 2 2" xfId="10243"/>
    <cellStyle name="Normal 30 2 3 2 2 2 2" xfId="26840"/>
    <cellStyle name="Normal 30 2 3 2 2 2 3" xfId="18543"/>
    <cellStyle name="Normal 30 2 3 2 2 3" xfId="22700"/>
    <cellStyle name="Normal 30 2 3 2 2 4" xfId="14403"/>
    <cellStyle name="Normal 30 2 3 2 3" xfId="8171"/>
    <cellStyle name="Normal 30 2 3 2 3 2" xfId="24768"/>
    <cellStyle name="Normal 30 2 3 2 3 3" xfId="16471"/>
    <cellStyle name="Normal 30 2 3 2 4" xfId="20628"/>
    <cellStyle name="Normal 30 2 3 2 5" xfId="12331"/>
    <cellStyle name="Normal 30 2 3 3" xfId="5053"/>
    <cellStyle name="Normal 30 2 3 3 2" xfId="9209"/>
    <cellStyle name="Normal 30 2 3 3 2 2" xfId="25806"/>
    <cellStyle name="Normal 30 2 3 3 2 3" xfId="17509"/>
    <cellStyle name="Normal 30 2 3 3 3" xfId="21666"/>
    <cellStyle name="Normal 30 2 3 3 4" xfId="13369"/>
    <cellStyle name="Normal 30 2 3 4" xfId="7137"/>
    <cellStyle name="Normal 30 2 3 4 2" xfId="23734"/>
    <cellStyle name="Normal 30 2 3 4 3" xfId="15437"/>
    <cellStyle name="Normal 30 2 3 5" xfId="19594"/>
    <cellStyle name="Normal 30 2 3 6" xfId="11297"/>
    <cellStyle name="Normal 30 2 4" xfId="3444"/>
    <cellStyle name="Normal 30 2 4 2" xfId="5572"/>
    <cellStyle name="Normal 30 2 4 2 2" xfId="9728"/>
    <cellStyle name="Normal 30 2 4 2 2 2" xfId="26325"/>
    <cellStyle name="Normal 30 2 4 2 2 3" xfId="18028"/>
    <cellStyle name="Normal 30 2 4 2 3" xfId="22185"/>
    <cellStyle name="Normal 30 2 4 2 4" xfId="13888"/>
    <cellStyle name="Normal 30 2 4 3" xfId="7656"/>
    <cellStyle name="Normal 30 2 4 3 2" xfId="24253"/>
    <cellStyle name="Normal 30 2 4 3 3" xfId="15956"/>
    <cellStyle name="Normal 30 2 4 4" xfId="20113"/>
    <cellStyle name="Normal 30 2 4 5" xfId="11816"/>
    <cellStyle name="Normal 30 2 5" xfId="4524"/>
    <cellStyle name="Normal 30 2 5 2" xfId="8692"/>
    <cellStyle name="Normal 30 2 5 2 2" xfId="25289"/>
    <cellStyle name="Normal 30 2 5 2 3" xfId="16992"/>
    <cellStyle name="Normal 30 2 5 3" xfId="21149"/>
    <cellStyle name="Normal 30 2 5 4" xfId="12852"/>
    <cellStyle name="Normal 30 2 6" xfId="6615"/>
    <cellStyle name="Normal 30 2 6 2" xfId="23219"/>
    <cellStyle name="Normal 30 2 6 3" xfId="14922"/>
    <cellStyle name="Normal 30 2 7" xfId="19076"/>
    <cellStyle name="Normal 30 2 8" xfId="10779"/>
    <cellStyle name="Normal 30 3" xfId="1583"/>
    <cellStyle name="Normal 30 3 2" xfId="1584"/>
    <cellStyle name="Normal 30 3 2 2" xfId="2919"/>
    <cellStyle name="Normal 30 3 2 2 2" xfId="3965"/>
    <cellStyle name="Normal 30 3 2 2 2 2" xfId="6090"/>
    <cellStyle name="Normal 30 3 2 2 2 2 2" xfId="10246"/>
    <cellStyle name="Normal 30 3 2 2 2 2 2 2" xfId="26843"/>
    <cellStyle name="Normal 30 3 2 2 2 2 2 3" xfId="18546"/>
    <cellStyle name="Normal 30 3 2 2 2 2 3" xfId="22703"/>
    <cellStyle name="Normal 30 3 2 2 2 2 4" xfId="14406"/>
    <cellStyle name="Normal 30 3 2 2 2 3" xfId="8174"/>
    <cellStyle name="Normal 30 3 2 2 2 3 2" xfId="24771"/>
    <cellStyle name="Normal 30 3 2 2 2 3 3" xfId="16474"/>
    <cellStyle name="Normal 30 3 2 2 2 4" xfId="20631"/>
    <cellStyle name="Normal 30 3 2 2 2 5" xfId="12334"/>
    <cellStyle name="Normal 30 3 2 2 3" xfId="5056"/>
    <cellStyle name="Normal 30 3 2 2 3 2" xfId="9212"/>
    <cellStyle name="Normal 30 3 2 2 3 2 2" xfId="25809"/>
    <cellStyle name="Normal 30 3 2 2 3 2 3" xfId="17512"/>
    <cellStyle name="Normal 30 3 2 2 3 3" xfId="21669"/>
    <cellStyle name="Normal 30 3 2 2 3 4" xfId="13372"/>
    <cellStyle name="Normal 30 3 2 2 4" xfId="7140"/>
    <cellStyle name="Normal 30 3 2 2 4 2" xfId="23737"/>
    <cellStyle name="Normal 30 3 2 2 4 3" xfId="15440"/>
    <cellStyle name="Normal 30 3 2 2 5" xfId="19597"/>
    <cellStyle name="Normal 30 3 2 2 6" xfId="11300"/>
    <cellStyle name="Normal 30 3 2 3" xfId="3447"/>
    <cellStyle name="Normal 30 3 2 3 2" xfId="5575"/>
    <cellStyle name="Normal 30 3 2 3 2 2" xfId="9731"/>
    <cellStyle name="Normal 30 3 2 3 2 2 2" xfId="26328"/>
    <cellStyle name="Normal 30 3 2 3 2 2 3" xfId="18031"/>
    <cellStyle name="Normal 30 3 2 3 2 3" xfId="22188"/>
    <cellStyle name="Normal 30 3 2 3 2 4" xfId="13891"/>
    <cellStyle name="Normal 30 3 2 3 3" xfId="7659"/>
    <cellStyle name="Normal 30 3 2 3 3 2" xfId="24256"/>
    <cellStyle name="Normal 30 3 2 3 3 3" xfId="15959"/>
    <cellStyle name="Normal 30 3 2 3 4" xfId="20116"/>
    <cellStyle name="Normal 30 3 2 3 5" xfId="11819"/>
    <cellStyle name="Normal 30 3 2 4" xfId="4527"/>
    <cellStyle name="Normal 30 3 2 4 2" xfId="8695"/>
    <cellStyle name="Normal 30 3 2 4 2 2" xfId="25292"/>
    <cellStyle name="Normal 30 3 2 4 2 3" xfId="16995"/>
    <cellStyle name="Normal 30 3 2 4 3" xfId="21152"/>
    <cellStyle name="Normal 30 3 2 4 4" xfId="12855"/>
    <cellStyle name="Normal 30 3 2 5" xfId="6618"/>
    <cellStyle name="Normal 30 3 2 5 2" xfId="23222"/>
    <cellStyle name="Normal 30 3 2 5 3" xfId="14925"/>
    <cellStyle name="Normal 30 3 2 6" xfId="19079"/>
    <cellStyle name="Normal 30 3 2 7" xfId="10782"/>
    <cellStyle name="Normal 30 3 3" xfId="2918"/>
    <cellStyle name="Normal 30 3 3 2" xfId="3964"/>
    <cellStyle name="Normal 30 3 3 2 2" xfId="6089"/>
    <cellStyle name="Normal 30 3 3 2 2 2" xfId="10245"/>
    <cellStyle name="Normal 30 3 3 2 2 2 2" xfId="26842"/>
    <cellStyle name="Normal 30 3 3 2 2 2 3" xfId="18545"/>
    <cellStyle name="Normal 30 3 3 2 2 3" xfId="22702"/>
    <cellStyle name="Normal 30 3 3 2 2 4" xfId="14405"/>
    <cellStyle name="Normal 30 3 3 2 3" xfId="8173"/>
    <cellStyle name="Normal 30 3 3 2 3 2" xfId="24770"/>
    <cellStyle name="Normal 30 3 3 2 3 3" xfId="16473"/>
    <cellStyle name="Normal 30 3 3 2 4" xfId="20630"/>
    <cellStyle name="Normal 30 3 3 2 5" xfId="12333"/>
    <cellStyle name="Normal 30 3 3 3" xfId="5055"/>
    <cellStyle name="Normal 30 3 3 3 2" xfId="9211"/>
    <cellStyle name="Normal 30 3 3 3 2 2" xfId="25808"/>
    <cellStyle name="Normal 30 3 3 3 2 3" xfId="17511"/>
    <cellStyle name="Normal 30 3 3 3 3" xfId="21668"/>
    <cellStyle name="Normal 30 3 3 3 4" xfId="13371"/>
    <cellStyle name="Normal 30 3 3 4" xfId="7139"/>
    <cellStyle name="Normal 30 3 3 4 2" xfId="23736"/>
    <cellStyle name="Normal 30 3 3 4 3" xfId="15439"/>
    <cellStyle name="Normal 30 3 3 5" xfId="19596"/>
    <cellStyle name="Normal 30 3 3 6" xfId="11299"/>
    <cellStyle name="Normal 30 3 4" xfId="3446"/>
    <cellStyle name="Normal 30 3 4 2" xfId="5574"/>
    <cellStyle name="Normal 30 3 4 2 2" xfId="9730"/>
    <cellStyle name="Normal 30 3 4 2 2 2" xfId="26327"/>
    <cellStyle name="Normal 30 3 4 2 2 3" xfId="18030"/>
    <cellStyle name="Normal 30 3 4 2 3" xfId="22187"/>
    <cellStyle name="Normal 30 3 4 2 4" xfId="13890"/>
    <cellStyle name="Normal 30 3 4 3" xfId="7658"/>
    <cellStyle name="Normal 30 3 4 3 2" xfId="24255"/>
    <cellStyle name="Normal 30 3 4 3 3" xfId="15958"/>
    <cellStyle name="Normal 30 3 4 4" xfId="20115"/>
    <cellStyle name="Normal 30 3 4 5" xfId="11818"/>
    <cellStyle name="Normal 30 3 5" xfId="4526"/>
    <cellStyle name="Normal 30 3 5 2" xfId="8694"/>
    <cellStyle name="Normal 30 3 5 2 2" xfId="25291"/>
    <cellStyle name="Normal 30 3 5 2 3" xfId="16994"/>
    <cellStyle name="Normal 30 3 5 3" xfId="21151"/>
    <cellStyle name="Normal 30 3 5 4" xfId="12854"/>
    <cellStyle name="Normal 30 3 6" xfId="6617"/>
    <cellStyle name="Normal 30 3 6 2" xfId="23221"/>
    <cellStyle name="Normal 30 3 6 3" xfId="14924"/>
    <cellStyle name="Normal 30 3 7" xfId="19078"/>
    <cellStyle name="Normal 30 3 8" xfId="10781"/>
    <cellStyle name="Normal 30 4" xfId="1585"/>
    <cellStyle name="Normal 30 4 2" xfId="2920"/>
    <cellStyle name="Normal 30 4 2 2" xfId="3966"/>
    <cellStyle name="Normal 30 4 2 2 2" xfId="6091"/>
    <cellStyle name="Normal 30 4 2 2 2 2" xfId="10247"/>
    <cellStyle name="Normal 30 4 2 2 2 2 2" xfId="26844"/>
    <cellStyle name="Normal 30 4 2 2 2 2 3" xfId="18547"/>
    <cellStyle name="Normal 30 4 2 2 2 3" xfId="22704"/>
    <cellStyle name="Normal 30 4 2 2 2 4" xfId="14407"/>
    <cellStyle name="Normal 30 4 2 2 3" xfId="8175"/>
    <cellStyle name="Normal 30 4 2 2 3 2" xfId="24772"/>
    <cellStyle name="Normal 30 4 2 2 3 3" xfId="16475"/>
    <cellStyle name="Normal 30 4 2 2 4" xfId="20632"/>
    <cellStyle name="Normal 30 4 2 2 5" xfId="12335"/>
    <cellStyle name="Normal 30 4 2 3" xfId="5057"/>
    <cellStyle name="Normal 30 4 2 3 2" xfId="9213"/>
    <cellStyle name="Normal 30 4 2 3 2 2" xfId="25810"/>
    <cellStyle name="Normal 30 4 2 3 2 3" xfId="17513"/>
    <cellStyle name="Normal 30 4 2 3 3" xfId="21670"/>
    <cellStyle name="Normal 30 4 2 3 4" xfId="13373"/>
    <cellStyle name="Normal 30 4 2 4" xfId="7141"/>
    <cellStyle name="Normal 30 4 2 4 2" xfId="23738"/>
    <cellStyle name="Normal 30 4 2 4 3" xfId="15441"/>
    <cellStyle name="Normal 30 4 2 5" xfId="19598"/>
    <cellStyle name="Normal 30 4 2 6" xfId="11301"/>
    <cellStyle name="Normal 30 4 3" xfId="3448"/>
    <cellStyle name="Normal 30 4 3 2" xfId="5576"/>
    <cellStyle name="Normal 30 4 3 2 2" xfId="9732"/>
    <cellStyle name="Normal 30 4 3 2 2 2" xfId="26329"/>
    <cellStyle name="Normal 30 4 3 2 2 3" xfId="18032"/>
    <cellStyle name="Normal 30 4 3 2 3" xfId="22189"/>
    <cellStyle name="Normal 30 4 3 2 4" xfId="13892"/>
    <cellStyle name="Normal 30 4 3 3" xfId="7660"/>
    <cellStyle name="Normal 30 4 3 3 2" xfId="24257"/>
    <cellStyle name="Normal 30 4 3 3 3" xfId="15960"/>
    <cellStyle name="Normal 30 4 3 4" xfId="20117"/>
    <cellStyle name="Normal 30 4 3 5" xfId="11820"/>
    <cellStyle name="Normal 30 4 4" xfId="4528"/>
    <cellStyle name="Normal 30 4 4 2" xfId="8696"/>
    <cellStyle name="Normal 30 4 4 2 2" xfId="25293"/>
    <cellStyle name="Normal 30 4 4 2 3" xfId="16996"/>
    <cellStyle name="Normal 30 4 4 3" xfId="21153"/>
    <cellStyle name="Normal 30 4 4 4" xfId="12856"/>
    <cellStyle name="Normal 30 4 5" xfId="6619"/>
    <cellStyle name="Normal 30 4 5 2" xfId="23223"/>
    <cellStyle name="Normal 30 4 5 3" xfId="14926"/>
    <cellStyle name="Normal 30 4 6" xfId="19080"/>
    <cellStyle name="Normal 30 4 7" xfId="10783"/>
    <cellStyle name="Normal 30 5" xfId="2915"/>
    <cellStyle name="Normal 30 5 2" xfId="3961"/>
    <cellStyle name="Normal 30 5 2 2" xfId="6086"/>
    <cellStyle name="Normal 30 5 2 2 2" xfId="10242"/>
    <cellStyle name="Normal 30 5 2 2 2 2" xfId="26839"/>
    <cellStyle name="Normal 30 5 2 2 2 3" xfId="18542"/>
    <cellStyle name="Normal 30 5 2 2 3" xfId="22699"/>
    <cellStyle name="Normal 30 5 2 2 4" xfId="14402"/>
    <cellStyle name="Normal 30 5 2 3" xfId="8170"/>
    <cellStyle name="Normal 30 5 2 3 2" xfId="24767"/>
    <cellStyle name="Normal 30 5 2 3 3" xfId="16470"/>
    <cellStyle name="Normal 30 5 2 4" xfId="20627"/>
    <cellStyle name="Normal 30 5 2 5" xfId="12330"/>
    <cellStyle name="Normal 30 5 3" xfId="5052"/>
    <cellStyle name="Normal 30 5 3 2" xfId="9208"/>
    <cellStyle name="Normal 30 5 3 2 2" xfId="25805"/>
    <cellStyle name="Normal 30 5 3 2 3" xfId="17508"/>
    <cellStyle name="Normal 30 5 3 3" xfId="21665"/>
    <cellStyle name="Normal 30 5 3 4" xfId="13368"/>
    <cellStyle name="Normal 30 5 4" xfId="7136"/>
    <cellStyle name="Normal 30 5 4 2" xfId="23733"/>
    <cellStyle name="Normal 30 5 4 3" xfId="15436"/>
    <cellStyle name="Normal 30 5 5" xfId="19593"/>
    <cellStyle name="Normal 30 5 6" xfId="11296"/>
    <cellStyle name="Normal 30 6" xfId="3443"/>
    <cellStyle name="Normal 30 6 2" xfId="5571"/>
    <cellStyle name="Normal 30 6 2 2" xfId="9727"/>
    <cellStyle name="Normal 30 6 2 2 2" xfId="26324"/>
    <cellStyle name="Normal 30 6 2 2 3" xfId="18027"/>
    <cellStyle name="Normal 30 6 2 3" xfId="22184"/>
    <cellStyle name="Normal 30 6 2 4" xfId="13887"/>
    <cellStyle name="Normal 30 6 3" xfId="7655"/>
    <cellStyle name="Normal 30 6 3 2" xfId="24252"/>
    <cellStyle name="Normal 30 6 3 3" xfId="15955"/>
    <cellStyle name="Normal 30 6 4" xfId="20112"/>
    <cellStyle name="Normal 30 6 5" xfId="11815"/>
    <cellStyle name="Normal 30 7" xfId="4523"/>
    <cellStyle name="Normal 30 7 2" xfId="8691"/>
    <cellStyle name="Normal 30 7 2 2" xfId="25288"/>
    <cellStyle name="Normal 30 7 2 3" xfId="16991"/>
    <cellStyle name="Normal 30 7 3" xfId="21148"/>
    <cellStyle name="Normal 30 7 4" xfId="12851"/>
    <cellStyle name="Normal 30 8" xfId="6614"/>
    <cellStyle name="Normal 30 8 2" xfId="23218"/>
    <cellStyle name="Normal 30 8 3" xfId="14921"/>
    <cellStyle name="Normal 30 9" xfId="19075"/>
    <cellStyle name="Normal 31" xfId="1586"/>
    <cellStyle name="Normal 31 10" xfId="10784"/>
    <cellStyle name="Normal 31 2" xfId="1587"/>
    <cellStyle name="Normal 31 2 2" xfId="1588"/>
    <cellStyle name="Normal 31 2 2 2" xfId="2923"/>
    <cellStyle name="Normal 31 2 2 2 2" xfId="3969"/>
    <cellStyle name="Normal 31 2 2 2 2 2" xfId="6094"/>
    <cellStyle name="Normal 31 2 2 2 2 2 2" xfId="10250"/>
    <cellStyle name="Normal 31 2 2 2 2 2 2 2" xfId="26847"/>
    <cellStyle name="Normal 31 2 2 2 2 2 2 3" xfId="18550"/>
    <cellStyle name="Normal 31 2 2 2 2 2 3" xfId="22707"/>
    <cellStyle name="Normal 31 2 2 2 2 2 4" xfId="14410"/>
    <cellStyle name="Normal 31 2 2 2 2 3" xfId="8178"/>
    <cellStyle name="Normal 31 2 2 2 2 3 2" xfId="24775"/>
    <cellStyle name="Normal 31 2 2 2 2 3 3" xfId="16478"/>
    <cellStyle name="Normal 31 2 2 2 2 4" xfId="20635"/>
    <cellStyle name="Normal 31 2 2 2 2 5" xfId="12338"/>
    <cellStyle name="Normal 31 2 2 2 3" xfId="5060"/>
    <cellStyle name="Normal 31 2 2 2 3 2" xfId="9216"/>
    <cellStyle name="Normal 31 2 2 2 3 2 2" xfId="25813"/>
    <cellStyle name="Normal 31 2 2 2 3 2 3" xfId="17516"/>
    <cellStyle name="Normal 31 2 2 2 3 3" xfId="21673"/>
    <cellStyle name="Normal 31 2 2 2 3 4" xfId="13376"/>
    <cellStyle name="Normal 31 2 2 2 4" xfId="7144"/>
    <cellStyle name="Normal 31 2 2 2 4 2" xfId="23741"/>
    <cellStyle name="Normal 31 2 2 2 4 3" xfId="15444"/>
    <cellStyle name="Normal 31 2 2 2 5" xfId="19601"/>
    <cellStyle name="Normal 31 2 2 2 6" xfId="11304"/>
    <cellStyle name="Normal 31 2 2 3" xfId="3451"/>
    <cellStyle name="Normal 31 2 2 3 2" xfId="5579"/>
    <cellStyle name="Normal 31 2 2 3 2 2" xfId="9735"/>
    <cellStyle name="Normal 31 2 2 3 2 2 2" xfId="26332"/>
    <cellStyle name="Normal 31 2 2 3 2 2 3" xfId="18035"/>
    <cellStyle name="Normal 31 2 2 3 2 3" xfId="22192"/>
    <cellStyle name="Normal 31 2 2 3 2 4" xfId="13895"/>
    <cellStyle name="Normal 31 2 2 3 3" xfId="7663"/>
    <cellStyle name="Normal 31 2 2 3 3 2" xfId="24260"/>
    <cellStyle name="Normal 31 2 2 3 3 3" xfId="15963"/>
    <cellStyle name="Normal 31 2 2 3 4" xfId="20120"/>
    <cellStyle name="Normal 31 2 2 3 5" xfId="11823"/>
    <cellStyle name="Normal 31 2 2 4" xfId="4531"/>
    <cellStyle name="Normal 31 2 2 4 2" xfId="8699"/>
    <cellStyle name="Normal 31 2 2 4 2 2" xfId="25296"/>
    <cellStyle name="Normal 31 2 2 4 2 3" xfId="16999"/>
    <cellStyle name="Normal 31 2 2 4 3" xfId="21156"/>
    <cellStyle name="Normal 31 2 2 4 4" xfId="12859"/>
    <cellStyle name="Normal 31 2 2 5" xfId="6622"/>
    <cellStyle name="Normal 31 2 2 5 2" xfId="23226"/>
    <cellStyle name="Normal 31 2 2 5 3" xfId="14929"/>
    <cellStyle name="Normal 31 2 2 6" xfId="19083"/>
    <cellStyle name="Normal 31 2 2 7" xfId="10786"/>
    <cellStyle name="Normal 31 2 3" xfId="2922"/>
    <cellStyle name="Normal 31 2 3 2" xfId="3968"/>
    <cellStyle name="Normal 31 2 3 2 2" xfId="6093"/>
    <cellStyle name="Normal 31 2 3 2 2 2" xfId="10249"/>
    <cellStyle name="Normal 31 2 3 2 2 2 2" xfId="26846"/>
    <cellStyle name="Normal 31 2 3 2 2 2 3" xfId="18549"/>
    <cellStyle name="Normal 31 2 3 2 2 3" xfId="22706"/>
    <cellStyle name="Normal 31 2 3 2 2 4" xfId="14409"/>
    <cellStyle name="Normal 31 2 3 2 3" xfId="8177"/>
    <cellStyle name="Normal 31 2 3 2 3 2" xfId="24774"/>
    <cellStyle name="Normal 31 2 3 2 3 3" xfId="16477"/>
    <cellStyle name="Normal 31 2 3 2 4" xfId="20634"/>
    <cellStyle name="Normal 31 2 3 2 5" xfId="12337"/>
    <cellStyle name="Normal 31 2 3 3" xfId="5059"/>
    <cellStyle name="Normal 31 2 3 3 2" xfId="9215"/>
    <cellStyle name="Normal 31 2 3 3 2 2" xfId="25812"/>
    <cellStyle name="Normal 31 2 3 3 2 3" xfId="17515"/>
    <cellStyle name="Normal 31 2 3 3 3" xfId="21672"/>
    <cellStyle name="Normal 31 2 3 3 4" xfId="13375"/>
    <cellStyle name="Normal 31 2 3 4" xfId="7143"/>
    <cellStyle name="Normal 31 2 3 4 2" xfId="23740"/>
    <cellStyle name="Normal 31 2 3 4 3" xfId="15443"/>
    <cellStyle name="Normal 31 2 3 5" xfId="19600"/>
    <cellStyle name="Normal 31 2 3 6" xfId="11303"/>
    <cellStyle name="Normal 31 2 4" xfId="3450"/>
    <cellStyle name="Normal 31 2 4 2" xfId="5578"/>
    <cellStyle name="Normal 31 2 4 2 2" xfId="9734"/>
    <cellStyle name="Normal 31 2 4 2 2 2" xfId="26331"/>
    <cellStyle name="Normal 31 2 4 2 2 3" xfId="18034"/>
    <cellStyle name="Normal 31 2 4 2 3" xfId="22191"/>
    <cellStyle name="Normal 31 2 4 2 4" xfId="13894"/>
    <cellStyle name="Normal 31 2 4 3" xfId="7662"/>
    <cellStyle name="Normal 31 2 4 3 2" xfId="24259"/>
    <cellStyle name="Normal 31 2 4 3 3" xfId="15962"/>
    <cellStyle name="Normal 31 2 4 4" xfId="20119"/>
    <cellStyle name="Normal 31 2 4 5" xfId="11822"/>
    <cellStyle name="Normal 31 2 5" xfId="4530"/>
    <cellStyle name="Normal 31 2 5 2" xfId="8698"/>
    <cellStyle name="Normal 31 2 5 2 2" xfId="25295"/>
    <cellStyle name="Normal 31 2 5 2 3" xfId="16998"/>
    <cellStyle name="Normal 31 2 5 3" xfId="21155"/>
    <cellStyle name="Normal 31 2 5 4" xfId="12858"/>
    <cellStyle name="Normal 31 2 6" xfId="6621"/>
    <cellStyle name="Normal 31 2 6 2" xfId="23225"/>
    <cellStyle name="Normal 31 2 6 3" xfId="14928"/>
    <cellStyle name="Normal 31 2 7" xfId="19082"/>
    <cellStyle name="Normal 31 2 8" xfId="10785"/>
    <cellStyle name="Normal 31 3" xfId="1589"/>
    <cellStyle name="Normal 31 3 2" xfId="1590"/>
    <cellStyle name="Normal 31 3 2 2" xfId="2925"/>
    <cellStyle name="Normal 31 3 2 2 2" xfId="3971"/>
    <cellStyle name="Normal 31 3 2 2 2 2" xfId="6096"/>
    <cellStyle name="Normal 31 3 2 2 2 2 2" xfId="10252"/>
    <cellStyle name="Normal 31 3 2 2 2 2 2 2" xfId="26849"/>
    <cellStyle name="Normal 31 3 2 2 2 2 2 3" xfId="18552"/>
    <cellStyle name="Normal 31 3 2 2 2 2 3" xfId="22709"/>
    <cellStyle name="Normal 31 3 2 2 2 2 4" xfId="14412"/>
    <cellStyle name="Normal 31 3 2 2 2 3" xfId="8180"/>
    <cellStyle name="Normal 31 3 2 2 2 3 2" xfId="24777"/>
    <cellStyle name="Normal 31 3 2 2 2 3 3" xfId="16480"/>
    <cellStyle name="Normal 31 3 2 2 2 4" xfId="20637"/>
    <cellStyle name="Normal 31 3 2 2 2 5" xfId="12340"/>
    <cellStyle name="Normal 31 3 2 2 3" xfId="5062"/>
    <cellStyle name="Normal 31 3 2 2 3 2" xfId="9218"/>
    <cellStyle name="Normal 31 3 2 2 3 2 2" xfId="25815"/>
    <cellStyle name="Normal 31 3 2 2 3 2 3" xfId="17518"/>
    <cellStyle name="Normal 31 3 2 2 3 3" xfId="21675"/>
    <cellStyle name="Normal 31 3 2 2 3 4" xfId="13378"/>
    <cellStyle name="Normal 31 3 2 2 4" xfId="7146"/>
    <cellStyle name="Normal 31 3 2 2 4 2" xfId="23743"/>
    <cellStyle name="Normal 31 3 2 2 4 3" xfId="15446"/>
    <cellStyle name="Normal 31 3 2 2 5" xfId="19603"/>
    <cellStyle name="Normal 31 3 2 2 6" xfId="11306"/>
    <cellStyle name="Normal 31 3 2 3" xfId="3453"/>
    <cellStyle name="Normal 31 3 2 3 2" xfId="5581"/>
    <cellStyle name="Normal 31 3 2 3 2 2" xfId="9737"/>
    <cellStyle name="Normal 31 3 2 3 2 2 2" xfId="26334"/>
    <cellStyle name="Normal 31 3 2 3 2 2 3" xfId="18037"/>
    <cellStyle name="Normal 31 3 2 3 2 3" xfId="22194"/>
    <cellStyle name="Normal 31 3 2 3 2 4" xfId="13897"/>
    <cellStyle name="Normal 31 3 2 3 3" xfId="7665"/>
    <cellStyle name="Normal 31 3 2 3 3 2" xfId="24262"/>
    <cellStyle name="Normal 31 3 2 3 3 3" xfId="15965"/>
    <cellStyle name="Normal 31 3 2 3 4" xfId="20122"/>
    <cellStyle name="Normal 31 3 2 3 5" xfId="11825"/>
    <cellStyle name="Normal 31 3 2 4" xfId="4533"/>
    <cellStyle name="Normal 31 3 2 4 2" xfId="8701"/>
    <cellStyle name="Normal 31 3 2 4 2 2" xfId="25298"/>
    <cellStyle name="Normal 31 3 2 4 2 3" xfId="17001"/>
    <cellStyle name="Normal 31 3 2 4 3" xfId="21158"/>
    <cellStyle name="Normal 31 3 2 4 4" xfId="12861"/>
    <cellStyle name="Normal 31 3 2 5" xfId="6624"/>
    <cellStyle name="Normal 31 3 2 5 2" xfId="23228"/>
    <cellStyle name="Normal 31 3 2 5 3" xfId="14931"/>
    <cellStyle name="Normal 31 3 2 6" xfId="19085"/>
    <cellStyle name="Normal 31 3 2 7" xfId="10788"/>
    <cellStyle name="Normal 31 3 3" xfId="2924"/>
    <cellStyle name="Normal 31 3 3 2" xfId="3970"/>
    <cellStyle name="Normal 31 3 3 2 2" xfId="6095"/>
    <cellStyle name="Normal 31 3 3 2 2 2" xfId="10251"/>
    <cellStyle name="Normal 31 3 3 2 2 2 2" xfId="26848"/>
    <cellStyle name="Normal 31 3 3 2 2 2 3" xfId="18551"/>
    <cellStyle name="Normal 31 3 3 2 2 3" xfId="22708"/>
    <cellStyle name="Normal 31 3 3 2 2 4" xfId="14411"/>
    <cellStyle name="Normal 31 3 3 2 3" xfId="8179"/>
    <cellStyle name="Normal 31 3 3 2 3 2" xfId="24776"/>
    <cellStyle name="Normal 31 3 3 2 3 3" xfId="16479"/>
    <cellStyle name="Normal 31 3 3 2 4" xfId="20636"/>
    <cellStyle name="Normal 31 3 3 2 5" xfId="12339"/>
    <cellStyle name="Normal 31 3 3 3" xfId="5061"/>
    <cellStyle name="Normal 31 3 3 3 2" xfId="9217"/>
    <cellStyle name="Normal 31 3 3 3 2 2" xfId="25814"/>
    <cellStyle name="Normal 31 3 3 3 2 3" xfId="17517"/>
    <cellStyle name="Normal 31 3 3 3 3" xfId="21674"/>
    <cellStyle name="Normal 31 3 3 3 4" xfId="13377"/>
    <cellStyle name="Normal 31 3 3 4" xfId="7145"/>
    <cellStyle name="Normal 31 3 3 4 2" xfId="23742"/>
    <cellStyle name="Normal 31 3 3 4 3" xfId="15445"/>
    <cellStyle name="Normal 31 3 3 5" xfId="19602"/>
    <cellStyle name="Normal 31 3 3 6" xfId="11305"/>
    <cellStyle name="Normal 31 3 4" xfId="3452"/>
    <cellStyle name="Normal 31 3 4 2" xfId="5580"/>
    <cellStyle name="Normal 31 3 4 2 2" xfId="9736"/>
    <cellStyle name="Normal 31 3 4 2 2 2" xfId="26333"/>
    <cellStyle name="Normal 31 3 4 2 2 3" xfId="18036"/>
    <cellStyle name="Normal 31 3 4 2 3" xfId="22193"/>
    <cellStyle name="Normal 31 3 4 2 4" xfId="13896"/>
    <cellStyle name="Normal 31 3 4 3" xfId="7664"/>
    <cellStyle name="Normal 31 3 4 3 2" xfId="24261"/>
    <cellStyle name="Normal 31 3 4 3 3" xfId="15964"/>
    <cellStyle name="Normal 31 3 4 4" xfId="20121"/>
    <cellStyle name="Normal 31 3 4 5" xfId="11824"/>
    <cellStyle name="Normal 31 3 5" xfId="4532"/>
    <cellStyle name="Normal 31 3 5 2" xfId="8700"/>
    <cellStyle name="Normal 31 3 5 2 2" xfId="25297"/>
    <cellStyle name="Normal 31 3 5 2 3" xfId="17000"/>
    <cellStyle name="Normal 31 3 5 3" xfId="21157"/>
    <cellStyle name="Normal 31 3 5 4" xfId="12860"/>
    <cellStyle name="Normal 31 3 6" xfId="6623"/>
    <cellStyle name="Normal 31 3 6 2" xfId="23227"/>
    <cellStyle name="Normal 31 3 6 3" xfId="14930"/>
    <cellStyle name="Normal 31 3 7" xfId="19084"/>
    <cellStyle name="Normal 31 3 8" xfId="10787"/>
    <cellStyle name="Normal 31 4" xfId="1591"/>
    <cellStyle name="Normal 31 4 2" xfId="2926"/>
    <cellStyle name="Normal 31 4 2 2" xfId="3972"/>
    <cellStyle name="Normal 31 4 2 2 2" xfId="6097"/>
    <cellStyle name="Normal 31 4 2 2 2 2" xfId="10253"/>
    <cellStyle name="Normal 31 4 2 2 2 2 2" xfId="26850"/>
    <cellStyle name="Normal 31 4 2 2 2 2 3" xfId="18553"/>
    <cellStyle name="Normal 31 4 2 2 2 3" xfId="22710"/>
    <cellStyle name="Normal 31 4 2 2 2 4" xfId="14413"/>
    <cellStyle name="Normal 31 4 2 2 3" xfId="8181"/>
    <cellStyle name="Normal 31 4 2 2 3 2" xfId="24778"/>
    <cellStyle name="Normal 31 4 2 2 3 3" xfId="16481"/>
    <cellStyle name="Normal 31 4 2 2 4" xfId="20638"/>
    <cellStyle name="Normal 31 4 2 2 5" xfId="12341"/>
    <cellStyle name="Normal 31 4 2 3" xfId="5063"/>
    <cellStyle name="Normal 31 4 2 3 2" xfId="9219"/>
    <cellStyle name="Normal 31 4 2 3 2 2" xfId="25816"/>
    <cellStyle name="Normal 31 4 2 3 2 3" xfId="17519"/>
    <cellStyle name="Normal 31 4 2 3 3" xfId="21676"/>
    <cellStyle name="Normal 31 4 2 3 4" xfId="13379"/>
    <cellStyle name="Normal 31 4 2 4" xfId="7147"/>
    <cellStyle name="Normal 31 4 2 4 2" xfId="23744"/>
    <cellStyle name="Normal 31 4 2 4 3" xfId="15447"/>
    <cellStyle name="Normal 31 4 2 5" xfId="19604"/>
    <cellStyle name="Normal 31 4 2 6" xfId="11307"/>
    <cellStyle name="Normal 31 4 3" xfId="3454"/>
    <cellStyle name="Normal 31 4 3 2" xfId="5582"/>
    <cellStyle name="Normal 31 4 3 2 2" xfId="9738"/>
    <cellStyle name="Normal 31 4 3 2 2 2" xfId="26335"/>
    <cellStyle name="Normal 31 4 3 2 2 3" xfId="18038"/>
    <cellStyle name="Normal 31 4 3 2 3" xfId="22195"/>
    <cellStyle name="Normal 31 4 3 2 4" xfId="13898"/>
    <cellStyle name="Normal 31 4 3 3" xfId="7666"/>
    <cellStyle name="Normal 31 4 3 3 2" xfId="24263"/>
    <cellStyle name="Normal 31 4 3 3 3" xfId="15966"/>
    <cellStyle name="Normal 31 4 3 4" xfId="20123"/>
    <cellStyle name="Normal 31 4 3 5" xfId="11826"/>
    <cellStyle name="Normal 31 4 4" xfId="4534"/>
    <cellStyle name="Normal 31 4 4 2" xfId="8702"/>
    <cellStyle name="Normal 31 4 4 2 2" xfId="25299"/>
    <cellStyle name="Normal 31 4 4 2 3" xfId="17002"/>
    <cellStyle name="Normal 31 4 4 3" xfId="21159"/>
    <cellStyle name="Normal 31 4 4 4" xfId="12862"/>
    <cellStyle name="Normal 31 4 5" xfId="6625"/>
    <cellStyle name="Normal 31 4 5 2" xfId="23229"/>
    <cellStyle name="Normal 31 4 5 3" xfId="14932"/>
    <cellStyle name="Normal 31 4 6" xfId="19086"/>
    <cellStyle name="Normal 31 4 7" xfId="10789"/>
    <cellStyle name="Normal 31 5" xfId="2921"/>
    <cellStyle name="Normal 31 5 2" xfId="3967"/>
    <cellStyle name="Normal 31 5 2 2" xfId="6092"/>
    <cellStyle name="Normal 31 5 2 2 2" xfId="10248"/>
    <cellStyle name="Normal 31 5 2 2 2 2" xfId="26845"/>
    <cellStyle name="Normal 31 5 2 2 2 3" xfId="18548"/>
    <cellStyle name="Normal 31 5 2 2 3" xfId="22705"/>
    <cellStyle name="Normal 31 5 2 2 4" xfId="14408"/>
    <cellStyle name="Normal 31 5 2 3" xfId="8176"/>
    <cellStyle name="Normal 31 5 2 3 2" xfId="24773"/>
    <cellStyle name="Normal 31 5 2 3 3" xfId="16476"/>
    <cellStyle name="Normal 31 5 2 4" xfId="20633"/>
    <cellStyle name="Normal 31 5 2 5" xfId="12336"/>
    <cellStyle name="Normal 31 5 3" xfId="5058"/>
    <cellStyle name="Normal 31 5 3 2" xfId="9214"/>
    <cellStyle name="Normal 31 5 3 2 2" xfId="25811"/>
    <cellStyle name="Normal 31 5 3 2 3" xfId="17514"/>
    <cellStyle name="Normal 31 5 3 3" xfId="21671"/>
    <cellStyle name="Normal 31 5 3 4" xfId="13374"/>
    <cellStyle name="Normal 31 5 4" xfId="7142"/>
    <cellStyle name="Normal 31 5 4 2" xfId="23739"/>
    <cellStyle name="Normal 31 5 4 3" xfId="15442"/>
    <cellStyle name="Normal 31 5 5" xfId="19599"/>
    <cellStyle name="Normal 31 5 6" xfId="11302"/>
    <cellStyle name="Normal 31 6" xfId="3449"/>
    <cellStyle name="Normal 31 6 2" xfId="5577"/>
    <cellStyle name="Normal 31 6 2 2" xfId="9733"/>
    <cellStyle name="Normal 31 6 2 2 2" xfId="26330"/>
    <cellStyle name="Normal 31 6 2 2 3" xfId="18033"/>
    <cellStyle name="Normal 31 6 2 3" xfId="22190"/>
    <cellStyle name="Normal 31 6 2 4" xfId="13893"/>
    <cellStyle name="Normal 31 6 3" xfId="7661"/>
    <cellStyle name="Normal 31 6 3 2" xfId="24258"/>
    <cellStyle name="Normal 31 6 3 3" xfId="15961"/>
    <cellStyle name="Normal 31 6 4" xfId="20118"/>
    <cellStyle name="Normal 31 6 5" xfId="11821"/>
    <cellStyle name="Normal 31 7" xfId="4529"/>
    <cellStyle name="Normal 31 7 2" xfId="8697"/>
    <cellStyle name="Normal 31 7 2 2" xfId="25294"/>
    <cellStyle name="Normal 31 7 2 3" xfId="16997"/>
    <cellStyle name="Normal 31 7 3" xfId="21154"/>
    <cellStyle name="Normal 31 7 4" xfId="12857"/>
    <cellStyle name="Normal 31 8" xfId="6620"/>
    <cellStyle name="Normal 31 8 2" xfId="23224"/>
    <cellStyle name="Normal 31 8 3" xfId="14927"/>
    <cellStyle name="Normal 31 9" xfId="19081"/>
    <cellStyle name="Normal 32" xfId="1592"/>
    <cellStyle name="Normal 32 10" xfId="10790"/>
    <cellStyle name="Normal 32 2" xfId="1593"/>
    <cellStyle name="Normal 32 2 2" xfId="1594"/>
    <cellStyle name="Normal 32 2 2 2" xfId="2929"/>
    <cellStyle name="Normal 32 2 2 2 2" xfId="3975"/>
    <cellStyle name="Normal 32 2 2 2 2 2" xfId="6100"/>
    <cellStyle name="Normal 32 2 2 2 2 2 2" xfId="10256"/>
    <cellStyle name="Normal 32 2 2 2 2 2 2 2" xfId="26853"/>
    <cellStyle name="Normal 32 2 2 2 2 2 2 3" xfId="18556"/>
    <cellStyle name="Normal 32 2 2 2 2 2 3" xfId="22713"/>
    <cellStyle name="Normal 32 2 2 2 2 2 4" xfId="14416"/>
    <cellStyle name="Normal 32 2 2 2 2 3" xfId="8184"/>
    <cellStyle name="Normal 32 2 2 2 2 3 2" xfId="24781"/>
    <cellStyle name="Normal 32 2 2 2 2 3 3" xfId="16484"/>
    <cellStyle name="Normal 32 2 2 2 2 4" xfId="20641"/>
    <cellStyle name="Normal 32 2 2 2 2 5" xfId="12344"/>
    <cellStyle name="Normal 32 2 2 2 3" xfId="5066"/>
    <cellStyle name="Normal 32 2 2 2 3 2" xfId="9222"/>
    <cellStyle name="Normal 32 2 2 2 3 2 2" xfId="25819"/>
    <cellStyle name="Normal 32 2 2 2 3 2 3" xfId="17522"/>
    <cellStyle name="Normal 32 2 2 2 3 3" xfId="21679"/>
    <cellStyle name="Normal 32 2 2 2 3 4" xfId="13382"/>
    <cellStyle name="Normal 32 2 2 2 4" xfId="7150"/>
    <cellStyle name="Normal 32 2 2 2 4 2" xfId="23747"/>
    <cellStyle name="Normal 32 2 2 2 4 3" xfId="15450"/>
    <cellStyle name="Normal 32 2 2 2 5" xfId="19607"/>
    <cellStyle name="Normal 32 2 2 2 6" xfId="11310"/>
    <cellStyle name="Normal 32 2 2 3" xfId="3457"/>
    <cellStyle name="Normal 32 2 2 3 2" xfId="5585"/>
    <cellStyle name="Normal 32 2 2 3 2 2" xfId="9741"/>
    <cellStyle name="Normal 32 2 2 3 2 2 2" xfId="26338"/>
    <cellStyle name="Normal 32 2 2 3 2 2 3" xfId="18041"/>
    <cellStyle name="Normal 32 2 2 3 2 3" xfId="22198"/>
    <cellStyle name="Normal 32 2 2 3 2 4" xfId="13901"/>
    <cellStyle name="Normal 32 2 2 3 3" xfId="7669"/>
    <cellStyle name="Normal 32 2 2 3 3 2" xfId="24266"/>
    <cellStyle name="Normal 32 2 2 3 3 3" xfId="15969"/>
    <cellStyle name="Normal 32 2 2 3 4" xfId="20126"/>
    <cellStyle name="Normal 32 2 2 3 5" xfId="11829"/>
    <cellStyle name="Normal 32 2 2 4" xfId="4537"/>
    <cellStyle name="Normal 32 2 2 4 2" xfId="8705"/>
    <cellStyle name="Normal 32 2 2 4 2 2" xfId="25302"/>
    <cellStyle name="Normal 32 2 2 4 2 3" xfId="17005"/>
    <cellStyle name="Normal 32 2 2 4 3" xfId="21162"/>
    <cellStyle name="Normal 32 2 2 4 4" xfId="12865"/>
    <cellStyle name="Normal 32 2 2 5" xfId="6628"/>
    <cellStyle name="Normal 32 2 2 5 2" xfId="23232"/>
    <cellStyle name="Normal 32 2 2 5 3" xfId="14935"/>
    <cellStyle name="Normal 32 2 2 6" xfId="19089"/>
    <cellStyle name="Normal 32 2 2 7" xfId="10792"/>
    <cellStyle name="Normal 32 2 3" xfId="2928"/>
    <cellStyle name="Normal 32 2 3 2" xfId="3974"/>
    <cellStyle name="Normal 32 2 3 2 2" xfId="6099"/>
    <cellStyle name="Normal 32 2 3 2 2 2" xfId="10255"/>
    <cellStyle name="Normal 32 2 3 2 2 2 2" xfId="26852"/>
    <cellStyle name="Normal 32 2 3 2 2 2 3" xfId="18555"/>
    <cellStyle name="Normal 32 2 3 2 2 3" xfId="22712"/>
    <cellStyle name="Normal 32 2 3 2 2 4" xfId="14415"/>
    <cellStyle name="Normal 32 2 3 2 3" xfId="8183"/>
    <cellStyle name="Normal 32 2 3 2 3 2" xfId="24780"/>
    <cellStyle name="Normal 32 2 3 2 3 3" xfId="16483"/>
    <cellStyle name="Normal 32 2 3 2 4" xfId="20640"/>
    <cellStyle name="Normal 32 2 3 2 5" xfId="12343"/>
    <cellStyle name="Normal 32 2 3 3" xfId="5065"/>
    <cellStyle name="Normal 32 2 3 3 2" xfId="9221"/>
    <cellStyle name="Normal 32 2 3 3 2 2" xfId="25818"/>
    <cellStyle name="Normal 32 2 3 3 2 3" xfId="17521"/>
    <cellStyle name="Normal 32 2 3 3 3" xfId="21678"/>
    <cellStyle name="Normal 32 2 3 3 4" xfId="13381"/>
    <cellStyle name="Normal 32 2 3 4" xfId="7149"/>
    <cellStyle name="Normal 32 2 3 4 2" xfId="23746"/>
    <cellStyle name="Normal 32 2 3 4 3" xfId="15449"/>
    <cellStyle name="Normal 32 2 3 5" xfId="19606"/>
    <cellStyle name="Normal 32 2 3 6" xfId="11309"/>
    <cellStyle name="Normal 32 2 4" xfId="3456"/>
    <cellStyle name="Normal 32 2 4 2" xfId="5584"/>
    <cellStyle name="Normal 32 2 4 2 2" xfId="9740"/>
    <cellStyle name="Normal 32 2 4 2 2 2" xfId="26337"/>
    <cellStyle name="Normal 32 2 4 2 2 3" xfId="18040"/>
    <cellStyle name="Normal 32 2 4 2 3" xfId="22197"/>
    <cellStyle name="Normal 32 2 4 2 4" xfId="13900"/>
    <cellStyle name="Normal 32 2 4 3" xfId="7668"/>
    <cellStyle name="Normal 32 2 4 3 2" xfId="24265"/>
    <cellStyle name="Normal 32 2 4 3 3" xfId="15968"/>
    <cellStyle name="Normal 32 2 4 4" xfId="20125"/>
    <cellStyle name="Normal 32 2 4 5" xfId="11828"/>
    <cellStyle name="Normal 32 2 5" xfId="4536"/>
    <cellStyle name="Normal 32 2 5 2" xfId="8704"/>
    <cellStyle name="Normal 32 2 5 2 2" xfId="25301"/>
    <cellStyle name="Normal 32 2 5 2 3" xfId="17004"/>
    <cellStyle name="Normal 32 2 5 3" xfId="21161"/>
    <cellStyle name="Normal 32 2 5 4" xfId="12864"/>
    <cellStyle name="Normal 32 2 6" xfId="6627"/>
    <cellStyle name="Normal 32 2 6 2" xfId="23231"/>
    <cellStyle name="Normal 32 2 6 3" xfId="14934"/>
    <cellStyle name="Normal 32 2 7" xfId="19088"/>
    <cellStyle name="Normal 32 2 8" xfId="10791"/>
    <cellStyle name="Normal 32 3" xfId="1595"/>
    <cellStyle name="Normal 32 3 2" xfId="1596"/>
    <cellStyle name="Normal 32 3 2 2" xfId="2931"/>
    <cellStyle name="Normal 32 3 2 2 2" xfId="3977"/>
    <cellStyle name="Normal 32 3 2 2 2 2" xfId="6102"/>
    <cellStyle name="Normal 32 3 2 2 2 2 2" xfId="10258"/>
    <cellStyle name="Normal 32 3 2 2 2 2 2 2" xfId="26855"/>
    <cellStyle name="Normal 32 3 2 2 2 2 2 3" xfId="18558"/>
    <cellStyle name="Normal 32 3 2 2 2 2 3" xfId="22715"/>
    <cellStyle name="Normal 32 3 2 2 2 2 4" xfId="14418"/>
    <cellStyle name="Normal 32 3 2 2 2 3" xfId="8186"/>
    <cellStyle name="Normal 32 3 2 2 2 3 2" xfId="24783"/>
    <cellStyle name="Normal 32 3 2 2 2 3 3" xfId="16486"/>
    <cellStyle name="Normal 32 3 2 2 2 4" xfId="20643"/>
    <cellStyle name="Normal 32 3 2 2 2 5" xfId="12346"/>
    <cellStyle name="Normal 32 3 2 2 3" xfId="5068"/>
    <cellStyle name="Normal 32 3 2 2 3 2" xfId="9224"/>
    <cellStyle name="Normal 32 3 2 2 3 2 2" xfId="25821"/>
    <cellStyle name="Normal 32 3 2 2 3 2 3" xfId="17524"/>
    <cellStyle name="Normal 32 3 2 2 3 3" xfId="21681"/>
    <cellStyle name="Normal 32 3 2 2 3 4" xfId="13384"/>
    <cellStyle name="Normal 32 3 2 2 4" xfId="7152"/>
    <cellStyle name="Normal 32 3 2 2 4 2" xfId="23749"/>
    <cellStyle name="Normal 32 3 2 2 4 3" xfId="15452"/>
    <cellStyle name="Normal 32 3 2 2 5" xfId="19609"/>
    <cellStyle name="Normal 32 3 2 2 6" xfId="11312"/>
    <cellStyle name="Normal 32 3 2 3" xfId="3459"/>
    <cellStyle name="Normal 32 3 2 3 2" xfId="5587"/>
    <cellStyle name="Normal 32 3 2 3 2 2" xfId="9743"/>
    <cellStyle name="Normal 32 3 2 3 2 2 2" xfId="26340"/>
    <cellStyle name="Normal 32 3 2 3 2 2 3" xfId="18043"/>
    <cellStyle name="Normal 32 3 2 3 2 3" xfId="22200"/>
    <cellStyle name="Normal 32 3 2 3 2 4" xfId="13903"/>
    <cellStyle name="Normal 32 3 2 3 3" xfId="7671"/>
    <cellStyle name="Normal 32 3 2 3 3 2" xfId="24268"/>
    <cellStyle name="Normal 32 3 2 3 3 3" xfId="15971"/>
    <cellStyle name="Normal 32 3 2 3 4" xfId="20128"/>
    <cellStyle name="Normal 32 3 2 3 5" xfId="11831"/>
    <cellStyle name="Normal 32 3 2 4" xfId="4539"/>
    <cellStyle name="Normal 32 3 2 4 2" xfId="8707"/>
    <cellStyle name="Normal 32 3 2 4 2 2" xfId="25304"/>
    <cellStyle name="Normal 32 3 2 4 2 3" xfId="17007"/>
    <cellStyle name="Normal 32 3 2 4 3" xfId="21164"/>
    <cellStyle name="Normal 32 3 2 4 4" xfId="12867"/>
    <cellStyle name="Normal 32 3 2 5" xfId="6630"/>
    <cellStyle name="Normal 32 3 2 5 2" xfId="23234"/>
    <cellStyle name="Normal 32 3 2 5 3" xfId="14937"/>
    <cellStyle name="Normal 32 3 2 6" xfId="19091"/>
    <cellStyle name="Normal 32 3 2 7" xfId="10794"/>
    <cellStyle name="Normal 32 3 3" xfId="2930"/>
    <cellStyle name="Normal 32 3 3 2" xfId="3976"/>
    <cellStyle name="Normal 32 3 3 2 2" xfId="6101"/>
    <cellStyle name="Normal 32 3 3 2 2 2" xfId="10257"/>
    <cellStyle name="Normal 32 3 3 2 2 2 2" xfId="26854"/>
    <cellStyle name="Normal 32 3 3 2 2 2 3" xfId="18557"/>
    <cellStyle name="Normal 32 3 3 2 2 3" xfId="22714"/>
    <cellStyle name="Normal 32 3 3 2 2 4" xfId="14417"/>
    <cellStyle name="Normal 32 3 3 2 3" xfId="8185"/>
    <cellStyle name="Normal 32 3 3 2 3 2" xfId="24782"/>
    <cellStyle name="Normal 32 3 3 2 3 3" xfId="16485"/>
    <cellStyle name="Normal 32 3 3 2 4" xfId="20642"/>
    <cellStyle name="Normal 32 3 3 2 5" xfId="12345"/>
    <cellStyle name="Normal 32 3 3 3" xfId="5067"/>
    <cellStyle name="Normal 32 3 3 3 2" xfId="9223"/>
    <cellStyle name="Normal 32 3 3 3 2 2" xfId="25820"/>
    <cellStyle name="Normal 32 3 3 3 2 3" xfId="17523"/>
    <cellStyle name="Normal 32 3 3 3 3" xfId="21680"/>
    <cellStyle name="Normal 32 3 3 3 4" xfId="13383"/>
    <cellStyle name="Normal 32 3 3 4" xfId="7151"/>
    <cellStyle name="Normal 32 3 3 4 2" xfId="23748"/>
    <cellStyle name="Normal 32 3 3 4 3" xfId="15451"/>
    <cellStyle name="Normal 32 3 3 5" xfId="19608"/>
    <cellStyle name="Normal 32 3 3 6" xfId="11311"/>
    <cellStyle name="Normal 32 3 4" xfId="3458"/>
    <cellStyle name="Normal 32 3 4 2" xfId="5586"/>
    <cellStyle name="Normal 32 3 4 2 2" xfId="9742"/>
    <cellStyle name="Normal 32 3 4 2 2 2" xfId="26339"/>
    <cellStyle name="Normal 32 3 4 2 2 3" xfId="18042"/>
    <cellStyle name="Normal 32 3 4 2 3" xfId="22199"/>
    <cellStyle name="Normal 32 3 4 2 4" xfId="13902"/>
    <cellStyle name="Normal 32 3 4 3" xfId="7670"/>
    <cellStyle name="Normal 32 3 4 3 2" xfId="24267"/>
    <cellStyle name="Normal 32 3 4 3 3" xfId="15970"/>
    <cellStyle name="Normal 32 3 4 4" xfId="20127"/>
    <cellStyle name="Normal 32 3 4 5" xfId="11830"/>
    <cellStyle name="Normal 32 3 5" xfId="4538"/>
    <cellStyle name="Normal 32 3 5 2" xfId="8706"/>
    <cellStyle name="Normal 32 3 5 2 2" xfId="25303"/>
    <cellStyle name="Normal 32 3 5 2 3" xfId="17006"/>
    <cellStyle name="Normal 32 3 5 3" xfId="21163"/>
    <cellStyle name="Normal 32 3 5 4" xfId="12866"/>
    <cellStyle name="Normal 32 3 6" xfId="6629"/>
    <cellStyle name="Normal 32 3 6 2" xfId="23233"/>
    <cellStyle name="Normal 32 3 6 3" xfId="14936"/>
    <cellStyle name="Normal 32 3 7" xfId="19090"/>
    <cellStyle name="Normal 32 3 8" xfId="10793"/>
    <cellStyle name="Normal 32 4" xfId="1597"/>
    <cellStyle name="Normal 32 4 2" xfId="2932"/>
    <cellStyle name="Normal 32 4 2 2" xfId="3978"/>
    <cellStyle name="Normal 32 4 2 2 2" xfId="6103"/>
    <cellStyle name="Normal 32 4 2 2 2 2" xfId="10259"/>
    <cellStyle name="Normal 32 4 2 2 2 2 2" xfId="26856"/>
    <cellStyle name="Normal 32 4 2 2 2 2 3" xfId="18559"/>
    <cellStyle name="Normal 32 4 2 2 2 3" xfId="22716"/>
    <cellStyle name="Normal 32 4 2 2 2 4" xfId="14419"/>
    <cellStyle name="Normal 32 4 2 2 3" xfId="8187"/>
    <cellStyle name="Normal 32 4 2 2 3 2" xfId="24784"/>
    <cellStyle name="Normal 32 4 2 2 3 3" xfId="16487"/>
    <cellStyle name="Normal 32 4 2 2 4" xfId="20644"/>
    <cellStyle name="Normal 32 4 2 2 5" xfId="12347"/>
    <cellStyle name="Normal 32 4 2 3" xfId="5069"/>
    <cellStyle name="Normal 32 4 2 3 2" xfId="9225"/>
    <cellStyle name="Normal 32 4 2 3 2 2" xfId="25822"/>
    <cellStyle name="Normal 32 4 2 3 2 3" xfId="17525"/>
    <cellStyle name="Normal 32 4 2 3 3" xfId="21682"/>
    <cellStyle name="Normal 32 4 2 3 4" xfId="13385"/>
    <cellStyle name="Normal 32 4 2 4" xfId="7153"/>
    <cellStyle name="Normal 32 4 2 4 2" xfId="23750"/>
    <cellStyle name="Normal 32 4 2 4 3" xfId="15453"/>
    <cellStyle name="Normal 32 4 2 5" xfId="19610"/>
    <cellStyle name="Normal 32 4 2 6" xfId="11313"/>
    <cellStyle name="Normal 32 4 3" xfId="3460"/>
    <cellStyle name="Normal 32 4 3 2" xfId="5588"/>
    <cellStyle name="Normal 32 4 3 2 2" xfId="9744"/>
    <cellStyle name="Normal 32 4 3 2 2 2" xfId="26341"/>
    <cellStyle name="Normal 32 4 3 2 2 3" xfId="18044"/>
    <cellStyle name="Normal 32 4 3 2 3" xfId="22201"/>
    <cellStyle name="Normal 32 4 3 2 4" xfId="13904"/>
    <cellStyle name="Normal 32 4 3 3" xfId="7672"/>
    <cellStyle name="Normal 32 4 3 3 2" xfId="24269"/>
    <cellStyle name="Normal 32 4 3 3 3" xfId="15972"/>
    <cellStyle name="Normal 32 4 3 4" xfId="20129"/>
    <cellStyle name="Normal 32 4 3 5" xfId="11832"/>
    <cellStyle name="Normal 32 4 4" xfId="4540"/>
    <cellStyle name="Normal 32 4 4 2" xfId="8708"/>
    <cellStyle name="Normal 32 4 4 2 2" xfId="25305"/>
    <cellStyle name="Normal 32 4 4 2 3" xfId="17008"/>
    <cellStyle name="Normal 32 4 4 3" xfId="21165"/>
    <cellStyle name="Normal 32 4 4 4" xfId="12868"/>
    <cellStyle name="Normal 32 4 5" xfId="6631"/>
    <cellStyle name="Normal 32 4 5 2" xfId="23235"/>
    <cellStyle name="Normal 32 4 5 3" xfId="14938"/>
    <cellStyle name="Normal 32 4 6" xfId="19092"/>
    <cellStyle name="Normal 32 4 7" xfId="10795"/>
    <cellStyle name="Normal 32 5" xfId="2927"/>
    <cellStyle name="Normal 32 5 2" xfId="3973"/>
    <cellStyle name="Normal 32 5 2 2" xfId="6098"/>
    <cellStyle name="Normal 32 5 2 2 2" xfId="10254"/>
    <cellStyle name="Normal 32 5 2 2 2 2" xfId="26851"/>
    <cellStyle name="Normal 32 5 2 2 2 3" xfId="18554"/>
    <cellStyle name="Normal 32 5 2 2 3" xfId="22711"/>
    <cellStyle name="Normal 32 5 2 2 4" xfId="14414"/>
    <cellStyle name="Normal 32 5 2 3" xfId="8182"/>
    <cellStyle name="Normal 32 5 2 3 2" xfId="24779"/>
    <cellStyle name="Normal 32 5 2 3 3" xfId="16482"/>
    <cellStyle name="Normal 32 5 2 4" xfId="20639"/>
    <cellStyle name="Normal 32 5 2 5" xfId="12342"/>
    <cellStyle name="Normal 32 5 3" xfId="5064"/>
    <cellStyle name="Normal 32 5 3 2" xfId="9220"/>
    <cellStyle name="Normal 32 5 3 2 2" xfId="25817"/>
    <cellStyle name="Normal 32 5 3 2 3" xfId="17520"/>
    <cellStyle name="Normal 32 5 3 3" xfId="21677"/>
    <cellStyle name="Normal 32 5 3 4" xfId="13380"/>
    <cellStyle name="Normal 32 5 4" xfId="7148"/>
    <cellStyle name="Normal 32 5 4 2" xfId="23745"/>
    <cellStyle name="Normal 32 5 4 3" xfId="15448"/>
    <cellStyle name="Normal 32 5 5" xfId="19605"/>
    <cellStyle name="Normal 32 5 6" xfId="11308"/>
    <cellStyle name="Normal 32 6" xfId="3455"/>
    <cellStyle name="Normal 32 6 2" xfId="5583"/>
    <cellStyle name="Normal 32 6 2 2" xfId="9739"/>
    <cellStyle name="Normal 32 6 2 2 2" xfId="26336"/>
    <cellStyle name="Normal 32 6 2 2 3" xfId="18039"/>
    <cellStyle name="Normal 32 6 2 3" xfId="22196"/>
    <cellStyle name="Normal 32 6 2 4" xfId="13899"/>
    <cellStyle name="Normal 32 6 3" xfId="7667"/>
    <cellStyle name="Normal 32 6 3 2" xfId="24264"/>
    <cellStyle name="Normal 32 6 3 3" xfId="15967"/>
    <cellStyle name="Normal 32 6 4" xfId="20124"/>
    <cellStyle name="Normal 32 6 5" xfId="11827"/>
    <cellStyle name="Normal 32 7" xfId="4535"/>
    <cellStyle name="Normal 32 7 2" xfId="8703"/>
    <cellStyle name="Normal 32 7 2 2" xfId="25300"/>
    <cellStyle name="Normal 32 7 2 3" xfId="17003"/>
    <cellStyle name="Normal 32 7 3" xfId="21160"/>
    <cellStyle name="Normal 32 7 4" xfId="12863"/>
    <cellStyle name="Normal 32 8" xfId="6626"/>
    <cellStyle name="Normal 32 8 2" xfId="23230"/>
    <cellStyle name="Normal 32 8 3" xfId="14933"/>
    <cellStyle name="Normal 32 9" xfId="19087"/>
    <cellStyle name="Normal 33" xfId="1598"/>
    <cellStyle name="Normal 33 10" xfId="10796"/>
    <cellStyle name="Normal 33 2" xfId="1599"/>
    <cellStyle name="Normal 33 2 2" xfId="1600"/>
    <cellStyle name="Normal 33 2 2 2" xfId="2935"/>
    <cellStyle name="Normal 33 2 2 2 2" xfId="3981"/>
    <cellStyle name="Normal 33 2 2 2 2 2" xfId="6106"/>
    <cellStyle name="Normal 33 2 2 2 2 2 2" xfId="10262"/>
    <cellStyle name="Normal 33 2 2 2 2 2 2 2" xfId="26859"/>
    <cellStyle name="Normal 33 2 2 2 2 2 2 3" xfId="18562"/>
    <cellStyle name="Normal 33 2 2 2 2 2 3" xfId="22719"/>
    <cellStyle name="Normal 33 2 2 2 2 2 4" xfId="14422"/>
    <cellStyle name="Normal 33 2 2 2 2 3" xfId="8190"/>
    <cellStyle name="Normal 33 2 2 2 2 3 2" xfId="24787"/>
    <cellStyle name="Normal 33 2 2 2 2 3 3" xfId="16490"/>
    <cellStyle name="Normal 33 2 2 2 2 4" xfId="20647"/>
    <cellStyle name="Normal 33 2 2 2 2 5" xfId="12350"/>
    <cellStyle name="Normal 33 2 2 2 3" xfId="5072"/>
    <cellStyle name="Normal 33 2 2 2 3 2" xfId="9228"/>
    <cellStyle name="Normal 33 2 2 2 3 2 2" xfId="25825"/>
    <cellStyle name="Normal 33 2 2 2 3 2 3" xfId="17528"/>
    <cellStyle name="Normal 33 2 2 2 3 3" xfId="21685"/>
    <cellStyle name="Normal 33 2 2 2 3 4" xfId="13388"/>
    <cellStyle name="Normal 33 2 2 2 4" xfId="7156"/>
    <cellStyle name="Normal 33 2 2 2 4 2" xfId="23753"/>
    <cellStyle name="Normal 33 2 2 2 4 3" xfId="15456"/>
    <cellStyle name="Normal 33 2 2 2 5" xfId="19613"/>
    <cellStyle name="Normal 33 2 2 2 6" xfId="11316"/>
    <cellStyle name="Normal 33 2 2 3" xfId="3463"/>
    <cellStyle name="Normal 33 2 2 3 2" xfId="5591"/>
    <cellStyle name="Normal 33 2 2 3 2 2" xfId="9747"/>
    <cellStyle name="Normal 33 2 2 3 2 2 2" xfId="26344"/>
    <cellStyle name="Normal 33 2 2 3 2 2 3" xfId="18047"/>
    <cellStyle name="Normal 33 2 2 3 2 3" xfId="22204"/>
    <cellStyle name="Normal 33 2 2 3 2 4" xfId="13907"/>
    <cellStyle name="Normal 33 2 2 3 3" xfId="7675"/>
    <cellStyle name="Normal 33 2 2 3 3 2" xfId="24272"/>
    <cellStyle name="Normal 33 2 2 3 3 3" xfId="15975"/>
    <cellStyle name="Normal 33 2 2 3 4" xfId="20132"/>
    <cellStyle name="Normal 33 2 2 3 5" xfId="11835"/>
    <cellStyle name="Normal 33 2 2 4" xfId="4543"/>
    <cellStyle name="Normal 33 2 2 4 2" xfId="8711"/>
    <cellStyle name="Normal 33 2 2 4 2 2" xfId="25308"/>
    <cellStyle name="Normal 33 2 2 4 2 3" xfId="17011"/>
    <cellStyle name="Normal 33 2 2 4 3" xfId="21168"/>
    <cellStyle name="Normal 33 2 2 4 4" xfId="12871"/>
    <cellStyle name="Normal 33 2 2 5" xfId="6634"/>
    <cellStyle name="Normal 33 2 2 5 2" xfId="23238"/>
    <cellStyle name="Normal 33 2 2 5 3" xfId="14941"/>
    <cellStyle name="Normal 33 2 2 6" xfId="19095"/>
    <cellStyle name="Normal 33 2 2 7" xfId="10798"/>
    <cellStyle name="Normal 33 2 3" xfId="2934"/>
    <cellStyle name="Normal 33 2 3 2" xfId="3980"/>
    <cellStyle name="Normal 33 2 3 2 2" xfId="6105"/>
    <cellStyle name="Normal 33 2 3 2 2 2" xfId="10261"/>
    <cellStyle name="Normal 33 2 3 2 2 2 2" xfId="26858"/>
    <cellStyle name="Normal 33 2 3 2 2 2 3" xfId="18561"/>
    <cellStyle name="Normal 33 2 3 2 2 3" xfId="22718"/>
    <cellStyle name="Normal 33 2 3 2 2 4" xfId="14421"/>
    <cellStyle name="Normal 33 2 3 2 3" xfId="8189"/>
    <cellStyle name="Normal 33 2 3 2 3 2" xfId="24786"/>
    <cellStyle name="Normal 33 2 3 2 3 3" xfId="16489"/>
    <cellStyle name="Normal 33 2 3 2 4" xfId="20646"/>
    <cellStyle name="Normal 33 2 3 2 5" xfId="12349"/>
    <cellStyle name="Normal 33 2 3 3" xfId="5071"/>
    <cellStyle name="Normal 33 2 3 3 2" xfId="9227"/>
    <cellStyle name="Normal 33 2 3 3 2 2" xfId="25824"/>
    <cellStyle name="Normal 33 2 3 3 2 3" xfId="17527"/>
    <cellStyle name="Normal 33 2 3 3 3" xfId="21684"/>
    <cellStyle name="Normal 33 2 3 3 4" xfId="13387"/>
    <cellStyle name="Normal 33 2 3 4" xfId="7155"/>
    <cellStyle name="Normal 33 2 3 4 2" xfId="23752"/>
    <cellStyle name="Normal 33 2 3 4 3" xfId="15455"/>
    <cellStyle name="Normal 33 2 3 5" xfId="19612"/>
    <cellStyle name="Normal 33 2 3 6" xfId="11315"/>
    <cellStyle name="Normal 33 2 4" xfId="3462"/>
    <cellStyle name="Normal 33 2 4 2" xfId="5590"/>
    <cellStyle name="Normal 33 2 4 2 2" xfId="9746"/>
    <cellStyle name="Normal 33 2 4 2 2 2" xfId="26343"/>
    <cellStyle name="Normal 33 2 4 2 2 3" xfId="18046"/>
    <cellStyle name="Normal 33 2 4 2 3" xfId="22203"/>
    <cellStyle name="Normal 33 2 4 2 4" xfId="13906"/>
    <cellStyle name="Normal 33 2 4 3" xfId="7674"/>
    <cellStyle name="Normal 33 2 4 3 2" xfId="24271"/>
    <cellStyle name="Normal 33 2 4 3 3" xfId="15974"/>
    <cellStyle name="Normal 33 2 4 4" xfId="20131"/>
    <cellStyle name="Normal 33 2 4 5" xfId="11834"/>
    <cellStyle name="Normal 33 2 5" xfId="4542"/>
    <cellStyle name="Normal 33 2 5 2" xfId="8710"/>
    <cellStyle name="Normal 33 2 5 2 2" xfId="25307"/>
    <cellStyle name="Normal 33 2 5 2 3" xfId="17010"/>
    <cellStyle name="Normal 33 2 5 3" xfId="21167"/>
    <cellStyle name="Normal 33 2 5 4" xfId="12870"/>
    <cellStyle name="Normal 33 2 6" xfId="6633"/>
    <cellStyle name="Normal 33 2 6 2" xfId="23237"/>
    <cellStyle name="Normal 33 2 6 3" xfId="14940"/>
    <cellStyle name="Normal 33 2 7" xfId="19094"/>
    <cellStyle name="Normal 33 2 8" xfId="10797"/>
    <cellStyle name="Normal 33 3" xfId="1601"/>
    <cellStyle name="Normal 33 3 2" xfId="1602"/>
    <cellStyle name="Normal 33 3 2 2" xfId="2937"/>
    <cellStyle name="Normal 33 3 2 2 2" xfId="3983"/>
    <cellStyle name="Normal 33 3 2 2 2 2" xfId="6108"/>
    <cellStyle name="Normal 33 3 2 2 2 2 2" xfId="10264"/>
    <cellStyle name="Normal 33 3 2 2 2 2 2 2" xfId="26861"/>
    <cellStyle name="Normal 33 3 2 2 2 2 2 3" xfId="18564"/>
    <cellStyle name="Normal 33 3 2 2 2 2 3" xfId="22721"/>
    <cellStyle name="Normal 33 3 2 2 2 2 4" xfId="14424"/>
    <cellStyle name="Normal 33 3 2 2 2 3" xfId="8192"/>
    <cellStyle name="Normal 33 3 2 2 2 3 2" xfId="24789"/>
    <cellStyle name="Normal 33 3 2 2 2 3 3" xfId="16492"/>
    <cellStyle name="Normal 33 3 2 2 2 4" xfId="20649"/>
    <cellStyle name="Normal 33 3 2 2 2 5" xfId="12352"/>
    <cellStyle name="Normal 33 3 2 2 3" xfId="5074"/>
    <cellStyle name="Normal 33 3 2 2 3 2" xfId="9230"/>
    <cellStyle name="Normal 33 3 2 2 3 2 2" xfId="25827"/>
    <cellStyle name="Normal 33 3 2 2 3 2 3" xfId="17530"/>
    <cellStyle name="Normal 33 3 2 2 3 3" xfId="21687"/>
    <cellStyle name="Normal 33 3 2 2 3 4" xfId="13390"/>
    <cellStyle name="Normal 33 3 2 2 4" xfId="7158"/>
    <cellStyle name="Normal 33 3 2 2 4 2" xfId="23755"/>
    <cellStyle name="Normal 33 3 2 2 4 3" xfId="15458"/>
    <cellStyle name="Normal 33 3 2 2 5" xfId="19615"/>
    <cellStyle name="Normal 33 3 2 2 6" xfId="11318"/>
    <cellStyle name="Normal 33 3 2 3" xfId="3465"/>
    <cellStyle name="Normal 33 3 2 3 2" xfId="5593"/>
    <cellStyle name="Normal 33 3 2 3 2 2" xfId="9749"/>
    <cellStyle name="Normal 33 3 2 3 2 2 2" xfId="26346"/>
    <cellStyle name="Normal 33 3 2 3 2 2 3" xfId="18049"/>
    <cellStyle name="Normal 33 3 2 3 2 3" xfId="22206"/>
    <cellStyle name="Normal 33 3 2 3 2 4" xfId="13909"/>
    <cellStyle name="Normal 33 3 2 3 3" xfId="7677"/>
    <cellStyle name="Normal 33 3 2 3 3 2" xfId="24274"/>
    <cellStyle name="Normal 33 3 2 3 3 3" xfId="15977"/>
    <cellStyle name="Normal 33 3 2 3 4" xfId="20134"/>
    <cellStyle name="Normal 33 3 2 3 5" xfId="11837"/>
    <cellStyle name="Normal 33 3 2 4" xfId="4545"/>
    <cellStyle name="Normal 33 3 2 4 2" xfId="8713"/>
    <cellStyle name="Normal 33 3 2 4 2 2" xfId="25310"/>
    <cellStyle name="Normal 33 3 2 4 2 3" xfId="17013"/>
    <cellStyle name="Normal 33 3 2 4 3" xfId="21170"/>
    <cellStyle name="Normal 33 3 2 4 4" xfId="12873"/>
    <cellStyle name="Normal 33 3 2 5" xfId="6636"/>
    <cellStyle name="Normal 33 3 2 5 2" xfId="23240"/>
    <cellStyle name="Normal 33 3 2 5 3" xfId="14943"/>
    <cellStyle name="Normal 33 3 2 6" xfId="19097"/>
    <cellStyle name="Normal 33 3 2 7" xfId="10800"/>
    <cellStyle name="Normal 33 3 3" xfId="2936"/>
    <cellStyle name="Normal 33 3 3 2" xfId="3982"/>
    <cellStyle name="Normal 33 3 3 2 2" xfId="6107"/>
    <cellStyle name="Normal 33 3 3 2 2 2" xfId="10263"/>
    <cellStyle name="Normal 33 3 3 2 2 2 2" xfId="26860"/>
    <cellStyle name="Normal 33 3 3 2 2 2 3" xfId="18563"/>
    <cellStyle name="Normal 33 3 3 2 2 3" xfId="22720"/>
    <cellStyle name="Normal 33 3 3 2 2 4" xfId="14423"/>
    <cellStyle name="Normal 33 3 3 2 3" xfId="8191"/>
    <cellStyle name="Normal 33 3 3 2 3 2" xfId="24788"/>
    <cellStyle name="Normal 33 3 3 2 3 3" xfId="16491"/>
    <cellStyle name="Normal 33 3 3 2 4" xfId="20648"/>
    <cellStyle name="Normal 33 3 3 2 5" xfId="12351"/>
    <cellStyle name="Normal 33 3 3 3" xfId="5073"/>
    <cellStyle name="Normal 33 3 3 3 2" xfId="9229"/>
    <cellStyle name="Normal 33 3 3 3 2 2" xfId="25826"/>
    <cellStyle name="Normal 33 3 3 3 2 3" xfId="17529"/>
    <cellStyle name="Normal 33 3 3 3 3" xfId="21686"/>
    <cellStyle name="Normal 33 3 3 3 4" xfId="13389"/>
    <cellStyle name="Normal 33 3 3 4" xfId="7157"/>
    <cellStyle name="Normal 33 3 3 4 2" xfId="23754"/>
    <cellStyle name="Normal 33 3 3 4 3" xfId="15457"/>
    <cellStyle name="Normal 33 3 3 5" xfId="19614"/>
    <cellStyle name="Normal 33 3 3 6" xfId="11317"/>
    <cellStyle name="Normal 33 3 4" xfId="3464"/>
    <cellStyle name="Normal 33 3 4 2" xfId="5592"/>
    <cellStyle name="Normal 33 3 4 2 2" xfId="9748"/>
    <cellStyle name="Normal 33 3 4 2 2 2" xfId="26345"/>
    <cellStyle name="Normal 33 3 4 2 2 3" xfId="18048"/>
    <cellStyle name="Normal 33 3 4 2 3" xfId="22205"/>
    <cellStyle name="Normal 33 3 4 2 4" xfId="13908"/>
    <cellStyle name="Normal 33 3 4 3" xfId="7676"/>
    <cellStyle name="Normal 33 3 4 3 2" xfId="24273"/>
    <cellStyle name="Normal 33 3 4 3 3" xfId="15976"/>
    <cellStyle name="Normal 33 3 4 4" xfId="20133"/>
    <cellStyle name="Normal 33 3 4 5" xfId="11836"/>
    <cellStyle name="Normal 33 3 5" xfId="4544"/>
    <cellStyle name="Normal 33 3 5 2" xfId="8712"/>
    <cellStyle name="Normal 33 3 5 2 2" xfId="25309"/>
    <cellStyle name="Normal 33 3 5 2 3" xfId="17012"/>
    <cellStyle name="Normal 33 3 5 3" xfId="21169"/>
    <cellStyle name="Normal 33 3 5 4" xfId="12872"/>
    <cellStyle name="Normal 33 3 6" xfId="6635"/>
    <cellStyle name="Normal 33 3 6 2" xfId="23239"/>
    <cellStyle name="Normal 33 3 6 3" xfId="14942"/>
    <cellStyle name="Normal 33 3 7" xfId="19096"/>
    <cellStyle name="Normal 33 3 8" xfId="10799"/>
    <cellStyle name="Normal 33 4" xfId="1603"/>
    <cellStyle name="Normal 33 4 2" xfId="2938"/>
    <cellStyle name="Normal 33 4 2 2" xfId="3984"/>
    <cellStyle name="Normal 33 4 2 2 2" xfId="6109"/>
    <cellStyle name="Normal 33 4 2 2 2 2" xfId="10265"/>
    <cellStyle name="Normal 33 4 2 2 2 2 2" xfId="26862"/>
    <cellStyle name="Normal 33 4 2 2 2 2 3" xfId="18565"/>
    <cellStyle name="Normal 33 4 2 2 2 3" xfId="22722"/>
    <cellStyle name="Normal 33 4 2 2 2 4" xfId="14425"/>
    <cellStyle name="Normal 33 4 2 2 3" xfId="8193"/>
    <cellStyle name="Normal 33 4 2 2 3 2" xfId="24790"/>
    <cellStyle name="Normal 33 4 2 2 3 3" xfId="16493"/>
    <cellStyle name="Normal 33 4 2 2 4" xfId="20650"/>
    <cellStyle name="Normal 33 4 2 2 5" xfId="12353"/>
    <cellStyle name="Normal 33 4 2 3" xfId="5075"/>
    <cellStyle name="Normal 33 4 2 3 2" xfId="9231"/>
    <cellStyle name="Normal 33 4 2 3 2 2" xfId="25828"/>
    <cellStyle name="Normal 33 4 2 3 2 3" xfId="17531"/>
    <cellStyle name="Normal 33 4 2 3 3" xfId="21688"/>
    <cellStyle name="Normal 33 4 2 3 4" xfId="13391"/>
    <cellStyle name="Normal 33 4 2 4" xfId="7159"/>
    <cellStyle name="Normal 33 4 2 4 2" xfId="23756"/>
    <cellStyle name="Normal 33 4 2 4 3" xfId="15459"/>
    <cellStyle name="Normal 33 4 2 5" xfId="19616"/>
    <cellStyle name="Normal 33 4 2 6" xfId="11319"/>
    <cellStyle name="Normal 33 4 3" xfId="3466"/>
    <cellStyle name="Normal 33 4 3 2" xfId="5594"/>
    <cellStyle name="Normal 33 4 3 2 2" xfId="9750"/>
    <cellStyle name="Normal 33 4 3 2 2 2" xfId="26347"/>
    <cellStyle name="Normal 33 4 3 2 2 3" xfId="18050"/>
    <cellStyle name="Normal 33 4 3 2 3" xfId="22207"/>
    <cellStyle name="Normal 33 4 3 2 4" xfId="13910"/>
    <cellStyle name="Normal 33 4 3 3" xfId="7678"/>
    <cellStyle name="Normal 33 4 3 3 2" xfId="24275"/>
    <cellStyle name="Normal 33 4 3 3 3" xfId="15978"/>
    <cellStyle name="Normal 33 4 3 4" xfId="20135"/>
    <cellStyle name="Normal 33 4 3 5" xfId="11838"/>
    <cellStyle name="Normal 33 4 4" xfId="4546"/>
    <cellStyle name="Normal 33 4 4 2" xfId="8714"/>
    <cellStyle name="Normal 33 4 4 2 2" xfId="25311"/>
    <cellStyle name="Normal 33 4 4 2 3" xfId="17014"/>
    <cellStyle name="Normal 33 4 4 3" xfId="21171"/>
    <cellStyle name="Normal 33 4 4 4" xfId="12874"/>
    <cellStyle name="Normal 33 4 5" xfId="6637"/>
    <cellStyle name="Normal 33 4 5 2" xfId="23241"/>
    <cellStyle name="Normal 33 4 5 3" xfId="14944"/>
    <cellStyle name="Normal 33 4 6" xfId="19098"/>
    <cellStyle name="Normal 33 4 7" xfId="10801"/>
    <cellStyle name="Normal 33 5" xfId="2933"/>
    <cellStyle name="Normal 33 5 2" xfId="3979"/>
    <cellStyle name="Normal 33 5 2 2" xfId="6104"/>
    <cellStyle name="Normal 33 5 2 2 2" xfId="10260"/>
    <cellStyle name="Normal 33 5 2 2 2 2" xfId="26857"/>
    <cellStyle name="Normal 33 5 2 2 2 3" xfId="18560"/>
    <cellStyle name="Normal 33 5 2 2 3" xfId="22717"/>
    <cellStyle name="Normal 33 5 2 2 4" xfId="14420"/>
    <cellStyle name="Normal 33 5 2 3" xfId="8188"/>
    <cellStyle name="Normal 33 5 2 3 2" xfId="24785"/>
    <cellStyle name="Normal 33 5 2 3 3" xfId="16488"/>
    <cellStyle name="Normal 33 5 2 4" xfId="20645"/>
    <cellStyle name="Normal 33 5 2 5" xfId="12348"/>
    <cellStyle name="Normal 33 5 3" xfId="5070"/>
    <cellStyle name="Normal 33 5 3 2" xfId="9226"/>
    <cellStyle name="Normal 33 5 3 2 2" xfId="25823"/>
    <cellStyle name="Normal 33 5 3 2 3" xfId="17526"/>
    <cellStyle name="Normal 33 5 3 3" xfId="21683"/>
    <cellStyle name="Normal 33 5 3 4" xfId="13386"/>
    <cellStyle name="Normal 33 5 4" xfId="7154"/>
    <cellStyle name="Normal 33 5 4 2" xfId="23751"/>
    <cellStyle name="Normal 33 5 4 3" xfId="15454"/>
    <cellStyle name="Normal 33 5 5" xfId="19611"/>
    <cellStyle name="Normal 33 5 6" xfId="11314"/>
    <cellStyle name="Normal 33 6" xfId="3461"/>
    <cellStyle name="Normal 33 6 2" xfId="5589"/>
    <cellStyle name="Normal 33 6 2 2" xfId="9745"/>
    <cellStyle name="Normal 33 6 2 2 2" xfId="26342"/>
    <cellStyle name="Normal 33 6 2 2 3" xfId="18045"/>
    <cellStyle name="Normal 33 6 2 3" xfId="22202"/>
    <cellStyle name="Normal 33 6 2 4" xfId="13905"/>
    <cellStyle name="Normal 33 6 3" xfId="7673"/>
    <cellStyle name="Normal 33 6 3 2" xfId="24270"/>
    <cellStyle name="Normal 33 6 3 3" xfId="15973"/>
    <cellStyle name="Normal 33 6 4" xfId="20130"/>
    <cellStyle name="Normal 33 6 5" xfId="11833"/>
    <cellStyle name="Normal 33 7" xfId="4541"/>
    <cellStyle name="Normal 33 7 2" xfId="8709"/>
    <cellStyle name="Normal 33 7 2 2" xfId="25306"/>
    <cellStyle name="Normal 33 7 2 3" xfId="17009"/>
    <cellStyle name="Normal 33 7 3" xfId="21166"/>
    <cellStyle name="Normal 33 7 4" xfId="12869"/>
    <cellStyle name="Normal 33 8" xfId="6632"/>
    <cellStyle name="Normal 33 8 2" xfId="23236"/>
    <cellStyle name="Normal 33 8 3" xfId="14939"/>
    <cellStyle name="Normal 33 9" xfId="19093"/>
    <cellStyle name="Normal 34" xfId="1604"/>
    <cellStyle name="Normal 34 10" xfId="10802"/>
    <cellStyle name="Normal 34 2" xfId="1605"/>
    <cellStyle name="Normal 34 2 2" xfId="1606"/>
    <cellStyle name="Normal 34 2 2 2" xfId="2941"/>
    <cellStyle name="Normal 34 2 2 2 2" xfId="3987"/>
    <cellStyle name="Normal 34 2 2 2 2 2" xfId="6112"/>
    <cellStyle name="Normal 34 2 2 2 2 2 2" xfId="10268"/>
    <cellStyle name="Normal 34 2 2 2 2 2 2 2" xfId="26865"/>
    <cellStyle name="Normal 34 2 2 2 2 2 2 3" xfId="18568"/>
    <cellStyle name="Normal 34 2 2 2 2 2 3" xfId="22725"/>
    <cellStyle name="Normal 34 2 2 2 2 2 4" xfId="14428"/>
    <cellStyle name="Normal 34 2 2 2 2 3" xfId="8196"/>
    <cellStyle name="Normal 34 2 2 2 2 3 2" xfId="24793"/>
    <cellStyle name="Normal 34 2 2 2 2 3 3" xfId="16496"/>
    <cellStyle name="Normal 34 2 2 2 2 4" xfId="20653"/>
    <cellStyle name="Normal 34 2 2 2 2 5" xfId="12356"/>
    <cellStyle name="Normal 34 2 2 2 3" xfId="5078"/>
    <cellStyle name="Normal 34 2 2 2 3 2" xfId="9234"/>
    <cellStyle name="Normal 34 2 2 2 3 2 2" xfId="25831"/>
    <cellStyle name="Normal 34 2 2 2 3 2 3" xfId="17534"/>
    <cellStyle name="Normal 34 2 2 2 3 3" xfId="21691"/>
    <cellStyle name="Normal 34 2 2 2 3 4" xfId="13394"/>
    <cellStyle name="Normal 34 2 2 2 4" xfId="7162"/>
    <cellStyle name="Normal 34 2 2 2 4 2" xfId="23759"/>
    <cellStyle name="Normal 34 2 2 2 4 3" xfId="15462"/>
    <cellStyle name="Normal 34 2 2 2 5" xfId="19619"/>
    <cellStyle name="Normal 34 2 2 2 6" xfId="11322"/>
    <cellStyle name="Normal 34 2 2 3" xfId="3469"/>
    <cellStyle name="Normal 34 2 2 3 2" xfId="5597"/>
    <cellStyle name="Normal 34 2 2 3 2 2" xfId="9753"/>
    <cellStyle name="Normal 34 2 2 3 2 2 2" xfId="26350"/>
    <cellStyle name="Normal 34 2 2 3 2 2 3" xfId="18053"/>
    <cellStyle name="Normal 34 2 2 3 2 3" xfId="22210"/>
    <cellStyle name="Normal 34 2 2 3 2 4" xfId="13913"/>
    <cellStyle name="Normal 34 2 2 3 3" xfId="7681"/>
    <cellStyle name="Normal 34 2 2 3 3 2" xfId="24278"/>
    <cellStyle name="Normal 34 2 2 3 3 3" xfId="15981"/>
    <cellStyle name="Normal 34 2 2 3 4" xfId="20138"/>
    <cellStyle name="Normal 34 2 2 3 5" xfId="11841"/>
    <cellStyle name="Normal 34 2 2 4" xfId="4549"/>
    <cellStyle name="Normal 34 2 2 4 2" xfId="8717"/>
    <cellStyle name="Normal 34 2 2 4 2 2" xfId="25314"/>
    <cellStyle name="Normal 34 2 2 4 2 3" xfId="17017"/>
    <cellStyle name="Normal 34 2 2 4 3" xfId="21174"/>
    <cellStyle name="Normal 34 2 2 4 4" xfId="12877"/>
    <cellStyle name="Normal 34 2 2 5" xfId="6640"/>
    <cellStyle name="Normal 34 2 2 5 2" xfId="23244"/>
    <cellStyle name="Normal 34 2 2 5 3" xfId="14947"/>
    <cellStyle name="Normal 34 2 2 6" xfId="19101"/>
    <cellStyle name="Normal 34 2 2 7" xfId="10804"/>
    <cellStyle name="Normal 34 2 3" xfId="2940"/>
    <cellStyle name="Normal 34 2 3 2" xfId="3986"/>
    <cellStyle name="Normal 34 2 3 2 2" xfId="6111"/>
    <cellStyle name="Normal 34 2 3 2 2 2" xfId="10267"/>
    <cellStyle name="Normal 34 2 3 2 2 2 2" xfId="26864"/>
    <cellStyle name="Normal 34 2 3 2 2 2 3" xfId="18567"/>
    <cellStyle name="Normal 34 2 3 2 2 3" xfId="22724"/>
    <cellStyle name="Normal 34 2 3 2 2 4" xfId="14427"/>
    <cellStyle name="Normal 34 2 3 2 3" xfId="8195"/>
    <cellStyle name="Normal 34 2 3 2 3 2" xfId="24792"/>
    <cellStyle name="Normal 34 2 3 2 3 3" xfId="16495"/>
    <cellStyle name="Normal 34 2 3 2 4" xfId="20652"/>
    <cellStyle name="Normal 34 2 3 2 5" xfId="12355"/>
    <cellStyle name="Normal 34 2 3 3" xfId="5077"/>
    <cellStyle name="Normal 34 2 3 3 2" xfId="9233"/>
    <cellStyle name="Normal 34 2 3 3 2 2" xfId="25830"/>
    <cellStyle name="Normal 34 2 3 3 2 3" xfId="17533"/>
    <cellStyle name="Normal 34 2 3 3 3" xfId="21690"/>
    <cellStyle name="Normal 34 2 3 3 4" xfId="13393"/>
    <cellStyle name="Normal 34 2 3 4" xfId="7161"/>
    <cellStyle name="Normal 34 2 3 4 2" xfId="23758"/>
    <cellStyle name="Normal 34 2 3 4 3" xfId="15461"/>
    <cellStyle name="Normal 34 2 3 5" xfId="19618"/>
    <cellStyle name="Normal 34 2 3 6" xfId="11321"/>
    <cellStyle name="Normal 34 2 4" xfId="3468"/>
    <cellStyle name="Normal 34 2 4 2" xfId="5596"/>
    <cellStyle name="Normal 34 2 4 2 2" xfId="9752"/>
    <cellStyle name="Normal 34 2 4 2 2 2" xfId="26349"/>
    <cellStyle name="Normal 34 2 4 2 2 3" xfId="18052"/>
    <cellStyle name="Normal 34 2 4 2 3" xfId="22209"/>
    <cellStyle name="Normal 34 2 4 2 4" xfId="13912"/>
    <cellStyle name="Normal 34 2 4 3" xfId="7680"/>
    <cellStyle name="Normal 34 2 4 3 2" xfId="24277"/>
    <cellStyle name="Normal 34 2 4 3 3" xfId="15980"/>
    <cellStyle name="Normal 34 2 4 4" xfId="20137"/>
    <cellStyle name="Normal 34 2 4 5" xfId="11840"/>
    <cellStyle name="Normal 34 2 5" xfId="4548"/>
    <cellStyle name="Normal 34 2 5 2" xfId="8716"/>
    <cellStyle name="Normal 34 2 5 2 2" xfId="25313"/>
    <cellStyle name="Normal 34 2 5 2 3" xfId="17016"/>
    <cellStyle name="Normal 34 2 5 3" xfId="21173"/>
    <cellStyle name="Normal 34 2 5 4" xfId="12876"/>
    <cellStyle name="Normal 34 2 6" xfId="6639"/>
    <cellStyle name="Normal 34 2 6 2" xfId="23243"/>
    <cellStyle name="Normal 34 2 6 3" xfId="14946"/>
    <cellStyle name="Normal 34 2 7" xfId="19100"/>
    <cellStyle name="Normal 34 2 8" xfId="10803"/>
    <cellStyle name="Normal 34 3" xfId="1607"/>
    <cellStyle name="Normal 34 3 2" xfId="1608"/>
    <cellStyle name="Normal 34 3 2 2" xfId="2943"/>
    <cellStyle name="Normal 34 3 2 2 2" xfId="3989"/>
    <cellStyle name="Normal 34 3 2 2 2 2" xfId="6114"/>
    <cellStyle name="Normal 34 3 2 2 2 2 2" xfId="10270"/>
    <cellStyle name="Normal 34 3 2 2 2 2 2 2" xfId="26867"/>
    <cellStyle name="Normal 34 3 2 2 2 2 2 3" xfId="18570"/>
    <cellStyle name="Normal 34 3 2 2 2 2 3" xfId="22727"/>
    <cellStyle name="Normal 34 3 2 2 2 2 4" xfId="14430"/>
    <cellStyle name="Normal 34 3 2 2 2 3" xfId="8198"/>
    <cellStyle name="Normal 34 3 2 2 2 3 2" xfId="24795"/>
    <cellStyle name="Normal 34 3 2 2 2 3 3" xfId="16498"/>
    <cellStyle name="Normal 34 3 2 2 2 4" xfId="20655"/>
    <cellStyle name="Normal 34 3 2 2 2 5" xfId="12358"/>
    <cellStyle name="Normal 34 3 2 2 3" xfId="5080"/>
    <cellStyle name="Normal 34 3 2 2 3 2" xfId="9236"/>
    <cellStyle name="Normal 34 3 2 2 3 2 2" xfId="25833"/>
    <cellStyle name="Normal 34 3 2 2 3 2 3" xfId="17536"/>
    <cellStyle name="Normal 34 3 2 2 3 3" xfId="21693"/>
    <cellStyle name="Normal 34 3 2 2 3 4" xfId="13396"/>
    <cellStyle name="Normal 34 3 2 2 4" xfId="7164"/>
    <cellStyle name="Normal 34 3 2 2 4 2" xfId="23761"/>
    <cellStyle name="Normal 34 3 2 2 4 3" xfId="15464"/>
    <cellStyle name="Normal 34 3 2 2 5" xfId="19621"/>
    <cellStyle name="Normal 34 3 2 2 6" xfId="11324"/>
    <cellStyle name="Normal 34 3 2 3" xfId="3471"/>
    <cellStyle name="Normal 34 3 2 3 2" xfId="5599"/>
    <cellStyle name="Normal 34 3 2 3 2 2" xfId="9755"/>
    <cellStyle name="Normal 34 3 2 3 2 2 2" xfId="26352"/>
    <cellStyle name="Normal 34 3 2 3 2 2 3" xfId="18055"/>
    <cellStyle name="Normal 34 3 2 3 2 3" xfId="22212"/>
    <cellStyle name="Normal 34 3 2 3 2 4" xfId="13915"/>
    <cellStyle name="Normal 34 3 2 3 3" xfId="7683"/>
    <cellStyle name="Normal 34 3 2 3 3 2" xfId="24280"/>
    <cellStyle name="Normal 34 3 2 3 3 3" xfId="15983"/>
    <cellStyle name="Normal 34 3 2 3 4" xfId="20140"/>
    <cellStyle name="Normal 34 3 2 3 5" xfId="11843"/>
    <cellStyle name="Normal 34 3 2 4" xfId="4551"/>
    <cellStyle name="Normal 34 3 2 4 2" xfId="8719"/>
    <cellStyle name="Normal 34 3 2 4 2 2" xfId="25316"/>
    <cellStyle name="Normal 34 3 2 4 2 3" xfId="17019"/>
    <cellStyle name="Normal 34 3 2 4 3" xfId="21176"/>
    <cellStyle name="Normal 34 3 2 4 4" xfId="12879"/>
    <cellStyle name="Normal 34 3 2 5" xfId="6642"/>
    <cellStyle name="Normal 34 3 2 5 2" xfId="23246"/>
    <cellStyle name="Normal 34 3 2 5 3" xfId="14949"/>
    <cellStyle name="Normal 34 3 2 6" xfId="19103"/>
    <cellStyle name="Normal 34 3 2 7" xfId="10806"/>
    <cellStyle name="Normal 34 3 3" xfId="2942"/>
    <cellStyle name="Normal 34 3 3 2" xfId="3988"/>
    <cellStyle name="Normal 34 3 3 2 2" xfId="6113"/>
    <cellStyle name="Normal 34 3 3 2 2 2" xfId="10269"/>
    <cellStyle name="Normal 34 3 3 2 2 2 2" xfId="26866"/>
    <cellStyle name="Normal 34 3 3 2 2 2 3" xfId="18569"/>
    <cellStyle name="Normal 34 3 3 2 2 3" xfId="22726"/>
    <cellStyle name="Normal 34 3 3 2 2 4" xfId="14429"/>
    <cellStyle name="Normal 34 3 3 2 3" xfId="8197"/>
    <cellStyle name="Normal 34 3 3 2 3 2" xfId="24794"/>
    <cellStyle name="Normal 34 3 3 2 3 3" xfId="16497"/>
    <cellStyle name="Normal 34 3 3 2 4" xfId="20654"/>
    <cellStyle name="Normal 34 3 3 2 5" xfId="12357"/>
    <cellStyle name="Normal 34 3 3 3" xfId="5079"/>
    <cellStyle name="Normal 34 3 3 3 2" xfId="9235"/>
    <cellStyle name="Normal 34 3 3 3 2 2" xfId="25832"/>
    <cellStyle name="Normal 34 3 3 3 2 3" xfId="17535"/>
    <cellStyle name="Normal 34 3 3 3 3" xfId="21692"/>
    <cellStyle name="Normal 34 3 3 3 4" xfId="13395"/>
    <cellStyle name="Normal 34 3 3 4" xfId="7163"/>
    <cellStyle name="Normal 34 3 3 4 2" xfId="23760"/>
    <cellStyle name="Normal 34 3 3 4 3" xfId="15463"/>
    <cellStyle name="Normal 34 3 3 5" xfId="19620"/>
    <cellStyle name="Normal 34 3 3 6" xfId="11323"/>
    <cellStyle name="Normal 34 3 4" xfId="3470"/>
    <cellStyle name="Normal 34 3 4 2" xfId="5598"/>
    <cellStyle name="Normal 34 3 4 2 2" xfId="9754"/>
    <cellStyle name="Normal 34 3 4 2 2 2" xfId="26351"/>
    <cellStyle name="Normal 34 3 4 2 2 3" xfId="18054"/>
    <cellStyle name="Normal 34 3 4 2 3" xfId="22211"/>
    <cellStyle name="Normal 34 3 4 2 4" xfId="13914"/>
    <cellStyle name="Normal 34 3 4 3" xfId="7682"/>
    <cellStyle name="Normal 34 3 4 3 2" xfId="24279"/>
    <cellStyle name="Normal 34 3 4 3 3" xfId="15982"/>
    <cellStyle name="Normal 34 3 4 4" xfId="20139"/>
    <cellStyle name="Normal 34 3 4 5" xfId="11842"/>
    <cellStyle name="Normal 34 3 5" xfId="4550"/>
    <cellStyle name="Normal 34 3 5 2" xfId="8718"/>
    <cellStyle name="Normal 34 3 5 2 2" xfId="25315"/>
    <cellStyle name="Normal 34 3 5 2 3" xfId="17018"/>
    <cellStyle name="Normal 34 3 5 3" xfId="21175"/>
    <cellStyle name="Normal 34 3 5 4" xfId="12878"/>
    <cellStyle name="Normal 34 3 6" xfId="6641"/>
    <cellStyle name="Normal 34 3 6 2" xfId="23245"/>
    <cellStyle name="Normal 34 3 6 3" xfId="14948"/>
    <cellStyle name="Normal 34 3 7" xfId="19102"/>
    <cellStyle name="Normal 34 3 8" xfId="10805"/>
    <cellStyle name="Normal 34 4" xfId="1609"/>
    <cellStyle name="Normal 34 4 2" xfId="2944"/>
    <cellStyle name="Normal 34 4 2 2" xfId="3990"/>
    <cellStyle name="Normal 34 4 2 2 2" xfId="6115"/>
    <cellStyle name="Normal 34 4 2 2 2 2" xfId="10271"/>
    <cellStyle name="Normal 34 4 2 2 2 2 2" xfId="26868"/>
    <cellStyle name="Normal 34 4 2 2 2 2 3" xfId="18571"/>
    <cellStyle name="Normal 34 4 2 2 2 3" xfId="22728"/>
    <cellStyle name="Normal 34 4 2 2 2 4" xfId="14431"/>
    <cellStyle name="Normal 34 4 2 2 3" xfId="8199"/>
    <cellStyle name="Normal 34 4 2 2 3 2" xfId="24796"/>
    <cellStyle name="Normal 34 4 2 2 3 3" xfId="16499"/>
    <cellStyle name="Normal 34 4 2 2 4" xfId="20656"/>
    <cellStyle name="Normal 34 4 2 2 5" xfId="12359"/>
    <cellStyle name="Normal 34 4 2 3" xfId="5081"/>
    <cellStyle name="Normal 34 4 2 3 2" xfId="9237"/>
    <cellStyle name="Normal 34 4 2 3 2 2" xfId="25834"/>
    <cellStyle name="Normal 34 4 2 3 2 3" xfId="17537"/>
    <cellStyle name="Normal 34 4 2 3 3" xfId="21694"/>
    <cellStyle name="Normal 34 4 2 3 4" xfId="13397"/>
    <cellStyle name="Normal 34 4 2 4" xfId="7165"/>
    <cellStyle name="Normal 34 4 2 4 2" xfId="23762"/>
    <cellStyle name="Normal 34 4 2 4 3" xfId="15465"/>
    <cellStyle name="Normal 34 4 2 5" xfId="19622"/>
    <cellStyle name="Normal 34 4 2 6" xfId="11325"/>
    <cellStyle name="Normal 34 4 3" xfId="3472"/>
    <cellStyle name="Normal 34 4 3 2" xfId="5600"/>
    <cellStyle name="Normal 34 4 3 2 2" xfId="9756"/>
    <cellStyle name="Normal 34 4 3 2 2 2" xfId="26353"/>
    <cellStyle name="Normal 34 4 3 2 2 3" xfId="18056"/>
    <cellStyle name="Normal 34 4 3 2 3" xfId="22213"/>
    <cellStyle name="Normal 34 4 3 2 4" xfId="13916"/>
    <cellStyle name="Normal 34 4 3 3" xfId="7684"/>
    <cellStyle name="Normal 34 4 3 3 2" xfId="24281"/>
    <cellStyle name="Normal 34 4 3 3 3" xfId="15984"/>
    <cellStyle name="Normal 34 4 3 4" xfId="20141"/>
    <cellStyle name="Normal 34 4 3 5" xfId="11844"/>
    <cellStyle name="Normal 34 4 4" xfId="4552"/>
    <cellStyle name="Normal 34 4 4 2" xfId="8720"/>
    <cellStyle name="Normal 34 4 4 2 2" xfId="25317"/>
    <cellStyle name="Normal 34 4 4 2 3" xfId="17020"/>
    <cellStyle name="Normal 34 4 4 3" xfId="21177"/>
    <cellStyle name="Normal 34 4 4 4" xfId="12880"/>
    <cellStyle name="Normal 34 4 5" xfId="6643"/>
    <cellStyle name="Normal 34 4 5 2" xfId="23247"/>
    <cellStyle name="Normal 34 4 5 3" xfId="14950"/>
    <cellStyle name="Normal 34 4 6" xfId="19104"/>
    <cellStyle name="Normal 34 4 7" xfId="10807"/>
    <cellStyle name="Normal 34 5" xfId="2939"/>
    <cellStyle name="Normal 34 5 2" xfId="3985"/>
    <cellStyle name="Normal 34 5 2 2" xfId="6110"/>
    <cellStyle name="Normal 34 5 2 2 2" xfId="10266"/>
    <cellStyle name="Normal 34 5 2 2 2 2" xfId="26863"/>
    <cellStyle name="Normal 34 5 2 2 2 3" xfId="18566"/>
    <cellStyle name="Normal 34 5 2 2 3" xfId="22723"/>
    <cellStyle name="Normal 34 5 2 2 4" xfId="14426"/>
    <cellStyle name="Normal 34 5 2 3" xfId="8194"/>
    <cellStyle name="Normal 34 5 2 3 2" xfId="24791"/>
    <cellStyle name="Normal 34 5 2 3 3" xfId="16494"/>
    <cellStyle name="Normal 34 5 2 4" xfId="20651"/>
    <cellStyle name="Normal 34 5 2 5" xfId="12354"/>
    <cellStyle name="Normal 34 5 3" xfId="5076"/>
    <cellStyle name="Normal 34 5 3 2" xfId="9232"/>
    <cellStyle name="Normal 34 5 3 2 2" xfId="25829"/>
    <cellStyle name="Normal 34 5 3 2 3" xfId="17532"/>
    <cellStyle name="Normal 34 5 3 3" xfId="21689"/>
    <cellStyle name="Normal 34 5 3 4" xfId="13392"/>
    <cellStyle name="Normal 34 5 4" xfId="7160"/>
    <cellStyle name="Normal 34 5 4 2" xfId="23757"/>
    <cellStyle name="Normal 34 5 4 3" xfId="15460"/>
    <cellStyle name="Normal 34 5 5" xfId="19617"/>
    <cellStyle name="Normal 34 5 6" xfId="11320"/>
    <cellStyle name="Normal 34 6" xfId="3467"/>
    <cellStyle name="Normal 34 6 2" xfId="5595"/>
    <cellStyle name="Normal 34 6 2 2" xfId="9751"/>
    <cellStyle name="Normal 34 6 2 2 2" xfId="26348"/>
    <cellStyle name="Normal 34 6 2 2 3" xfId="18051"/>
    <cellStyle name="Normal 34 6 2 3" xfId="22208"/>
    <cellStyle name="Normal 34 6 2 4" xfId="13911"/>
    <cellStyle name="Normal 34 6 3" xfId="7679"/>
    <cellStyle name="Normal 34 6 3 2" xfId="24276"/>
    <cellStyle name="Normal 34 6 3 3" xfId="15979"/>
    <cellStyle name="Normal 34 6 4" xfId="20136"/>
    <cellStyle name="Normal 34 6 5" xfId="11839"/>
    <cellStyle name="Normal 34 7" xfId="4547"/>
    <cellStyle name="Normal 34 7 2" xfId="8715"/>
    <cellStyle name="Normal 34 7 2 2" xfId="25312"/>
    <cellStyle name="Normal 34 7 2 3" xfId="17015"/>
    <cellStyle name="Normal 34 7 3" xfId="21172"/>
    <cellStyle name="Normal 34 7 4" xfId="12875"/>
    <cellStyle name="Normal 34 8" xfId="6638"/>
    <cellStyle name="Normal 34 8 2" xfId="23242"/>
    <cellStyle name="Normal 34 8 3" xfId="14945"/>
    <cellStyle name="Normal 34 9" xfId="19099"/>
    <cellStyle name="Normal 35" xfId="1610"/>
    <cellStyle name="Normal 35 10" xfId="10808"/>
    <cellStyle name="Normal 35 2" xfId="1611"/>
    <cellStyle name="Normal 35 2 2" xfId="1612"/>
    <cellStyle name="Normal 35 2 2 2" xfId="2947"/>
    <cellStyle name="Normal 35 2 2 2 2" xfId="3993"/>
    <cellStyle name="Normal 35 2 2 2 2 2" xfId="6118"/>
    <cellStyle name="Normal 35 2 2 2 2 2 2" xfId="10274"/>
    <cellStyle name="Normal 35 2 2 2 2 2 2 2" xfId="26871"/>
    <cellStyle name="Normal 35 2 2 2 2 2 2 3" xfId="18574"/>
    <cellStyle name="Normal 35 2 2 2 2 2 3" xfId="22731"/>
    <cellStyle name="Normal 35 2 2 2 2 2 4" xfId="14434"/>
    <cellStyle name="Normal 35 2 2 2 2 3" xfId="8202"/>
    <cellStyle name="Normal 35 2 2 2 2 3 2" xfId="24799"/>
    <cellStyle name="Normal 35 2 2 2 2 3 3" xfId="16502"/>
    <cellStyle name="Normal 35 2 2 2 2 4" xfId="20659"/>
    <cellStyle name="Normal 35 2 2 2 2 5" xfId="12362"/>
    <cellStyle name="Normal 35 2 2 2 3" xfId="5084"/>
    <cellStyle name="Normal 35 2 2 2 3 2" xfId="9240"/>
    <cellStyle name="Normal 35 2 2 2 3 2 2" xfId="25837"/>
    <cellStyle name="Normal 35 2 2 2 3 2 3" xfId="17540"/>
    <cellStyle name="Normal 35 2 2 2 3 3" xfId="21697"/>
    <cellStyle name="Normal 35 2 2 2 3 4" xfId="13400"/>
    <cellStyle name="Normal 35 2 2 2 4" xfId="7168"/>
    <cellStyle name="Normal 35 2 2 2 4 2" xfId="23765"/>
    <cellStyle name="Normal 35 2 2 2 4 3" xfId="15468"/>
    <cellStyle name="Normal 35 2 2 2 5" xfId="19625"/>
    <cellStyle name="Normal 35 2 2 2 6" xfId="11328"/>
    <cellStyle name="Normal 35 2 2 3" xfId="3475"/>
    <cellStyle name="Normal 35 2 2 3 2" xfId="5603"/>
    <cellStyle name="Normal 35 2 2 3 2 2" xfId="9759"/>
    <cellStyle name="Normal 35 2 2 3 2 2 2" xfId="26356"/>
    <cellStyle name="Normal 35 2 2 3 2 2 3" xfId="18059"/>
    <cellStyle name="Normal 35 2 2 3 2 3" xfId="22216"/>
    <cellStyle name="Normal 35 2 2 3 2 4" xfId="13919"/>
    <cellStyle name="Normal 35 2 2 3 3" xfId="7687"/>
    <cellStyle name="Normal 35 2 2 3 3 2" xfId="24284"/>
    <cellStyle name="Normal 35 2 2 3 3 3" xfId="15987"/>
    <cellStyle name="Normal 35 2 2 3 4" xfId="20144"/>
    <cellStyle name="Normal 35 2 2 3 5" xfId="11847"/>
    <cellStyle name="Normal 35 2 2 4" xfId="4555"/>
    <cellStyle name="Normal 35 2 2 4 2" xfId="8723"/>
    <cellStyle name="Normal 35 2 2 4 2 2" xfId="25320"/>
    <cellStyle name="Normal 35 2 2 4 2 3" xfId="17023"/>
    <cellStyle name="Normal 35 2 2 4 3" xfId="21180"/>
    <cellStyle name="Normal 35 2 2 4 4" xfId="12883"/>
    <cellStyle name="Normal 35 2 2 5" xfId="6646"/>
    <cellStyle name="Normal 35 2 2 5 2" xfId="23250"/>
    <cellStyle name="Normal 35 2 2 5 3" xfId="14953"/>
    <cellStyle name="Normal 35 2 2 6" xfId="19107"/>
    <cellStyle name="Normal 35 2 2 7" xfId="10810"/>
    <cellStyle name="Normal 35 2 3" xfId="2946"/>
    <cellStyle name="Normal 35 2 3 2" xfId="3992"/>
    <cellStyle name="Normal 35 2 3 2 2" xfId="6117"/>
    <cellStyle name="Normal 35 2 3 2 2 2" xfId="10273"/>
    <cellStyle name="Normal 35 2 3 2 2 2 2" xfId="26870"/>
    <cellStyle name="Normal 35 2 3 2 2 2 3" xfId="18573"/>
    <cellStyle name="Normal 35 2 3 2 2 3" xfId="22730"/>
    <cellStyle name="Normal 35 2 3 2 2 4" xfId="14433"/>
    <cellStyle name="Normal 35 2 3 2 3" xfId="8201"/>
    <cellStyle name="Normal 35 2 3 2 3 2" xfId="24798"/>
    <cellStyle name="Normal 35 2 3 2 3 3" xfId="16501"/>
    <cellStyle name="Normal 35 2 3 2 4" xfId="20658"/>
    <cellStyle name="Normal 35 2 3 2 5" xfId="12361"/>
    <cellStyle name="Normal 35 2 3 3" xfId="5083"/>
    <cellStyle name="Normal 35 2 3 3 2" xfId="9239"/>
    <cellStyle name="Normal 35 2 3 3 2 2" xfId="25836"/>
    <cellStyle name="Normal 35 2 3 3 2 3" xfId="17539"/>
    <cellStyle name="Normal 35 2 3 3 3" xfId="21696"/>
    <cellStyle name="Normal 35 2 3 3 4" xfId="13399"/>
    <cellStyle name="Normal 35 2 3 4" xfId="7167"/>
    <cellStyle name="Normal 35 2 3 4 2" xfId="23764"/>
    <cellStyle name="Normal 35 2 3 4 3" xfId="15467"/>
    <cellStyle name="Normal 35 2 3 5" xfId="19624"/>
    <cellStyle name="Normal 35 2 3 6" xfId="11327"/>
    <cellStyle name="Normal 35 2 4" xfId="3474"/>
    <cellStyle name="Normal 35 2 4 2" xfId="5602"/>
    <cellStyle name="Normal 35 2 4 2 2" xfId="9758"/>
    <cellStyle name="Normal 35 2 4 2 2 2" xfId="26355"/>
    <cellStyle name="Normal 35 2 4 2 2 3" xfId="18058"/>
    <cellStyle name="Normal 35 2 4 2 3" xfId="22215"/>
    <cellStyle name="Normal 35 2 4 2 4" xfId="13918"/>
    <cellStyle name="Normal 35 2 4 3" xfId="7686"/>
    <cellStyle name="Normal 35 2 4 3 2" xfId="24283"/>
    <cellStyle name="Normal 35 2 4 3 3" xfId="15986"/>
    <cellStyle name="Normal 35 2 4 4" xfId="20143"/>
    <cellStyle name="Normal 35 2 4 5" xfId="11846"/>
    <cellStyle name="Normal 35 2 5" xfId="4554"/>
    <cellStyle name="Normal 35 2 5 2" xfId="8722"/>
    <cellStyle name="Normal 35 2 5 2 2" xfId="25319"/>
    <cellStyle name="Normal 35 2 5 2 3" xfId="17022"/>
    <cellStyle name="Normal 35 2 5 3" xfId="21179"/>
    <cellStyle name="Normal 35 2 5 4" xfId="12882"/>
    <cellStyle name="Normal 35 2 6" xfId="6645"/>
    <cellStyle name="Normal 35 2 6 2" xfId="23249"/>
    <cellStyle name="Normal 35 2 6 3" xfId="14952"/>
    <cellStyle name="Normal 35 2 7" xfId="19106"/>
    <cellStyle name="Normal 35 2 8" xfId="10809"/>
    <cellStyle name="Normal 35 3" xfId="1613"/>
    <cellStyle name="Normal 35 3 2" xfId="1614"/>
    <cellStyle name="Normal 35 3 2 2" xfId="2949"/>
    <cellStyle name="Normal 35 3 2 2 2" xfId="3995"/>
    <cellStyle name="Normal 35 3 2 2 2 2" xfId="6120"/>
    <cellStyle name="Normal 35 3 2 2 2 2 2" xfId="10276"/>
    <cellStyle name="Normal 35 3 2 2 2 2 2 2" xfId="26873"/>
    <cellStyle name="Normal 35 3 2 2 2 2 2 3" xfId="18576"/>
    <cellStyle name="Normal 35 3 2 2 2 2 3" xfId="22733"/>
    <cellStyle name="Normal 35 3 2 2 2 2 4" xfId="14436"/>
    <cellStyle name="Normal 35 3 2 2 2 3" xfId="8204"/>
    <cellStyle name="Normal 35 3 2 2 2 3 2" xfId="24801"/>
    <cellStyle name="Normal 35 3 2 2 2 3 3" xfId="16504"/>
    <cellStyle name="Normal 35 3 2 2 2 4" xfId="20661"/>
    <cellStyle name="Normal 35 3 2 2 2 5" xfId="12364"/>
    <cellStyle name="Normal 35 3 2 2 3" xfId="5086"/>
    <cellStyle name="Normal 35 3 2 2 3 2" xfId="9242"/>
    <cellStyle name="Normal 35 3 2 2 3 2 2" xfId="25839"/>
    <cellStyle name="Normal 35 3 2 2 3 2 3" xfId="17542"/>
    <cellStyle name="Normal 35 3 2 2 3 3" xfId="21699"/>
    <cellStyle name="Normal 35 3 2 2 3 4" xfId="13402"/>
    <cellStyle name="Normal 35 3 2 2 4" xfId="7170"/>
    <cellStyle name="Normal 35 3 2 2 4 2" xfId="23767"/>
    <cellStyle name="Normal 35 3 2 2 4 3" xfId="15470"/>
    <cellStyle name="Normal 35 3 2 2 5" xfId="19627"/>
    <cellStyle name="Normal 35 3 2 2 6" xfId="11330"/>
    <cellStyle name="Normal 35 3 2 3" xfId="3477"/>
    <cellStyle name="Normal 35 3 2 3 2" xfId="5605"/>
    <cellStyle name="Normal 35 3 2 3 2 2" xfId="9761"/>
    <cellStyle name="Normal 35 3 2 3 2 2 2" xfId="26358"/>
    <cellStyle name="Normal 35 3 2 3 2 2 3" xfId="18061"/>
    <cellStyle name="Normal 35 3 2 3 2 3" xfId="22218"/>
    <cellStyle name="Normal 35 3 2 3 2 4" xfId="13921"/>
    <cellStyle name="Normal 35 3 2 3 3" xfId="7689"/>
    <cellStyle name="Normal 35 3 2 3 3 2" xfId="24286"/>
    <cellStyle name="Normal 35 3 2 3 3 3" xfId="15989"/>
    <cellStyle name="Normal 35 3 2 3 4" xfId="20146"/>
    <cellStyle name="Normal 35 3 2 3 5" xfId="11849"/>
    <cellStyle name="Normal 35 3 2 4" xfId="4557"/>
    <cellStyle name="Normal 35 3 2 4 2" xfId="8725"/>
    <cellStyle name="Normal 35 3 2 4 2 2" xfId="25322"/>
    <cellStyle name="Normal 35 3 2 4 2 3" xfId="17025"/>
    <cellStyle name="Normal 35 3 2 4 3" xfId="21182"/>
    <cellStyle name="Normal 35 3 2 4 4" xfId="12885"/>
    <cellStyle name="Normal 35 3 2 5" xfId="6648"/>
    <cellStyle name="Normal 35 3 2 5 2" xfId="23252"/>
    <cellStyle name="Normal 35 3 2 5 3" xfId="14955"/>
    <cellStyle name="Normal 35 3 2 6" xfId="19109"/>
    <cellStyle name="Normal 35 3 2 7" xfId="10812"/>
    <cellStyle name="Normal 35 3 3" xfId="2948"/>
    <cellStyle name="Normal 35 3 3 2" xfId="3994"/>
    <cellStyle name="Normal 35 3 3 2 2" xfId="6119"/>
    <cellStyle name="Normal 35 3 3 2 2 2" xfId="10275"/>
    <cellStyle name="Normal 35 3 3 2 2 2 2" xfId="26872"/>
    <cellStyle name="Normal 35 3 3 2 2 2 3" xfId="18575"/>
    <cellStyle name="Normal 35 3 3 2 2 3" xfId="22732"/>
    <cellStyle name="Normal 35 3 3 2 2 4" xfId="14435"/>
    <cellStyle name="Normal 35 3 3 2 3" xfId="8203"/>
    <cellStyle name="Normal 35 3 3 2 3 2" xfId="24800"/>
    <cellStyle name="Normal 35 3 3 2 3 3" xfId="16503"/>
    <cellStyle name="Normal 35 3 3 2 4" xfId="20660"/>
    <cellStyle name="Normal 35 3 3 2 5" xfId="12363"/>
    <cellStyle name="Normal 35 3 3 3" xfId="5085"/>
    <cellStyle name="Normal 35 3 3 3 2" xfId="9241"/>
    <cellStyle name="Normal 35 3 3 3 2 2" xfId="25838"/>
    <cellStyle name="Normal 35 3 3 3 2 3" xfId="17541"/>
    <cellStyle name="Normal 35 3 3 3 3" xfId="21698"/>
    <cellStyle name="Normal 35 3 3 3 4" xfId="13401"/>
    <cellStyle name="Normal 35 3 3 4" xfId="7169"/>
    <cellStyle name="Normal 35 3 3 4 2" xfId="23766"/>
    <cellStyle name="Normal 35 3 3 4 3" xfId="15469"/>
    <cellStyle name="Normal 35 3 3 5" xfId="19626"/>
    <cellStyle name="Normal 35 3 3 6" xfId="11329"/>
    <cellStyle name="Normal 35 3 4" xfId="3476"/>
    <cellStyle name="Normal 35 3 4 2" xfId="5604"/>
    <cellStyle name="Normal 35 3 4 2 2" xfId="9760"/>
    <cellStyle name="Normal 35 3 4 2 2 2" xfId="26357"/>
    <cellStyle name="Normal 35 3 4 2 2 3" xfId="18060"/>
    <cellStyle name="Normal 35 3 4 2 3" xfId="22217"/>
    <cellStyle name="Normal 35 3 4 2 4" xfId="13920"/>
    <cellStyle name="Normal 35 3 4 3" xfId="7688"/>
    <cellStyle name="Normal 35 3 4 3 2" xfId="24285"/>
    <cellStyle name="Normal 35 3 4 3 3" xfId="15988"/>
    <cellStyle name="Normal 35 3 4 4" xfId="20145"/>
    <cellStyle name="Normal 35 3 4 5" xfId="11848"/>
    <cellStyle name="Normal 35 3 5" xfId="4556"/>
    <cellStyle name="Normal 35 3 5 2" xfId="8724"/>
    <cellStyle name="Normal 35 3 5 2 2" xfId="25321"/>
    <cellStyle name="Normal 35 3 5 2 3" xfId="17024"/>
    <cellStyle name="Normal 35 3 5 3" xfId="21181"/>
    <cellStyle name="Normal 35 3 5 4" xfId="12884"/>
    <cellStyle name="Normal 35 3 6" xfId="6647"/>
    <cellStyle name="Normal 35 3 6 2" xfId="23251"/>
    <cellStyle name="Normal 35 3 6 3" xfId="14954"/>
    <cellStyle name="Normal 35 3 7" xfId="19108"/>
    <cellStyle name="Normal 35 3 8" xfId="10811"/>
    <cellStyle name="Normal 35 4" xfId="1615"/>
    <cellStyle name="Normal 35 4 2" xfId="2950"/>
    <cellStyle name="Normal 35 4 2 2" xfId="3996"/>
    <cellStyle name="Normal 35 4 2 2 2" xfId="6121"/>
    <cellStyle name="Normal 35 4 2 2 2 2" xfId="10277"/>
    <cellStyle name="Normal 35 4 2 2 2 2 2" xfId="26874"/>
    <cellStyle name="Normal 35 4 2 2 2 2 3" xfId="18577"/>
    <cellStyle name="Normal 35 4 2 2 2 3" xfId="22734"/>
    <cellStyle name="Normal 35 4 2 2 2 4" xfId="14437"/>
    <cellStyle name="Normal 35 4 2 2 3" xfId="8205"/>
    <cellStyle name="Normal 35 4 2 2 3 2" xfId="24802"/>
    <cellStyle name="Normal 35 4 2 2 3 3" xfId="16505"/>
    <cellStyle name="Normal 35 4 2 2 4" xfId="20662"/>
    <cellStyle name="Normal 35 4 2 2 5" xfId="12365"/>
    <cellStyle name="Normal 35 4 2 3" xfId="5087"/>
    <cellStyle name="Normal 35 4 2 3 2" xfId="9243"/>
    <cellStyle name="Normal 35 4 2 3 2 2" xfId="25840"/>
    <cellStyle name="Normal 35 4 2 3 2 3" xfId="17543"/>
    <cellStyle name="Normal 35 4 2 3 3" xfId="21700"/>
    <cellStyle name="Normal 35 4 2 3 4" xfId="13403"/>
    <cellStyle name="Normal 35 4 2 4" xfId="7171"/>
    <cellStyle name="Normal 35 4 2 4 2" xfId="23768"/>
    <cellStyle name="Normal 35 4 2 4 3" xfId="15471"/>
    <cellStyle name="Normal 35 4 2 5" xfId="19628"/>
    <cellStyle name="Normal 35 4 2 6" xfId="11331"/>
    <cellStyle name="Normal 35 4 3" xfId="3478"/>
    <cellStyle name="Normal 35 4 3 2" xfId="5606"/>
    <cellStyle name="Normal 35 4 3 2 2" xfId="9762"/>
    <cellStyle name="Normal 35 4 3 2 2 2" xfId="26359"/>
    <cellStyle name="Normal 35 4 3 2 2 3" xfId="18062"/>
    <cellStyle name="Normal 35 4 3 2 3" xfId="22219"/>
    <cellStyle name="Normal 35 4 3 2 4" xfId="13922"/>
    <cellStyle name="Normal 35 4 3 3" xfId="7690"/>
    <cellStyle name="Normal 35 4 3 3 2" xfId="24287"/>
    <cellStyle name="Normal 35 4 3 3 3" xfId="15990"/>
    <cellStyle name="Normal 35 4 3 4" xfId="20147"/>
    <cellStyle name="Normal 35 4 3 5" xfId="11850"/>
    <cellStyle name="Normal 35 4 4" xfId="4558"/>
    <cellStyle name="Normal 35 4 4 2" xfId="8726"/>
    <cellStyle name="Normal 35 4 4 2 2" xfId="25323"/>
    <cellStyle name="Normal 35 4 4 2 3" xfId="17026"/>
    <cellStyle name="Normal 35 4 4 3" xfId="21183"/>
    <cellStyle name="Normal 35 4 4 4" xfId="12886"/>
    <cellStyle name="Normal 35 4 5" xfId="6649"/>
    <cellStyle name="Normal 35 4 5 2" xfId="23253"/>
    <cellStyle name="Normal 35 4 5 3" xfId="14956"/>
    <cellStyle name="Normal 35 4 6" xfId="19110"/>
    <cellStyle name="Normal 35 4 7" xfId="10813"/>
    <cellStyle name="Normal 35 5" xfId="2945"/>
    <cellStyle name="Normal 35 5 2" xfId="3991"/>
    <cellStyle name="Normal 35 5 2 2" xfId="6116"/>
    <cellStyle name="Normal 35 5 2 2 2" xfId="10272"/>
    <cellStyle name="Normal 35 5 2 2 2 2" xfId="26869"/>
    <cellStyle name="Normal 35 5 2 2 2 3" xfId="18572"/>
    <cellStyle name="Normal 35 5 2 2 3" xfId="22729"/>
    <cellStyle name="Normal 35 5 2 2 4" xfId="14432"/>
    <cellStyle name="Normal 35 5 2 3" xfId="8200"/>
    <cellStyle name="Normal 35 5 2 3 2" xfId="24797"/>
    <cellStyle name="Normal 35 5 2 3 3" xfId="16500"/>
    <cellStyle name="Normal 35 5 2 4" xfId="20657"/>
    <cellStyle name="Normal 35 5 2 5" xfId="12360"/>
    <cellStyle name="Normal 35 5 3" xfId="5082"/>
    <cellStyle name="Normal 35 5 3 2" xfId="9238"/>
    <cellStyle name="Normal 35 5 3 2 2" xfId="25835"/>
    <cellStyle name="Normal 35 5 3 2 3" xfId="17538"/>
    <cellStyle name="Normal 35 5 3 3" xfId="21695"/>
    <cellStyle name="Normal 35 5 3 4" xfId="13398"/>
    <cellStyle name="Normal 35 5 4" xfId="7166"/>
    <cellStyle name="Normal 35 5 4 2" xfId="23763"/>
    <cellStyle name="Normal 35 5 4 3" xfId="15466"/>
    <cellStyle name="Normal 35 5 5" xfId="19623"/>
    <cellStyle name="Normal 35 5 6" xfId="11326"/>
    <cellStyle name="Normal 35 6" xfId="3473"/>
    <cellStyle name="Normal 35 6 2" xfId="5601"/>
    <cellStyle name="Normal 35 6 2 2" xfId="9757"/>
    <cellStyle name="Normal 35 6 2 2 2" xfId="26354"/>
    <cellStyle name="Normal 35 6 2 2 3" xfId="18057"/>
    <cellStyle name="Normal 35 6 2 3" xfId="22214"/>
    <cellStyle name="Normal 35 6 2 4" xfId="13917"/>
    <cellStyle name="Normal 35 6 3" xfId="7685"/>
    <cellStyle name="Normal 35 6 3 2" xfId="24282"/>
    <cellStyle name="Normal 35 6 3 3" xfId="15985"/>
    <cellStyle name="Normal 35 6 4" xfId="20142"/>
    <cellStyle name="Normal 35 6 5" xfId="11845"/>
    <cellStyle name="Normal 35 7" xfId="4553"/>
    <cellStyle name="Normal 35 7 2" xfId="8721"/>
    <cellStyle name="Normal 35 7 2 2" xfId="25318"/>
    <cellStyle name="Normal 35 7 2 3" xfId="17021"/>
    <cellStyle name="Normal 35 7 3" xfId="21178"/>
    <cellStyle name="Normal 35 7 4" xfId="12881"/>
    <cellStyle name="Normal 35 8" xfId="6644"/>
    <cellStyle name="Normal 35 8 2" xfId="23248"/>
    <cellStyle name="Normal 35 8 3" xfId="14951"/>
    <cellStyle name="Normal 35 9" xfId="19105"/>
    <cellStyle name="Normal 36" xfId="1616"/>
    <cellStyle name="Normal 36 10" xfId="10814"/>
    <cellStyle name="Normal 36 2" xfId="1617"/>
    <cellStyle name="Normal 36 2 2" xfId="1618"/>
    <cellStyle name="Normal 36 2 2 2" xfId="2953"/>
    <cellStyle name="Normal 36 2 2 2 2" xfId="3999"/>
    <cellStyle name="Normal 36 2 2 2 2 2" xfId="6124"/>
    <cellStyle name="Normal 36 2 2 2 2 2 2" xfId="10280"/>
    <cellStyle name="Normal 36 2 2 2 2 2 2 2" xfId="26877"/>
    <cellStyle name="Normal 36 2 2 2 2 2 2 3" xfId="18580"/>
    <cellStyle name="Normal 36 2 2 2 2 2 3" xfId="22737"/>
    <cellStyle name="Normal 36 2 2 2 2 2 4" xfId="14440"/>
    <cellStyle name="Normal 36 2 2 2 2 3" xfId="8208"/>
    <cellStyle name="Normal 36 2 2 2 2 3 2" xfId="24805"/>
    <cellStyle name="Normal 36 2 2 2 2 3 3" xfId="16508"/>
    <cellStyle name="Normal 36 2 2 2 2 4" xfId="20665"/>
    <cellStyle name="Normal 36 2 2 2 2 5" xfId="12368"/>
    <cellStyle name="Normal 36 2 2 2 3" xfId="5090"/>
    <cellStyle name="Normal 36 2 2 2 3 2" xfId="9246"/>
    <cellStyle name="Normal 36 2 2 2 3 2 2" xfId="25843"/>
    <cellStyle name="Normal 36 2 2 2 3 2 3" xfId="17546"/>
    <cellStyle name="Normal 36 2 2 2 3 3" xfId="21703"/>
    <cellStyle name="Normal 36 2 2 2 3 4" xfId="13406"/>
    <cellStyle name="Normal 36 2 2 2 4" xfId="7174"/>
    <cellStyle name="Normal 36 2 2 2 4 2" xfId="23771"/>
    <cellStyle name="Normal 36 2 2 2 4 3" xfId="15474"/>
    <cellStyle name="Normal 36 2 2 2 5" xfId="19631"/>
    <cellStyle name="Normal 36 2 2 2 6" xfId="11334"/>
    <cellStyle name="Normal 36 2 2 3" xfId="3481"/>
    <cellStyle name="Normal 36 2 2 3 2" xfId="5609"/>
    <cellStyle name="Normal 36 2 2 3 2 2" xfId="9765"/>
    <cellStyle name="Normal 36 2 2 3 2 2 2" xfId="26362"/>
    <cellStyle name="Normal 36 2 2 3 2 2 3" xfId="18065"/>
    <cellStyle name="Normal 36 2 2 3 2 3" xfId="22222"/>
    <cellStyle name="Normal 36 2 2 3 2 4" xfId="13925"/>
    <cellStyle name="Normal 36 2 2 3 3" xfId="7693"/>
    <cellStyle name="Normal 36 2 2 3 3 2" xfId="24290"/>
    <cellStyle name="Normal 36 2 2 3 3 3" xfId="15993"/>
    <cellStyle name="Normal 36 2 2 3 4" xfId="20150"/>
    <cellStyle name="Normal 36 2 2 3 5" xfId="11853"/>
    <cellStyle name="Normal 36 2 2 4" xfId="4561"/>
    <cellStyle name="Normal 36 2 2 4 2" xfId="8729"/>
    <cellStyle name="Normal 36 2 2 4 2 2" xfId="25326"/>
    <cellStyle name="Normal 36 2 2 4 2 3" xfId="17029"/>
    <cellStyle name="Normal 36 2 2 4 3" xfId="21186"/>
    <cellStyle name="Normal 36 2 2 4 4" xfId="12889"/>
    <cellStyle name="Normal 36 2 2 5" xfId="6652"/>
    <cellStyle name="Normal 36 2 2 5 2" xfId="23256"/>
    <cellStyle name="Normal 36 2 2 5 3" xfId="14959"/>
    <cellStyle name="Normal 36 2 2 6" xfId="19113"/>
    <cellStyle name="Normal 36 2 2 7" xfId="10816"/>
    <cellStyle name="Normal 36 2 3" xfId="2952"/>
    <cellStyle name="Normal 36 2 3 2" xfId="3998"/>
    <cellStyle name="Normal 36 2 3 2 2" xfId="6123"/>
    <cellStyle name="Normal 36 2 3 2 2 2" xfId="10279"/>
    <cellStyle name="Normal 36 2 3 2 2 2 2" xfId="26876"/>
    <cellStyle name="Normal 36 2 3 2 2 2 3" xfId="18579"/>
    <cellStyle name="Normal 36 2 3 2 2 3" xfId="22736"/>
    <cellStyle name="Normal 36 2 3 2 2 4" xfId="14439"/>
    <cellStyle name="Normal 36 2 3 2 3" xfId="8207"/>
    <cellStyle name="Normal 36 2 3 2 3 2" xfId="24804"/>
    <cellStyle name="Normal 36 2 3 2 3 3" xfId="16507"/>
    <cellStyle name="Normal 36 2 3 2 4" xfId="20664"/>
    <cellStyle name="Normal 36 2 3 2 5" xfId="12367"/>
    <cellStyle name="Normal 36 2 3 3" xfId="5089"/>
    <cellStyle name="Normal 36 2 3 3 2" xfId="9245"/>
    <cellStyle name="Normal 36 2 3 3 2 2" xfId="25842"/>
    <cellStyle name="Normal 36 2 3 3 2 3" xfId="17545"/>
    <cellStyle name="Normal 36 2 3 3 3" xfId="21702"/>
    <cellStyle name="Normal 36 2 3 3 4" xfId="13405"/>
    <cellStyle name="Normal 36 2 3 4" xfId="7173"/>
    <cellStyle name="Normal 36 2 3 4 2" xfId="23770"/>
    <cellStyle name="Normal 36 2 3 4 3" xfId="15473"/>
    <cellStyle name="Normal 36 2 3 5" xfId="19630"/>
    <cellStyle name="Normal 36 2 3 6" xfId="11333"/>
    <cellStyle name="Normal 36 2 4" xfId="3480"/>
    <cellStyle name="Normal 36 2 4 2" xfId="5608"/>
    <cellStyle name="Normal 36 2 4 2 2" xfId="9764"/>
    <cellStyle name="Normal 36 2 4 2 2 2" xfId="26361"/>
    <cellStyle name="Normal 36 2 4 2 2 3" xfId="18064"/>
    <cellStyle name="Normal 36 2 4 2 3" xfId="22221"/>
    <cellStyle name="Normal 36 2 4 2 4" xfId="13924"/>
    <cellStyle name="Normal 36 2 4 3" xfId="7692"/>
    <cellStyle name="Normal 36 2 4 3 2" xfId="24289"/>
    <cellStyle name="Normal 36 2 4 3 3" xfId="15992"/>
    <cellStyle name="Normal 36 2 4 4" xfId="20149"/>
    <cellStyle name="Normal 36 2 4 5" xfId="11852"/>
    <cellStyle name="Normal 36 2 5" xfId="4560"/>
    <cellStyle name="Normal 36 2 5 2" xfId="8728"/>
    <cellStyle name="Normal 36 2 5 2 2" xfId="25325"/>
    <cellStyle name="Normal 36 2 5 2 3" xfId="17028"/>
    <cellStyle name="Normal 36 2 5 3" xfId="21185"/>
    <cellStyle name="Normal 36 2 5 4" xfId="12888"/>
    <cellStyle name="Normal 36 2 6" xfId="6651"/>
    <cellStyle name="Normal 36 2 6 2" xfId="23255"/>
    <cellStyle name="Normal 36 2 6 3" xfId="14958"/>
    <cellStyle name="Normal 36 2 7" xfId="19112"/>
    <cellStyle name="Normal 36 2 8" xfId="10815"/>
    <cellStyle name="Normal 36 3" xfId="1619"/>
    <cellStyle name="Normal 36 3 2" xfId="1620"/>
    <cellStyle name="Normal 36 3 2 2" xfId="2955"/>
    <cellStyle name="Normal 36 3 2 2 2" xfId="4001"/>
    <cellStyle name="Normal 36 3 2 2 2 2" xfId="6126"/>
    <cellStyle name="Normal 36 3 2 2 2 2 2" xfId="10282"/>
    <cellStyle name="Normal 36 3 2 2 2 2 2 2" xfId="26879"/>
    <cellStyle name="Normal 36 3 2 2 2 2 2 3" xfId="18582"/>
    <cellStyle name="Normal 36 3 2 2 2 2 3" xfId="22739"/>
    <cellStyle name="Normal 36 3 2 2 2 2 4" xfId="14442"/>
    <cellStyle name="Normal 36 3 2 2 2 3" xfId="8210"/>
    <cellStyle name="Normal 36 3 2 2 2 3 2" xfId="24807"/>
    <cellStyle name="Normal 36 3 2 2 2 3 3" xfId="16510"/>
    <cellStyle name="Normal 36 3 2 2 2 4" xfId="20667"/>
    <cellStyle name="Normal 36 3 2 2 2 5" xfId="12370"/>
    <cellStyle name="Normal 36 3 2 2 3" xfId="5092"/>
    <cellStyle name="Normal 36 3 2 2 3 2" xfId="9248"/>
    <cellStyle name="Normal 36 3 2 2 3 2 2" xfId="25845"/>
    <cellStyle name="Normal 36 3 2 2 3 2 3" xfId="17548"/>
    <cellStyle name="Normal 36 3 2 2 3 3" xfId="21705"/>
    <cellStyle name="Normal 36 3 2 2 3 4" xfId="13408"/>
    <cellStyle name="Normal 36 3 2 2 4" xfId="7176"/>
    <cellStyle name="Normal 36 3 2 2 4 2" xfId="23773"/>
    <cellStyle name="Normal 36 3 2 2 4 3" xfId="15476"/>
    <cellStyle name="Normal 36 3 2 2 5" xfId="19633"/>
    <cellStyle name="Normal 36 3 2 2 6" xfId="11336"/>
    <cellStyle name="Normal 36 3 2 3" xfId="3483"/>
    <cellStyle name="Normal 36 3 2 3 2" xfId="5611"/>
    <cellStyle name="Normal 36 3 2 3 2 2" xfId="9767"/>
    <cellStyle name="Normal 36 3 2 3 2 2 2" xfId="26364"/>
    <cellStyle name="Normal 36 3 2 3 2 2 3" xfId="18067"/>
    <cellStyle name="Normal 36 3 2 3 2 3" xfId="22224"/>
    <cellStyle name="Normal 36 3 2 3 2 4" xfId="13927"/>
    <cellStyle name="Normal 36 3 2 3 3" xfId="7695"/>
    <cellStyle name="Normal 36 3 2 3 3 2" xfId="24292"/>
    <cellStyle name="Normal 36 3 2 3 3 3" xfId="15995"/>
    <cellStyle name="Normal 36 3 2 3 4" xfId="20152"/>
    <cellStyle name="Normal 36 3 2 3 5" xfId="11855"/>
    <cellStyle name="Normal 36 3 2 4" xfId="4563"/>
    <cellStyle name="Normal 36 3 2 4 2" xfId="8731"/>
    <cellStyle name="Normal 36 3 2 4 2 2" xfId="25328"/>
    <cellStyle name="Normal 36 3 2 4 2 3" xfId="17031"/>
    <cellStyle name="Normal 36 3 2 4 3" xfId="21188"/>
    <cellStyle name="Normal 36 3 2 4 4" xfId="12891"/>
    <cellStyle name="Normal 36 3 2 5" xfId="6654"/>
    <cellStyle name="Normal 36 3 2 5 2" xfId="23258"/>
    <cellStyle name="Normal 36 3 2 5 3" xfId="14961"/>
    <cellStyle name="Normal 36 3 2 6" xfId="19115"/>
    <cellStyle name="Normal 36 3 2 7" xfId="10818"/>
    <cellStyle name="Normal 36 3 3" xfId="2954"/>
    <cellStyle name="Normal 36 3 3 2" xfId="4000"/>
    <cellStyle name="Normal 36 3 3 2 2" xfId="6125"/>
    <cellStyle name="Normal 36 3 3 2 2 2" xfId="10281"/>
    <cellStyle name="Normal 36 3 3 2 2 2 2" xfId="26878"/>
    <cellStyle name="Normal 36 3 3 2 2 2 3" xfId="18581"/>
    <cellStyle name="Normal 36 3 3 2 2 3" xfId="22738"/>
    <cellStyle name="Normal 36 3 3 2 2 4" xfId="14441"/>
    <cellStyle name="Normal 36 3 3 2 3" xfId="8209"/>
    <cellStyle name="Normal 36 3 3 2 3 2" xfId="24806"/>
    <cellStyle name="Normal 36 3 3 2 3 3" xfId="16509"/>
    <cellStyle name="Normal 36 3 3 2 4" xfId="20666"/>
    <cellStyle name="Normal 36 3 3 2 5" xfId="12369"/>
    <cellStyle name="Normal 36 3 3 3" xfId="5091"/>
    <cellStyle name="Normal 36 3 3 3 2" xfId="9247"/>
    <cellStyle name="Normal 36 3 3 3 2 2" xfId="25844"/>
    <cellStyle name="Normal 36 3 3 3 2 3" xfId="17547"/>
    <cellStyle name="Normal 36 3 3 3 3" xfId="21704"/>
    <cellStyle name="Normal 36 3 3 3 4" xfId="13407"/>
    <cellStyle name="Normal 36 3 3 4" xfId="7175"/>
    <cellStyle name="Normal 36 3 3 4 2" xfId="23772"/>
    <cellStyle name="Normal 36 3 3 4 3" xfId="15475"/>
    <cellStyle name="Normal 36 3 3 5" xfId="19632"/>
    <cellStyle name="Normal 36 3 3 6" xfId="11335"/>
    <cellStyle name="Normal 36 3 4" xfId="3482"/>
    <cellStyle name="Normal 36 3 4 2" xfId="5610"/>
    <cellStyle name="Normal 36 3 4 2 2" xfId="9766"/>
    <cellStyle name="Normal 36 3 4 2 2 2" xfId="26363"/>
    <cellStyle name="Normal 36 3 4 2 2 3" xfId="18066"/>
    <cellStyle name="Normal 36 3 4 2 3" xfId="22223"/>
    <cellStyle name="Normal 36 3 4 2 4" xfId="13926"/>
    <cellStyle name="Normal 36 3 4 3" xfId="7694"/>
    <cellStyle name="Normal 36 3 4 3 2" xfId="24291"/>
    <cellStyle name="Normal 36 3 4 3 3" xfId="15994"/>
    <cellStyle name="Normal 36 3 4 4" xfId="20151"/>
    <cellStyle name="Normal 36 3 4 5" xfId="11854"/>
    <cellStyle name="Normal 36 3 5" xfId="4562"/>
    <cellStyle name="Normal 36 3 5 2" xfId="8730"/>
    <cellStyle name="Normal 36 3 5 2 2" xfId="25327"/>
    <cellStyle name="Normal 36 3 5 2 3" xfId="17030"/>
    <cellStyle name="Normal 36 3 5 3" xfId="21187"/>
    <cellStyle name="Normal 36 3 5 4" xfId="12890"/>
    <cellStyle name="Normal 36 3 6" xfId="6653"/>
    <cellStyle name="Normal 36 3 6 2" xfId="23257"/>
    <cellStyle name="Normal 36 3 6 3" xfId="14960"/>
    <cellStyle name="Normal 36 3 7" xfId="19114"/>
    <cellStyle name="Normal 36 3 8" xfId="10817"/>
    <cellStyle name="Normal 36 4" xfId="1621"/>
    <cellStyle name="Normal 36 4 2" xfId="2956"/>
    <cellStyle name="Normal 36 4 2 2" xfId="4002"/>
    <cellStyle name="Normal 36 4 2 2 2" xfId="6127"/>
    <cellStyle name="Normal 36 4 2 2 2 2" xfId="10283"/>
    <cellStyle name="Normal 36 4 2 2 2 2 2" xfId="26880"/>
    <cellStyle name="Normal 36 4 2 2 2 2 3" xfId="18583"/>
    <cellStyle name="Normal 36 4 2 2 2 3" xfId="22740"/>
    <cellStyle name="Normal 36 4 2 2 2 4" xfId="14443"/>
    <cellStyle name="Normal 36 4 2 2 3" xfId="8211"/>
    <cellStyle name="Normal 36 4 2 2 3 2" xfId="24808"/>
    <cellStyle name="Normal 36 4 2 2 3 3" xfId="16511"/>
    <cellStyle name="Normal 36 4 2 2 4" xfId="20668"/>
    <cellStyle name="Normal 36 4 2 2 5" xfId="12371"/>
    <cellStyle name="Normal 36 4 2 3" xfId="5093"/>
    <cellStyle name="Normal 36 4 2 3 2" xfId="9249"/>
    <cellStyle name="Normal 36 4 2 3 2 2" xfId="25846"/>
    <cellStyle name="Normal 36 4 2 3 2 3" xfId="17549"/>
    <cellStyle name="Normal 36 4 2 3 3" xfId="21706"/>
    <cellStyle name="Normal 36 4 2 3 4" xfId="13409"/>
    <cellStyle name="Normal 36 4 2 4" xfId="7177"/>
    <cellStyle name="Normal 36 4 2 4 2" xfId="23774"/>
    <cellStyle name="Normal 36 4 2 4 3" xfId="15477"/>
    <cellStyle name="Normal 36 4 2 5" xfId="19634"/>
    <cellStyle name="Normal 36 4 2 6" xfId="11337"/>
    <cellStyle name="Normal 36 4 3" xfId="3484"/>
    <cellStyle name="Normal 36 4 3 2" xfId="5612"/>
    <cellStyle name="Normal 36 4 3 2 2" xfId="9768"/>
    <cellStyle name="Normal 36 4 3 2 2 2" xfId="26365"/>
    <cellStyle name="Normal 36 4 3 2 2 3" xfId="18068"/>
    <cellStyle name="Normal 36 4 3 2 3" xfId="22225"/>
    <cellStyle name="Normal 36 4 3 2 4" xfId="13928"/>
    <cellStyle name="Normal 36 4 3 3" xfId="7696"/>
    <cellStyle name="Normal 36 4 3 3 2" xfId="24293"/>
    <cellStyle name="Normal 36 4 3 3 3" xfId="15996"/>
    <cellStyle name="Normal 36 4 3 4" xfId="20153"/>
    <cellStyle name="Normal 36 4 3 5" xfId="11856"/>
    <cellStyle name="Normal 36 4 4" xfId="4564"/>
    <cellStyle name="Normal 36 4 4 2" xfId="8732"/>
    <cellStyle name="Normal 36 4 4 2 2" xfId="25329"/>
    <cellStyle name="Normal 36 4 4 2 3" xfId="17032"/>
    <cellStyle name="Normal 36 4 4 3" xfId="21189"/>
    <cellStyle name="Normal 36 4 4 4" xfId="12892"/>
    <cellStyle name="Normal 36 4 5" xfId="6655"/>
    <cellStyle name="Normal 36 4 5 2" xfId="23259"/>
    <cellStyle name="Normal 36 4 5 3" xfId="14962"/>
    <cellStyle name="Normal 36 4 6" xfId="19116"/>
    <cellStyle name="Normal 36 4 7" xfId="10819"/>
    <cellStyle name="Normal 36 5" xfId="2951"/>
    <cellStyle name="Normal 36 5 2" xfId="3997"/>
    <cellStyle name="Normal 36 5 2 2" xfId="6122"/>
    <cellStyle name="Normal 36 5 2 2 2" xfId="10278"/>
    <cellStyle name="Normal 36 5 2 2 2 2" xfId="26875"/>
    <cellStyle name="Normal 36 5 2 2 2 3" xfId="18578"/>
    <cellStyle name="Normal 36 5 2 2 3" xfId="22735"/>
    <cellStyle name="Normal 36 5 2 2 4" xfId="14438"/>
    <cellStyle name="Normal 36 5 2 3" xfId="8206"/>
    <cellStyle name="Normal 36 5 2 3 2" xfId="24803"/>
    <cellStyle name="Normal 36 5 2 3 3" xfId="16506"/>
    <cellStyle name="Normal 36 5 2 4" xfId="20663"/>
    <cellStyle name="Normal 36 5 2 5" xfId="12366"/>
    <cellStyle name="Normal 36 5 3" xfId="5088"/>
    <cellStyle name="Normal 36 5 3 2" xfId="9244"/>
    <cellStyle name="Normal 36 5 3 2 2" xfId="25841"/>
    <cellStyle name="Normal 36 5 3 2 3" xfId="17544"/>
    <cellStyle name="Normal 36 5 3 3" xfId="21701"/>
    <cellStyle name="Normal 36 5 3 4" xfId="13404"/>
    <cellStyle name="Normal 36 5 4" xfId="7172"/>
    <cellStyle name="Normal 36 5 4 2" xfId="23769"/>
    <cellStyle name="Normal 36 5 4 3" xfId="15472"/>
    <cellStyle name="Normal 36 5 5" xfId="19629"/>
    <cellStyle name="Normal 36 5 6" xfId="11332"/>
    <cellStyle name="Normal 36 6" xfId="3479"/>
    <cellStyle name="Normal 36 6 2" xfId="5607"/>
    <cellStyle name="Normal 36 6 2 2" xfId="9763"/>
    <cellStyle name="Normal 36 6 2 2 2" xfId="26360"/>
    <cellStyle name="Normal 36 6 2 2 3" xfId="18063"/>
    <cellStyle name="Normal 36 6 2 3" xfId="22220"/>
    <cellStyle name="Normal 36 6 2 4" xfId="13923"/>
    <cellStyle name="Normal 36 6 3" xfId="7691"/>
    <cellStyle name="Normal 36 6 3 2" xfId="24288"/>
    <cellStyle name="Normal 36 6 3 3" xfId="15991"/>
    <cellStyle name="Normal 36 6 4" xfId="20148"/>
    <cellStyle name="Normal 36 6 5" xfId="11851"/>
    <cellStyle name="Normal 36 7" xfId="4559"/>
    <cellStyle name="Normal 36 7 2" xfId="8727"/>
    <cellStyle name="Normal 36 7 2 2" xfId="25324"/>
    <cellStyle name="Normal 36 7 2 3" xfId="17027"/>
    <cellStyle name="Normal 36 7 3" xfId="21184"/>
    <cellStyle name="Normal 36 7 4" xfId="12887"/>
    <cellStyle name="Normal 36 8" xfId="6650"/>
    <cellStyle name="Normal 36 8 2" xfId="23254"/>
    <cellStyle name="Normal 36 8 3" xfId="14957"/>
    <cellStyle name="Normal 36 9" xfId="19111"/>
    <cellStyle name="Normal 37" xfId="1622"/>
    <cellStyle name="Normal 37 10" xfId="10820"/>
    <cellStyle name="Normal 37 2" xfId="1623"/>
    <cellStyle name="Normal 37 2 2" xfId="1624"/>
    <cellStyle name="Normal 37 2 2 2" xfId="2959"/>
    <cellStyle name="Normal 37 2 2 2 2" xfId="4005"/>
    <cellStyle name="Normal 37 2 2 2 2 2" xfId="6130"/>
    <cellStyle name="Normal 37 2 2 2 2 2 2" xfId="10286"/>
    <cellStyle name="Normal 37 2 2 2 2 2 2 2" xfId="26883"/>
    <cellStyle name="Normal 37 2 2 2 2 2 2 3" xfId="18586"/>
    <cellStyle name="Normal 37 2 2 2 2 2 3" xfId="22743"/>
    <cellStyle name="Normal 37 2 2 2 2 2 4" xfId="14446"/>
    <cellStyle name="Normal 37 2 2 2 2 3" xfId="8214"/>
    <cellStyle name="Normal 37 2 2 2 2 3 2" xfId="24811"/>
    <cellStyle name="Normal 37 2 2 2 2 3 3" xfId="16514"/>
    <cellStyle name="Normal 37 2 2 2 2 4" xfId="20671"/>
    <cellStyle name="Normal 37 2 2 2 2 5" xfId="12374"/>
    <cellStyle name="Normal 37 2 2 2 3" xfId="5096"/>
    <cellStyle name="Normal 37 2 2 2 3 2" xfId="9252"/>
    <cellStyle name="Normal 37 2 2 2 3 2 2" xfId="25849"/>
    <cellStyle name="Normal 37 2 2 2 3 2 3" xfId="17552"/>
    <cellStyle name="Normal 37 2 2 2 3 3" xfId="21709"/>
    <cellStyle name="Normal 37 2 2 2 3 4" xfId="13412"/>
    <cellStyle name="Normal 37 2 2 2 4" xfId="7180"/>
    <cellStyle name="Normal 37 2 2 2 4 2" xfId="23777"/>
    <cellStyle name="Normal 37 2 2 2 4 3" xfId="15480"/>
    <cellStyle name="Normal 37 2 2 2 5" xfId="19637"/>
    <cellStyle name="Normal 37 2 2 2 6" xfId="11340"/>
    <cellStyle name="Normal 37 2 2 3" xfId="3487"/>
    <cellStyle name="Normal 37 2 2 3 2" xfId="5615"/>
    <cellStyle name="Normal 37 2 2 3 2 2" xfId="9771"/>
    <cellStyle name="Normal 37 2 2 3 2 2 2" xfId="26368"/>
    <cellStyle name="Normal 37 2 2 3 2 2 3" xfId="18071"/>
    <cellStyle name="Normal 37 2 2 3 2 3" xfId="22228"/>
    <cellStyle name="Normal 37 2 2 3 2 4" xfId="13931"/>
    <cellStyle name="Normal 37 2 2 3 3" xfId="7699"/>
    <cellStyle name="Normal 37 2 2 3 3 2" xfId="24296"/>
    <cellStyle name="Normal 37 2 2 3 3 3" xfId="15999"/>
    <cellStyle name="Normal 37 2 2 3 4" xfId="20156"/>
    <cellStyle name="Normal 37 2 2 3 5" xfId="11859"/>
    <cellStyle name="Normal 37 2 2 4" xfId="4567"/>
    <cellStyle name="Normal 37 2 2 4 2" xfId="8735"/>
    <cellStyle name="Normal 37 2 2 4 2 2" xfId="25332"/>
    <cellStyle name="Normal 37 2 2 4 2 3" xfId="17035"/>
    <cellStyle name="Normal 37 2 2 4 3" xfId="21192"/>
    <cellStyle name="Normal 37 2 2 4 4" xfId="12895"/>
    <cellStyle name="Normal 37 2 2 5" xfId="6658"/>
    <cellStyle name="Normal 37 2 2 5 2" xfId="23262"/>
    <cellStyle name="Normal 37 2 2 5 3" xfId="14965"/>
    <cellStyle name="Normal 37 2 2 6" xfId="19119"/>
    <cellStyle name="Normal 37 2 2 7" xfId="10822"/>
    <cellStyle name="Normal 37 2 3" xfId="2958"/>
    <cellStyle name="Normal 37 2 3 2" xfId="4004"/>
    <cellStyle name="Normal 37 2 3 2 2" xfId="6129"/>
    <cellStyle name="Normal 37 2 3 2 2 2" xfId="10285"/>
    <cellStyle name="Normal 37 2 3 2 2 2 2" xfId="26882"/>
    <cellStyle name="Normal 37 2 3 2 2 2 3" xfId="18585"/>
    <cellStyle name="Normal 37 2 3 2 2 3" xfId="22742"/>
    <cellStyle name="Normal 37 2 3 2 2 4" xfId="14445"/>
    <cellStyle name="Normal 37 2 3 2 3" xfId="8213"/>
    <cellStyle name="Normal 37 2 3 2 3 2" xfId="24810"/>
    <cellStyle name="Normal 37 2 3 2 3 3" xfId="16513"/>
    <cellStyle name="Normal 37 2 3 2 4" xfId="20670"/>
    <cellStyle name="Normal 37 2 3 2 5" xfId="12373"/>
    <cellStyle name="Normal 37 2 3 3" xfId="5095"/>
    <cellStyle name="Normal 37 2 3 3 2" xfId="9251"/>
    <cellStyle name="Normal 37 2 3 3 2 2" xfId="25848"/>
    <cellStyle name="Normal 37 2 3 3 2 3" xfId="17551"/>
    <cellStyle name="Normal 37 2 3 3 3" xfId="21708"/>
    <cellStyle name="Normal 37 2 3 3 4" xfId="13411"/>
    <cellStyle name="Normal 37 2 3 4" xfId="7179"/>
    <cellStyle name="Normal 37 2 3 4 2" xfId="23776"/>
    <cellStyle name="Normal 37 2 3 4 3" xfId="15479"/>
    <cellStyle name="Normal 37 2 3 5" xfId="19636"/>
    <cellStyle name="Normal 37 2 3 6" xfId="11339"/>
    <cellStyle name="Normal 37 2 4" xfId="3486"/>
    <cellStyle name="Normal 37 2 4 2" xfId="5614"/>
    <cellStyle name="Normal 37 2 4 2 2" xfId="9770"/>
    <cellStyle name="Normal 37 2 4 2 2 2" xfId="26367"/>
    <cellStyle name="Normal 37 2 4 2 2 3" xfId="18070"/>
    <cellStyle name="Normal 37 2 4 2 3" xfId="22227"/>
    <cellStyle name="Normal 37 2 4 2 4" xfId="13930"/>
    <cellStyle name="Normal 37 2 4 3" xfId="7698"/>
    <cellStyle name="Normal 37 2 4 3 2" xfId="24295"/>
    <cellStyle name="Normal 37 2 4 3 3" xfId="15998"/>
    <cellStyle name="Normal 37 2 4 4" xfId="20155"/>
    <cellStyle name="Normal 37 2 4 5" xfId="11858"/>
    <cellStyle name="Normal 37 2 5" xfId="4566"/>
    <cellStyle name="Normal 37 2 5 2" xfId="8734"/>
    <cellStyle name="Normal 37 2 5 2 2" xfId="25331"/>
    <cellStyle name="Normal 37 2 5 2 3" xfId="17034"/>
    <cellStyle name="Normal 37 2 5 3" xfId="21191"/>
    <cellStyle name="Normal 37 2 5 4" xfId="12894"/>
    <cellStyle name="Normal 37 2 6" xfId="6657"/>
    <cellStyle name="Normal 37 2 6 2" xfId="23261"/>
    <cellStyle name="Normal 37 2 6 3" xfId="14964"/>
    <cellStyle name="Normal 37 2 7" xfId="19118"/>
    <cellStyle name="Normal 37 2 8" xfId="10821"/>
    <cellStyle name="Normal 37 3" xfId="1625"/>
    <cellStyle name="Normal 37 3 2" xfId="1626"/>
    <cellStyle name="Normal 37 3 2 2" xfId="2961"/>
    <cellStyle name="Normal 37 3 2 2 2" xfId="4007"/>
    <cellStyle name="Normal 37 3 2 2 2 2" xfId="6132"/>
    <cellStyle name="Normal 37 3 2 2 2 2 2" xfId="10288"/>
    <cellStyle name="Normal 37 3 2 2 2 2 2 2" xfId="26885"/>
    <cellStyle name="Normal 37 3 2 2 2 2 2 3" xfId="18588"/>
    <cellStyle name="Normal 37 3 2 2 2 2 3" xfId="22745"/>
    <cellStyle name="Normal 37 3 2 2 2 2 4" xfId="14448"/>
    <cellStyle name="Normal 37 3 2 2 2 3" xfId="8216"/>
    <cellStyle name="Normal 37 3 2 2 2 3 2" xfId="24813"/>
    <cellStyle name="Normal 37 3 2 2 2 3 3" xfId="16516"/>
    <cellStyle name="Normal 37 3 2 2 2 4" xfId="20673"/>
    <cellStyle name="Normal 37 3 2 2 2 5" xfId="12376"/>
    <cellStyle name="Normal 37 3 2 2 3" xfId="5098"/>
    <cellStyle name="Normal 37 3 2 2 3 2" xfId="9254"/>
    <cellStyle name="Normal 37 3 2 2 3 2 2" xfId="25851"/>
    <cellStyle name="Normal 37 3 2 2 3 2 3" xfId="17554"/>
    <cellStyle name="Normal 37 3 2 2 3 3" xfId="21711"/>
    <cellStyle name="Normal 37 3 2 2 3 4" xfId="13414"/>
    <cellStyle name="Normal 37 3 2 2 4" xfId="7182"/>
    <cellStyle name="Normal 37 3 2 2 4 2" xfId="23779"/>
    <cellStyle name="Normal 37 3 2 2 4 3" xfId="15482"/>
    <cellStyle name="Normal 37 3 2 2 5" xfId="19639"/>
    <cellStyle name="Normal 37 3 2 2 6" xfId="11342"/>
    <cellStyle name="Normal 37 3 2 3" xfId="3489"/>
    <cellStyle name="Normal 37 3 2 3 2" xfId="5617"/>
    <cellStyle name="Normal 37 3 2 3 2 2" xfId="9773"/>
    <cellStyle name="Normal 37 3 2 3 2 2 2" xfId="26370"/>
    <cellStyle name="Normal 37 3 2 3 2 2 3" xfId="18073"/>
    <cellStyle name="Normal 37 3 2 3 2 3" xfId="22230"/>
    <cellStyle name="Normal 37 3 2 3 2 4" xfId="13933"/>
    <cellStyle name="Normal 37 3 2 3 3" xfId="7701"/>
    <cellStyle name="Normal 37 3 2 3 3 2" xfId="24298"/>
    <cellStyle name="Normal 37 3 2 3 3 3" xfId="16001"/>
    <cellStyle name="Normal 37 3 2 3 4" xfId="20158"/>
    <cellStyle name="Normal 37 3 2 3 5" xfId="11861"/>
    <cellStyle name="Normal 37 3 2 4" xfId="4569"/>
    <cellStyle name="Normal 37 3 2 4 2" xfId="8737"/>
    <cellStyle name="Normal 37 3 2 4 2 2" xfId="25334"/>
    <cellStyle name="Normal 37 3 2 4 2 3" xfId="17037"/>
    <cellStyle name="Normal 37 3 2 4 3" xfId="21194"/>
    <cellStyle name="Normal 37 3 2 4 4" xfId="12897"/>
    <cellStyle name="Normal 37 3 2 5" xfId="6660"/>
    <cellStyle name="Normal 37 3 2 5 2" xfId="23264"/>
    <cellStyle name="Normal 37 3 2 5 3" xfId="14967"/>
    <cellStyle name="Normal 37 3 2 6" xfId="19121"/>
    <cellStyle name="Normal 37 3 2 7" xfId="10824"/>
    <cellStyle name="Normal 37 3 3" xfId="2960"/>
    <cellStyle name="Normal 37 3 3 2" xfId="4006"/>
    <cellStyle name="Normal 37 3 3 2 2" xfId="6131"/>
    <cellStyle name="Normal 37 3 3 2 2 2" xfId="10287"/>
    <cellStyle name="Normal 37 3 3 2 2 2 2" xfId="26884"/>
    <cellStyle name="Normal 37 3 3 2 2 2 3" xfId="18587"/>
    <cellStyle name="Normal 37 3 3 2 2 3" xfId="22744"/>
    <cellStyle name="Normal 37 3 3 2 2 4" xfId="14447"/>
    <cellStyle name="Normal 37 3 3 2 3" xfId="8215"/>
    <cellStyle name="Normal 37 3 3 2 3 2" xfId="24812"/>
    <cellStyle name="Normal 37 3 3 2 3 3" xfId="16515"/>
    <cellStyle name="Normal 37 3 3 2 4" xfId="20672"/>
    <cellStyle name="Normal 37 3 3 2 5" xfId="12375"/>
    <cellStyle name="Normal 37 3 3 3" xfId="5097"/>
    <cellStyle name="Normal 37 3 3 3 2" xfId="9253"/>
    <cellStyle name="Normal 37 3 3 3 2 2" xfId="25850"/>
    <cellStyle name="Normal 37 3 3 3 2 3" xfId="17553"/>
    <cellStyle name="Normal 37 3 3 3 3" xfId="21710"/>
    <cellStyle name="Normal 37 3 3 3 4" xfId="13413"/>
    <cellStyle name="Normal 37 3 3 4" xfId="7181"/>
    <cellStyle name="Normal 37 3 3 4 2" xfId="23778"/>
    <cellStyle name="Normal 37 3 3 4 3" xfId="15481"/>
    <cellStyle name="Normal 37 3 3 5" xfId="19638"/>
    <cellStyle name="Normal 37 3 3 6" xfId="11341"/>
    <cellStyle name="Normal 37 3 4" xfId="3488"/>
    <cellStyle name="Normal 37 3 4 2" xfId="5616"/>
    <cellStyle name="Normal 37 3 4 2 2" xfId="9772"/>
    <cellStyle name="Normal 37 3 4 2 2 2" xfId="26369"/>
    <cellStyle name="Normal 37 3 4 2 2 3" xfId="18072"/>
    <cellStyle name="Normal 37 3 4 2 3" xfId="22229"/>
    <cellStyle name="Normal 37 3 4 2 4" xfId="13932"/>
    <cellStyle name="Normal 37 3 4 3" xfId="7700"/>
    <cellStyle name="Normal 37 3 4 3 2" xfId="24297"/>
    <cellStyle name="Normal 37 3 4 3 3" xfId="16000"/>
    <cellStyle name="Normal 37 3 4 4" xfId="20157"/>
    <cellStyle name="Normal 37 3 4 5" xfId="11860"/>
    <cellStyle name="Normal 37 3 5" xfId="4568"/>
    <cellStyle name="Normal 37 3 5 2" xfId="8736"/>
    <cellStyle name="Normal 37 3 5 2 2" xfId="25333"/>
    <cellStyle name="Normal 37 3 5 2 3" xfId="17036"/>
    <cellStyle name="Normal 37 3 5 3" xfId="21193"/>
    <cellStyle name="Normal 37 3 5 4" xfId="12896"/>
    <cellStyle name="Normal 37 3 6" xfId="6659"/>
    <cellStyle name="Normal 37 3 6 2" xfId="23263"/>
    <cellStyle name="Normal 37 3 6 3" xfId="14966"/>
    <cellStyle name="Normal 37 3 7" xfId="19120"/>
    <cellStyle name="Normal 37 3 8" xfId="10823"/>
    <cellStyle name="Normal 37 4" xfId="1627"/>
    <cellStyle name="Normal 37 4 2" xfId="2962"/>
    <cellStyle name="Normal 37 4 2 2" xfId="4008"/>
    <cellStyle name="Normal 37 4 2 2 2" xfId="6133"/>
    <cellStyle name="Normal 37 4 2 2 2 2" xfId="10289"/>
    <cellStyle name="Normal 37 4 2 2 2 2 2" xfId="26886"/>
    <cellStyle name="Normal 37 4 2 2 2 2 3" xfId="18589"/>
    <cellStyle name="Normal 37 4 2 2 2 3" xfId="22746"/>
    <cellStyle name="Normal 37 4 2 2 2 4" xfId="14449"/>
    <cellStyle name="Normal 37 4 2 2 3" xfId="8217"/>
    <cellStyle name="Normal 37 4 2 2 3 2" xfId="24814"/>
    <cellStyle name="Normal 37 4 2 2 3 3" xfId="16517"/>
    <cellStyle name="Normal 37 4 2 2 4" xfId="20674"/>
    <cellStyle name="Normal 37 4 2 2 5" xfId="12377"/>
    <cellStyle name="Normal 37 4 2 3" xfId="5099"/>
    <cellStyle name="Normal 37 4 2 3 2" xfId="9255"/>
    <cellStyle name="Normal 37 4 2 3 2 2" xfId="25852"/>
    <cellStyle name="Normal 37 4 2 3 2 3" xfId="17555"/>
    <cellStyle name="Normal 37 4 2 3 3" xfId="21712"/>
    <cellStyle name="Normal 37 4 2 3 4" xfId="13415"/>
    <cellStyle name="Normal 37 4 2 4" xfId="7183"/>
    <cellStyle name="Normal 37 4 2 4 2" xfId="23780"/>
    <cellStyle name="Normal 37 4 2 4 3" xfId="15483"/>
    <cellStyle name="Normal 37 4 2 5" xfId="19640"/>
    <cellStyle name="Normal 37 4 2 6" xfId="11343"/>
    <cellStyle name="Normal 37 4 3" xfId="3490"/>
    <cellStyle name="Normal 37 4 3 2" xfId="5618"/>
    <cellStyle name="Normal 37 4 3 2 2" xfId="9774"/>
    <cellStyle name="Normal 37 4 3 2 2 2" xfId="26371"/>
    <cellStyle name="Normal 37 4 3 2 2 3" xfId="18074"/>
    <cellStyle name="Normal 37 4 3 2 3" xfId="22231"/>
    <cellStyle name="Normal 37 4 3 2 4" xfId="13934"/>
    <cellStyle name="Normal 37 4 3 3" xfId="7702"/>
    <cellStyle name="Normal 37 4 3 3 2" xfId="24299"/>
    <cellStyle name="Normal 37 4 3 3 3" xfId="16002"/>
    <cellStyle name="Normal 37 4 3 4" xfId="20159"/>
    <cellStyle name="Normal 37 4 3 5" xfId="11862"/>
    <cellStyle name="Normal 37 4 4" xfId="4570"/>
    <cellStyle name="Normal 37 4 4 2" xfId="8738"/>
    <cellStyle name="Normal 37 4 4 2 2" xfId="25335"/>
    <cellStyle name="Normal 37 4 4 2 3" xfId="17038"/>
    <cellStyle name="Normal 37 4 4 3" xfId="21195"/>
    <cellStyle name="Normal 37 4 4 4" xfId="12898"/>
    <cellStyle name="Normal 37 4 5" xfId="6661"/>
    <cellStyle name="Normal 37 4 5 2" xfId="23265"/>
    <cellStyle name="Normal 37 4 5 3" xfId="14968"/>
    <cellStyle name="Normal 37 4 6" xfId="19122"/>
    <cellStyle name="Normal 37 4 7" xfId="10825"/>
    <cellStyle name="Normal 37 5" xfId="2957"/>
    <cellStyle name="Normal 37 5 2" xfId="4003"/>
    <cellStyle name="Normal 37 5 2 2" xfId="6128"/>
    <cellStyle name="Normal 37 5 2 2 2" xfId="10284"/>
    <cellStyle name="Normal 37 5 2 2 2 2" xfId="26881"/>
    <cellStyle name="Normal 37 5 2 2 2 3" xfId="18584"/>
    <cellStyle name="Normal 37 5 2 2 3" xfId="22741"/>
    <cellStyle name="Normal 37 5 2 2 4" xfId="14444"/>
    <cellStyle name="Normal 37 5 2 3" xfId="8212"/>
    <cellStyle name="Normal 37 5 2 3 2" xfId="24809"/>
    <cellStyle name="Normal 37 5 2 3 3" xfId="16512"/>
    <cellStyle name="Normal 37 5 2 4" xfId="20669"/>
    <cellStyle name="Normal 37 5 2 5" xfId="12372"/>
    <cellStyle name="Normal 37 5 3" xfId="5094"/>
    <cellStyle name="Normal 37 5 3 2" xfId="9250"/>
    <cellStyle name="Normal 37 5 3 2 2" xfId="25847"/>
    <cellStyle name="Normal 37 5 3 2 3" xfId="17550"/>
    <cellStyle name="Normal 37 5 3 3" xfId="21707"/>
    <cellStyle name="Normal 37 5 3 4" xfId="13410"/>
    <cellStyle name="Normal 37 5 4" xfId="7178"/>
    <cellStyle name="Normal 37 5 4 2" xfId="23775"/>
    <cellStyle name="Normal 37 5 4 3" xfId="15478"/>
    <cellStyle name="Normal 37 5 5" xfId="19635"/>
    <cellStyle name="Normal 37 5 6" xfId="11338"/>
    <cellStyle name="Normal 37 6" xfId="3485"/>
    <cellStyle name="Normal 37 6 2" xfId="5613"/>
    <cellStyle name="Normal 37 6 2 2" xfId="9769"/>
    <cellStyle name="Normal 37 6 2 2 2" xfId="26366"/>
    <cellStyle name="Normal 37 6 2 2 3" xfId="18069"/>
    <cellStyle name="Normal 37 6 2 3" xfId="22226"/>
    <cellStyle name="Normal 37 6 2 4" xfId="13929"/>
    <cellStyle name="Normal 37 6 3" xfId="7697"/>
    <cellStyle name="Normal 37 6 3 2" xfId="24294"/>
    <cellStyle name="Normal 37 6 3 3" xfId="15997"/>
    <cellStyle name="Normal 37 6 4" xfId="20154"/>
    <cellStyle name="Normal 37 6 5" xfId="11857"/>
    <cellStyle name="Normal 37 7" xfId="4565"/>
    <cellStyle name="Normal 37 7 2" xfId="8733"/>
    <cellStyle name="Normal 37 7 2 2" xfId="25330"/>
    <cellStyle name="Normal 37 7 2 3" xfId="17033"/>
    <cellStyle name="Normal 37 7 3" xfId="21190"/>
    <cellStyle name="Normal 37 7 4" xfId="12893"/>
    <cellStyle name="Normal 37 8" xfId="6656"/>
    <cellStyle name="Normal 37 8 2" xfId="23260"/>
    <cellStyle name="Normal 37 8 3" xfId="14963"/>
    <cellStyle name="Normal 37 9" xfId="19117"/>
    <cellStyle name="Normal 38" xfId="1628"/>
    <cellStyle name="Normal 38 10" xfId="10826"/>
    <cellStyle name="Normal 38 2" xfId="1629"/>
    <cellStyle name="Normal 38 2 2" xfId="1630"/>
    <cellStyle name="Normal 38 2 2 2" xfId="2965"/>
    <cellStyle name="Normal 38 2 2 2 2" xfId="4011"/>
    <cellStyle name="Normal 38 2 2 2 2 2" xfId="6136"/>
    <cellStyle name="Normal 38 2 2 2 2 2 2" xfId="10292"/>
    <cellStyle name="Normal 38 2 2 2 2 2 2 2" xfId="26889"/>
    <cellStyle name="Normal 38 2 2 2 2 2 2 3" xfId="18592"/>
    <cellStyle name="Normal 38 2 2 2 2 2 3" xfId="22749"/>
    <cellStyle name="Normal 38 2 2 2 2 2 4" xfId="14452"/>
    <cellStyle name="Normal 38 2 2 2 2 3" xfId="8220"/>
    <cellStyle name="Normal 38 2 2 2 2 3 2" xfId="24817"/>
    <cellStyle name="Normal 38 2 2 2 2 3 3" xfId="16520"/>
    <cellStyle name="Normal 38 2 2 2 2 4" xfId="20677"/>
    <cellStyle name="Normal 38 2 2 2 2 5" xfId="12380"/>
    <cellStyle name="Normal 38 2 2 2 3" xfId="5102"/>
    <cellStyle name="Normal 38 2 2 2 3 2" xfId="9258"/>
    <cellStyle name="Normal 38 2 2 2 3 2 2" xfId="25855"/>
    <cellStyle name="Normal 38 2 2 2 3 2 3" xfId="17558"/>
    <cellStyle name="Normal 38 2 2 2 3 3" xfId="21715"/>
    <cellStyle name="Normal 38 2 2 2 3 4" xfId="13418"/>
    <cellStyle name="Normal 38 2 2 2 4" xfId="7186"/>
    <cellStyle name="Normal 38 2 2 2 4 2" xfId="23783"/>
    <cellStyle name="Normal 38 2 2 2 4 3" xfId="15486"/>
    <cellStyle name="Normal 38 2 2 2 5" xfId="19643"/>
    <cellStyle name="Normal 38 2 2 2 6" xfId="11346"/>
    <cellStyle name="Normal 38 2 2 3" xfId="3493"/>
    <cellStyle name="Normal 38 2 2 3 2" xfId="5621"/>
    <cellStyle name="Normal 38 2 2 3 2 2" xfId="9777"/>
    <cellStyle name="Normal 38 2 2 3 2 2 2" xfId="26374"/>
    <cellStyle name="Normal 38 2 2 3 2 2 3" xfId="18077"/>
    <cellStyle name="Normal 38 2 2 3 2 3" xfId="22234"/>
    <cellStyle name="Normal 38 2 2 3 2 4" xfId="13937"/>
    <cellStyle name="Normal 38 2 2 3 3" xfId="7705"/>
    <cellStyle name="Normal 38 2 2 3 3 2" xfId="24302"/>
    <cellStyle name="Normal 38 2 2 3 3 3" xfId="16005"/>
    <cellStyle name="Normal 38 2 2 3 4" xfId="20162"/>
    <cellStyle name="Normal 38 2 2 3 5" xfId="11865"/>
    <cellStyle name="Normal 38 2 2 4" xfId="4573"/>
    <cellStyle name="Normal 38 2 2 4 2" xfId="8741"/>
    <cellStyle name="Normal 38 2 2 4 2 2" xfId="25338"/>
    <cellStyle name="Normal 38 2 2 4 2 3" xfId="17041"/>
    <cellStyle name="Normal 38 2 2 4 3" xfId="21198"/>
    <cellStyle name="Normal 38 2 2 4 4" xfId="12901"/>
    <cellStyle name="Normal 38 2 2 5" xfId="6664"/>
    <cellStyle name="Normal 38 2 2 5 2" xfId="23268"/>
    <cellStyle name="Normal 38 2 2 5 3" xfId="14971"/>
    <cellStyle name="Normal 38 2 2 6" xfId="19125"/>
    <cellStyle name="Normal 38 2 2 7" xfId="10828"/>
    <cellStyle name="Normal 38 2 3" xfId="2964"/>
    <cellStyle name="Normal 38 2 3 2" xfId="4010"/>
    <cellStyle name="Normal 38 2 3 2 2" xfId="6135"/>
    <cellStyle name="Normal 38 2 3 2 2 2" xfId="10291"/>
    <cellStyle name="Normal 38 2 3 2 2 2 2" xfId="26888"/>
    <cellStyle name="Normal 38 2 3 2 2 2 3" xfId="18591"/>
    <cellStyle name="Normal 38 2 3 2 2 3" xfId="22748"/>
    <cellStyle name="Normal 38 2 3 2 2 4" xfId="14451"/>
    <cellStyle name="Normal 38 2 3 2 3" xfId="8219"/>
    <cellStyle name="Normal 38 2 3 2 3 2" xfId="24816"/>
    <cellStyle name="Normal 38 2 3 2 3 3" xfId="16519"/>
    <cellStyle name="Normal 38 2 3 2 4" xfId="20676"/>
    <cellStyle name="Normal 38 2 3 2 5" xfId="12379"/>
    <cellStyle name="Normal 38 2 3 3" xfId="5101"/>
    <cellStyle name="Normal 38 2 3 3 2" xfId="9257"/>
    <cellStyle name="Normal 38 2 3 3 2 2" xfId="25854"/>
    <cellStyle name="Normal 38 2 3 3 2 3" xfId="17557"/>
    <cellStyle name="Normal 38 2 3 3 3" xfId="21714"/>
    <cellStyle name="Normal 38 2 3 3 4" xfId="13417"/>
    <cellStyle name="Normal 38 2 3 4" xfId="7185"/>
    <cellStyle name="Normal 38 2 3 4 2" xfId="23782"/>
    <cellStyle name="Normal 38 2 3 4 3" xfId="15485"/>
    <cellStyle name="Normal 38 2 3 5" xfId="19642"/>
    <cellStyle name="Normal 38 2 3 6" xfId="11345"/>
    <cellStyle name="Normal 38 2 4" xfId="3492"/>
    <cellStyle name="Normal 38 2 4 2" xfId="5620"/>
    <cellStyle name="Normal 38 2 4 2 2" xfId="9776"/>
    <cellStyle name="Normal 38 2 4 2 2 2" xfId="26373"/>
    <cellStyle name="Normal 38 2 4 2 2 3" xfId="18076"/>
    <cellStyle name="Normal 38 2 4 2 3" xfId="22233"/>
    <cellStyle name="Normal 38 2 4 2 4" xfId="13936"/>
    <cellStyle name="Normal 38 2 4 3" xfId="7704"/>
    <cellStyle name="Normal 38 2 4 3 2" xfId="24301"/>
    <cellStyle name="Normal 38 2 4 3 3" xfId="16004"/>
    <cellStyle name="Normal 38 2 4 4" xfId="20161"/>
    <cellStyle name="Normal 38 2 4 5" xfId="11864"/>
    <cellStyle name="Normal 38 2 5" xfId="4572"/>
    <cellStyle name="Normal 38 2 5 2" xfId="8740"/>
    <cellStyle name="Normal 38 2 5 2 2" xfId="25337"/>
    <cellStyle name="Normal 38 2 5 2 3" xfId="17040"/>
    <cellStyle name="Normal 38 2 5 3" xfId="21197"/>
    <cellStyle name="Normal 38 2 5 4" xfId="12900"/>
    <cellStyle name="Normal 38 2 6" xfId="6663"/>
    <cellStyle name="Normal 38 2 6 2" xfId="23267"/>
    <cellStyle name="Normal 38 2 6 3" xfId="14970"/>
    <cellStyle name="Normal 38 2 7" xfId="19124"/>
    <cellStyle name="Normal 38 2 8" xfId="10827"/>
    <cellStyle name="Normal 38 3" xfId="1631"/>
    <cellStyle name="Normal 38 3 2" xfId="1632"/>
    <cellStyle name="Normal 38 3 2 2" xfId="2967"/>
    <cellStyle name="Normal 38 3 2 2 2" xfId="4013"/>
    <cellStyle name="Normal 38 3 2 2 2 2" xfId="6138"/>
    <cellStyle name="Normal 38 3 2 2 2 2 2" xfId="10294"/>
    <cellStyle name="Normal 38 3 2 2 2 2 2 2" xfId="26891"/>
    <cellStyle name="Normal 38 3 2 2 2 2 2 3" xfId="18594"/>
    <cellStyle name="Normal 38 3 2 2 2 2 3" xfId="22751"/>
    <cellStyle name="Normal 38 3 2 2 2 2 4" xfId="14454"/>
    <cellStyle name="Normal 38 3 2 2 2 3" xfId="8222"/>
    <cellStyle name="Normal 38 3 2 2 2 3 2" xfId="24819"/>
    <cellStyle name="Normal 38 3 2 2 2 3 3" xfId="16522"/>
    <cellStyle name="Normal 38 3 2 2 2 4" xfId="20679"/>
    <cellStyle name="Normal 38 3 2 2 2 5" xfId="12382"/>
    <cellStyle name="Normal 38 3 2 2 3" xfId="5104"/>
    <cellStyle name="Normal 38 3 2 2 3 2" xfId="9260"/>
    <cellStyle name="Normal 38 3 2 2 3 2 2" xfId="25857"/>
    <cellStyle name="Normal 38 3 2 2 3 2 3" xfId="17560"/>
    <cellStyle name="Normal 38 3 2 2 3 3" xfId="21717"/>
    <cellStyle name="Normal 38 3 2 2 3 4" xfId="13420"/>
    <cellStyle name="Normal 38 3 2 2 4" xfId="7188"/>
    <cellStyle name="Normal 38 3 2 2 4 2" xfId="23785"/>
    <cellStyle name="Normal 38 3 2 2 4 3" xfId="15488"/>
    <cellStyle name="Normal 38 3 2 2 5" xfId="19645"/>
    <cellStyle name="Normal 38 3 2 2 6" xfId="11348"/>
    <cellStyle name="Normal 38 3 2 3" xfId="3495"/>
    <cellStyle name="Normal 38 3 2 3 2" xfId="5623"/>
    <cellStyle name="Normal 38 3 2 3 2 2" xfId="9779"/>
    <cellStyle name="Normal 38 3 2 3 2 2 2" xfId="26376"/>
    <cellStyle name="Normal 38 3 2 3 2 2 3" xfId="18079"/>
    <cellStyle name="Normal 38 3 2 3 2 3" xfId="22236"/>
    <cellStyle name="Normal 38 3 2 3 2 4" xfId="13939"/>
    <cellStyle name="Normal 38 3 2 3 3" xfId="7707"/>
    <cellStyle name="Normal 38 3 2 3 3 2" xfId="24304"/>
    <cellStyle name="Normal 38 3 2 3 3 3" xfId="16007"/>
    <cellStyle name="Normal 38 3 2 3 4" xfId="20164"/>
    <cellStyle name="Normal 38 3 2 3 5" xfId="11867"/>
    <cellStyle name="Normal 38 3 2 4" xfId="4575"/>
    <cellStyle name="Normal 38 3 2 4 2" xfId="8743"/>
    <cellStyle name="Normal 38 3 2 4 2 2" xfId="25340"/>
    <cellStyle name="Normal 38 3 2 4 2 3" xfId="17043"/>
    <cellStyle name="Normal 38 3 2 4 3" xfId="21200"/>
    <cellStyle name="Normal 38 3 2 4 4" xfId="12903"/>
    <cellStyle name="Normal 38 3 2 5" xfId="6666"/>
    <cellStyle name="Normal 38 3 2 5 2" xfId="23270"/>
    <cellStyle name="Normal 38 3 2 5 3" xfId="14973"/>
    <cellStyle name="Normal 38 3 2 6" xfId="19127"/>
    <cellStyle name="Normal 38 3 2 7" xfId="10830"/>
    <cellStyle name="Normal 38 3 3" xfId="2966"/>
    <cellStyle name="Normal 38 3 3 2" xfId="4012"/>
    <cellStyle name="Normal 38 3 3 2 2" xfId="6137"/>
    <cellStyle name="Normal 38 3 3 2 2 2" xfId="10293"/>
    <cellStyle name="Normal 38 3 3 2 2 2 2" xfId="26890"/>
    <cellStyle name="Normal 38 3 3 2 2 2 3" xfId="18593"/>
    <cellStyle name="Normal 38 3 3 2 2 3" xfId="22750"/>
    <cellStyle name="Normal 38 3 3 2 2 4" xfId="14453"/>
    <cellStyle name="Normal 38 3 3 2 3" xfId="8221"/>
    <cellStyle name="Normal 38 3 3 2 3 2" xfId="24818"/>
    <cellStyle name="Normal 38 3 3 2 3 3" xfId="16521"/>
    <cellStyle name="Normal 38 3 3 2 4" xfId="20678"/>
    <cellStyle name="Normal 38 3 3 2 5" xfId="12381"/>
    <cellStyle name="Normal 38 3 3 3" xfId="5103"/>
    <cellStyle name="Normal 38 3 3 3 2" xfId="9259"/>
    <cellStyle name="Normal 38 3 3 3 2 2" xfId="25856"/>
    <cellStyle name="Normal 38 3 3 3 2 3" xfId="17559"/>
    <cellStyle name="Normal 38 3 3 3 3" xfId="21716"/>
    <cellStyle name="Normal 38 3 3 3 4" xfId="13419"/>
    <cellStyle name="Normal 38 3 3 4" xfId="7187"/>
    <cellStyle name="Normal 38 3 3 4 2" xfId="23784"/>
    <cellStyle name="Normal 38 3 3 4 3" xfId="15487"/>
    <cellStyle name="Normal 38 3 3 5" xfId="19644"/>
    <cellStyle name="Normal 38 3 3 6" xfId="11347"/>
    <cellStyle name="Normal 38 3 4" xfId="3494"/>
    <cellStyle name="Normal 38 3 4 2" xfId="5622"/>
    <cellStyle name="Normal 38 3 4 2 2" xfId="9778"/>
    <cellStyle name="Normal 38 3 4 2 2 2" xfId="26375"/>
    <cellStyle name="Normal 38 3 4 2 2 3" xfId="18078"/>
    <cellStyle name="Normal 38 3 4 2 3" xfId="22235"/>
    <cellStyle name="Normal 38 3 4 2 4" xfId="13938"/>
    <cellStyle name="Normal 38 3 4 3" xfId="7706"/>
    <cellStyle name="Normal 38 3 4 3 2" xfId="24303"/>
    <cellStyle name="Normal 38 3 4 3 3" xfId="16006"/>
    <cellStyle name="Normal 38 3 4 4" xfId="20163"/>
    <cellStyle name="Normal 38 3 4 5" xfId="11866"/>
    <cellStyle name="Normal 38 3 5" xfId="4574"/>
    <cellStyle name="Normal 38 3 5 2" xfId="8742"/>
    <cellStyle name="Normal 38 3 5 2 2" xfId="25339"/>
    <cellStyle name="Normal 38 3 5 2 3" xfId="17042"/>
    <cellStyle name="Normal 38 3 5 3" xfId="21199"/>
    <cellStyle name="Normal 38 3 5 4" xfId="12902"/>
    <cellStyle name="Normal 38 3 6" xfId="6665"/>
    <cellStyle name="Normal 38 3 6 2" xfId="23269"/>
    <cellStyle name="Normal 38 3 6 3" xfId="14972"/>
    <cellStyle name="Normal 38 3 7" xfId="19126"/>
    <cellStyle name="Normal 38 3 8" xfId="10829"/>
    <cellStyle name="Normal 38 4" xfId="1633"/>
    <cellStyle name="Normal 38 4 2" xfId="2968"/>
    <cellStyle name="Normal 38 4 2 2" xfId="4014"/>
    <cellStyle name="Normal 38 4 2 2 2" xfId="6139"/>
    <cellStyle name="Normal 38 4 2 2 2 2" xfId="10295"/>
    <cellStyle name="Normal 38 4 2 2 2 2 2" xfId="26892"/>
    <cellStyle name="Normal 38 4 2 2 2 2 3" xfId="18595"/>
    <cellStyle name="Normal 38 4 2 2 2 3" xfId="22752"/>
    <cellStyle name="Normal 38 4 2 2 2 4" xfId="14455"/>
    <cellStyle name="Normal 38 4 2 2 3" xfId="8223"/>
    <cellStyle name="Normal 38 4 2 2 3 2" xfId="24820"/>
    <cellStyle name="Normal 38 4 2 2 3 3" xfId="16523"/>
    <cellStyle name="Normal 38 4 2 2 4" xfId="20680"/>
    <cellStyle name="Normal 38 4 2 2 5" xfId="12383"/>
    <cellStyle name="Normal 38 4 2 3" xfId="5105"/>
    <cellStyle name="Normal 38 4 2 3 2" xfId="9261"/>
    <cellStyle name="Normal 38 4 2 3 2 2" xfId="25858"/>
    <cellStyle name="Normal 38 4 2 3 2 3" xfId="17561"/>
    <cellStyle name="Normal 38 4 2 3 3" xfId="21718"/>
    <cellStyle name="Normal 38 4 2 3 4" xfId="13421"/>
    <cellStyle name="Normal 38 4 2 4" xfId="7189"/>
    <cellStyle name="Normal 38 4 2 4 2" xfId="23786"/>
    <cellStyle name="Normal 38 4 2 4 3" xfId="15489"/>
    <cellStyle name="Normal 38 4 2 5" xfId="19646"/>
    <cellStyle name="Normal 38 4 2 6" xfId="11349"/>
    <cellStyle name="Normal 38 4 3" xfId="3496"/>
    <cellStyle name="Normal 38 4 3 2" xfId="5624"/>
    <cellStyle name="Normal 38 4 3 2 2" xfId="9780"/>
    <cellStyle name="Normal 38 4 3 2 2 2" xfId="26377"/>
    <cellStyle name="Normal 38 4 3 2 2 3" xfId="18080"/>
    <cellStyle name="Normal 38 4 3 2 3" xfId="22237"/>
    <cellStyle name="Normal 38 4 3 2 4" xfId="13940"/>
    <cellStyle name="Normal 38 4 3 3" xfId="7708"/>
    <cellStyle name="Normal 38 4 3 3 2" xfId="24305"/>
    <cellStyle name="Normal 38 4 3 3 3" xfId="16008"/>
    <cellStyle name="Normal 38 4 3 4" xfId="20165"/>
    <cellStyle name="Normal 38 4 3 5" xfId="11868"/>
    <cellStyle name="Normal 38 4 4" xfId="4576"/>
    <cellStyle name="Normal 38 4 4 2" xfId="8744"/>
    <cellStyle name="Normal 38 4 4 2 2" xfId="25341"/>
    <cellStyle name="Normal 38 4 4 2 3" xfId="17044"/>
    <cellStyle name="Normal 38 4 4 3" xfId="21201"/>
    <cellStyle name="Normal 38 4 4 4" xfId="12904"/>
    <cellStyle name="Normal 38 4 5" xfId="6667"/>
    <cellStyle name="Normal 38 4 5 2" xfId="23271"/>
    <cellStyle name="Normal 38 4 5 3" xfId="14974"/>
    <cellStyle name="Normal 38 4 6" xfId="19128"/>
    <cellStyle name="Normal 38 4 7" xfId="10831"/>
    <cellStyle name="Normal 38 5" xfId="2963"/>
    <cellStyle name="Normal 38 5 2" xfId="4009"/>
    <cellStyle name="Normal 38 5 2 2" xfId="6134"/>
    <cellStyle name="Normal 38 5 2 2 2" xfId="10290"/>
    <cellStyle name="Normal 38 5 2 2 2 2" xfId="26887"/>
    <cellStyle name="Normal 38 5 2 2 2 3" xfId="18590"/>
    <cellStyle name="Normal 38 5 2 2 3" xfId="22747"/>
    <cellStyle name="Normal 38 5 2 2 4" xfId="14450"/>
    <cellStyle name="Normal 38 5 2 3" xfId="8218"/>
    <cellStyle name="Normal 38 5 2 3 2" xfId="24815"/>
    <cellStyle name="Normal 38 5 2 3 3" xfId="16518"/>
    <cellStyle name="Normal 38 5 2 4" xfId="20675"/>
    <cellStyle name="Normal 38 5 2 5" xfId="12378"/>
    <cellStyle name="Normal 38 5 3" xfId="5100"/>
    <cellStyle name="Normal 38 5 3 2" xfId="9256"/>
    <cellStyle name="Normal 38 5 3 2 2" xfId="25853"/>
    <cellStyle name="Normal 38 5 3 2 3" xfId="17556"/>
    <cellStyle name="Normal 38 5 3 3" xfId="21713"/>
    <cellStyle name="Normal 38 5 3 4" xfId="13416"/>
    <cellStyle name="Normal 38 5 4" xfId="7184"/>
    <cellStyle name="Normal 38 5 4 2" xfId="23781"/>
    <cellStyle name="Normal 38 5 4 3" xfId="15484"/>
    <cellStyle name="Normal 38 5 5" xfId="19641"/>
    <cellStyle name="Normal 38 5 6" xfId="11344"/>
    <cellStyle name="Normal 38 6" xfId="3491"/>
    <cellStyle name="Normal 38 6 2" xfId="5619"/>
    <cellStyle name="Normal 38 6 2 2" xfId="9775"/>
    <cellStyle name="Normal 38 6 2 2 2" xfId="26372"/>
    <cellStyle name="Normal 38 6 2 2 3" xfId="18075"/>
    <cellStyle name="Normal 38 6 2 3" xfId="22232"/>
    <cellStyle name="Normal 38 6 2 4" xfId="13935"/>
    <cellStyle name="Normal 38 6 3" xfId="7703"/>
    <cellStyle name="Normal 38 6 3 2" xfId="24300"/>
    <cellStyle name="Normal 38 6 3 3" xfId="16003"/>
    <cellStyle name="Normal 38 6 4" xfId="20160"/>
    <cellStyle name="Normal 38 6 5" xfId="11863"/>
    <cellStyle name="Normal 38 7" xfId="4571"/>
    <cellStyle name="Normal 38 7 2" xfId="8739"/>
    <cellStyle name="Normal 38 7 2 2" xfId="25336"/>
    <cellStyle name="Normal 38 7 2 3" xfId="17039"/>
    <cellStyle name="Normal 38 7 3" xfId="21196"/>
    <cellStyle name="Normal 38 7 4" xfId="12899"/>
    <cellStyle name="Normal 38 8" xfId="6662"/>
    <cellStyle name="Normal 38 8 2" xfId="23266"/>
    <cellStyle name="Normal 38 8 3" xfId="14969"/>
    <cellStyle name="Normal 38 9" xfId="19123"/>
    <cellStyle name="Normal 39" xfId="1634"/>
    <cellStyle name="Normal 39 10" xfId="10832"/>
    <cellStyle name="Normal 39 2" xfId="1635"/>
    <cellStyle name="Normal 39 2 2" xfId="1636"/>
    <cellStyle name="Normal 39 2 2 2" xfId="2971"/>
    <cellStyle name="Normal 39 2 2 2 2" xfId="4017"/>
    <cellStyle name="Normal 39 2 2 2 2 2" xfId="6142"/>
    <cellStyle name="Normal 39 2 2 2 2 2 2" xfId="10298"/>
    <cellStyle name="Normal 39 2 2 2 2 2 2 2" xfId="26895"/>
    <cellStyle name="Normal 39 2 2 2 2 2 2 3" xfId="18598"/>
    <cellStyle name="Normal 39 2 2 2 2 2 3" xfId="22755"/>
    <cellStyle name="Normal 39 2 2 2 2 2 4" xfId="14458"/>
    <cellStyle name="Normal 39 2 2 2 2 3" xfId="8226"/>
    <cellStyle name="Normal 39 2 2 2 2 3 2" xfId="24823"/>
    <cellStyle name="Normal 39 2 2 2 2 3 3" xfId="16526"/>
    <cellStyle name="Normal 39 2 2 2 2 4" xfId="20683"/>
    <cellStyle name="Normal 39 2 2 2 2 5" xfId="12386"/>
    <cellStyle name="Normal 39 2 2 2 3" xfId="5108"/>
    <cellStyle name="Normal 39 2 2 2 3 2" xfId="9264"/>
    <cellStyle name="Normal 39 2 2 2 3 2 2" xfId="25861"/>
    <cellStyle name="Normal 39 2 2 2 3 2 3" xfId="17564"/>
    <cellStyle name="Normal 39 2 2 2 3 3" xfId="21721"/>
    <cellStyle name="Normal 39 2 2 2 3 4" xfId="13424"/>
    <cellStyle name="Normal 39 2 2 2 4" xfId="7192"/>
    <cellStyle name="Normal 39 2 2 2 4 2" xfId="23789"/>
    <cellStyle name="Normal 39 2 2 2 4 3" xfId="15492"/>
    <cellStyle name="Normal 39 2 2 2 5" xfId="19649"/>
    <cellStyle name="Normal 39 2 2 2 6" xfId="11352"/>
    <cellStyle name="Normal 39 2 2 3" xfId="3499"/>
    <cellStyle name="Normal 39 2 2 3 2" xfId="5627"/>
    <cellStyle name="Normal 39 2 2 3 2 2" xfId="9783"/>
    <cellStyle name="Normal 39 2 2 3 2 2 2" xfId="26380"/>
    <cellStyle name="Normal 39 2 2 3 2 2 3" xfId="18083"/>
    <cellStyle name="Normal 39 2 2 3 2 3" xfId="22240"/>
    <cellStyle name="Normal 39 2 2 3 2 4" xfId="13943"/>
    <cellStyle name="Normal 39 2 2 3 3" xfId="7711"/>
    <cellStyle name="Normal 39 2 2 3 3 2" xfId="24308"/>
    <cellStyle name="Normal 39 2 2 3 3 3" xfId="16011"/>
    <cellStyle name="Normal 39 2 2 3 4" xfId="20168"/>
    <cellStyle name="Normal 39 2 2 3 5" xfId="11871"/>
    <cellStyle name="Normal 39 2 2 4" xfId="4579"/>
    <cellStyle name="Normal 39 2 2 4 2" xfId="8747"/>
    <cellStyle name="Normal 39 2 2 4 2 2" xfId="25344"/>
    <cellStyle name="Normal 39 2 2 4 2 3" xfId="17047"/>
    <cellStyle name="Normal 39 2 2 4 3" xfId="21204"/>
    <cellStyle name="Normal 39 2 2 4 4" xfId="12907"/>
    <cellStyle name="Normal 39 2 2 5" xfId="6670"/>
    <cellStyle name="Normal 39 2 2 5 2" xfId="23274"/>
    <cellStyle name="Normal 39 2 2 5 3" xfId="14977"/>
    <cellStyle name="Normal 39 2 2 6" xfId="19131"/>
    <cellStyle name="Normal 39 2 2 7" xfId="10834"/>
    <cellStyle name="Normal 39 2 3" xfId="2970"/>
    <cellStyle name="Normal 39 2 3 2" xfId="4016"/>
    <cellStyle name="Normal 39 2 3 2 2" xfId="6141"/>
    <cellStyle name="Normal 39 2 3 2 2 2" xfId="10297"/>
    <cellStyle name="Normal 39 2 3 2 2 2 2" xfId="26894"/>
    <cellStyle name="Normal 39 2 3 2 2 2 3" xfId="18597"/>
    <cellStyle name="Normal 39 2 3 2 2 3" xfId="22754"/>
    <cellStyle name="Normal 39 2 3 2 2 4" xfId="14457"/>
    <cellStyle name="Normal 39 2 3 2 3" xfId="8225"/>
    <cellStyle name="Normal 39 2 3 2 3 2" xfId="24822"/>
    <cellStyle name="Normal 39 2 3 2 3 3" xfId="16525"/>
    <cellStyle name="Normal 39 2 3 2 4" xfId="20682"/>
    <cellStyle name="Normal 39 2 3 2 5" xfId="12385"/>
    <cellStyle name="Normal 39 2 3 3" xfId="5107"/>
    <cellStyle name="Normal 39 2 3 3 2" xfId="9263"/>
    <cellStyle name="Normal 39 2 3 3 2 2" xfId="25860"/>
    <cellStyle name="Normal 39 2 3 3 2 3" xfId="17563"/>
    <cellStyle name="Normal 39 2 3 3 3" xfId="21720"/>
    <cellStyle name="Normal 39 2 3 3 4" xfId="13423"/>
    <cellStyle name="Normal 39 2 3 4" xfId="7191"/>
    <cellStyle name="Normal 39 2 3 4 2" xfId="23788"/>
    <cellStyle name="Normal 39 2 3 4 3" xfId="15491"/>
    <cellStyle name="Normal 39 2 3 5" xfId="19648"/>
    <cellStyle name="Normal 39 2 3 6" xfId="11351"/>
    <cellStyle name="Normal 39 2 4" xfId="3498"/>
    <cellStyle name="Normal 39 2 4 2" xfId="5626"/>
    <cellStyle name="Normal 39 2 4 2 2" xfId="9782"/>
    <cellStyle name="Normal 39 2 4 2 2 2" xfId="26379"/>
    <cellStyle name="Normal 39 2 4 2 2 3" xfId="18082"/>
    <cellStyle name="Normal 39 2 4 2 3" xfId="22239"/>
    <cellStyle name="Normal 39 2 4 2 4" xfId="13942"/>
    <cellStyle name="Normal 39 2 4 3" xfId="7710"/>
    <cellStyle name="Normal 39 2 4 3 2" xfId="24307"/>
    <cellStyle name="Normal 39 2 4 3 3" xfId="16010"/>
    <cellStyle name="Normal 39 2 4 4" xfId="20167"/>
    <cellStyle name="Normal 39 2 4 5" xfId="11870"/>
    <cellStyle name="Normal 39 2 5" xfId="4578"/>
    <cellStyle name="Normal 39 2 5 2" xfId="8746"/>
    <cellStyle name="Normal 39 2 5 2 2" xfId="25343"/>
    <cellStyle name="Normal 39 2 5 2 3" xfId="17046"/>
    <cellStyle name="Normal 39 2 5 3" xfId="21203"/>
    <cellStyle name="Normal 39 2 5 4" xfId="12906"/>
    <cellStyle name="Normal 39 2 6" xfId="6669"/>
    <cellStyle name="Normal 39 2 6 2" xfId="23273"/>
    <cellStyle name="Normal 39 2 6 3" xfId="14976"/>
    <cellStyle name="Normal 39 2 7" xfId="19130"/>
    <cellStyle name="Normal 39 2 8" xfId="10833"/>
    <cellStyle name="Normal 39 3" xfId="1637"/>
    <cellStyle name="Normal 39 3 2" xfId="1638"/>
    <cellStyle name="Normal 39 3 2 2" xfId="2973"/>
    <cellStyle name="Normal 39 3 2 2 2" xfId="4019"/>
    <cellStyle name="Normal 39 3 2 2 2 2" xfId="6144"/>
    <cellStyle name="Normal 39 3 2 2 2 2 2" xfId="10300"/>
    <cellStyle name="Normal 39 3 2 2 2 2 2 2" xfId="26897"/>
    <cellStyle name="Normal 39 3 2 2 2 2 2 3" xfId="18600"/>
    <cellStyle name="Normal 39 3 2 2 2 2 3" xfId="22757"/>
    <cellStyle name="Normal 39 3 2 2 2 2 4" xfId="14460"/>
    <cellStyle name="Normal 39 3 2 2 2 3" xfId="8228"/>
    <cellStyle name="Normal 39 3 2 2 2 3 2" xfId="24825"/>
    <cellStyle name="Normal 39 3 2 2 2 3 3" xfId="16528"/>
    <cellStyle name="Normal 39 3 2 2 2 4" xfId="20685"/>
    <cellStyle name="Normal 39 3 2 2 2 5" xfId="12388"/>
    <cellStyle name="Normal 39 3 2 2 3" xfId="5110"/>
    <cellStyle name="Normal 39 3 2 2 3 2" xfId="9266"/>
    <cellStyle name="Normal 39 3 2 2 3 2 2" xfId="25863"/>
    <cellStyle name="Normal 39 3 2 2 3 2 3" xfId="17566"/>
    <cellStyle name="Normal 39 3 2 2 3 3" xfId="21723"/>
    <cellStyle name="Normal 39 3 2 2 3 4" xfId="13426"/>
    <cellStyle name="Normal 39 3 2 2 4" xfId="7194"/>
    <cellStyle name="Normal 39 3 2 2 4 2" xfId="23791"/>
    <cellStyle name="Normal 39 3 2 2 4 3" xfId="15494"/>
    <cellStyle name="Normal 39 3 2 2 5" xfId="19651"/>
    <cellStyle name="Normal 39 3 2 2 6" xfId="11354"/>
    <cellStyle name="Normal 39 3 2 3" xfId="3501"/>
    <cellStyle name="Normal 39 3 2 3 2" xfId="5629"/>
    <cellStyle name="Normal 39 3 2 3 2 2" xfId="9785"/>
    <cellStyle name="Normal 39 3 2 3 2 2 2" xfId="26382"/>
    <cellStyle name="Normal 39 3 2 3 2 2 3" xfId="18085"/>
    <cellStyle name="Normal 39 3 2 3 2 3" xfId="22242"/>
    <cellStyle name="Normal 39 3 2 3 2 4" xfId="13945"/>
    <cellStyle name="Normal 39 3 2 3 3" xfId="7713"/>
    <cellStyle name="Normal 39 3 2 3 3 2" xfId="24310"/>
    <cellStyle name="Normal 39 3 2 3 3 3" xfId="16013"/>
    <cellStyle name="Normal 39 3 2 3 4" xfId="20170"/>
    <cellStyle name="Normal 39 3 2 3 5" xfId="11873"/>
    <cellStyle name="Normal 39 3 2 4" xfId="4581"/>
    <cellStyle name="Normal 39 3 2 4 2" xfId="8749"/>
    <cellStyle name="Normal 39 3 2 4 2 2" xfId="25346"/>
    <cellStyle name="Normal 39 3 2 4 2 3" xfId="17049"/>
    <cellStyle name="Normal 39 3 2 4 3" xfId="21206"/>
    <cellStyle name="Normal 39 3 2 4 4" xfId="12909"/>
    <cellStyle name="Normal 39 3 2 5" xfId="6672"/>
    <cellStyle name="Normal 39 3 2 5 2" xfId="23276"/>
    <cellStyle name="Normal 39 3 2 5 3" xfId="14979"/>
    <cellStyle name="Normal 39 3 2 6" xfId="19133"/>
    <cellStyle name="Normal 39 3 2 7" xfId="10836"/>
    <cellStyle name="Normal 39 3 3" xfId="2972"/>
    <cellStyle name="Normal 39 3 3 2" xfId="4018"/>
    <cellStyle name="Normal 39 3 3 2 2" xfId="6143"/>
    <cellStyle name="Normal 39 3 3 2 2 2" xfId="10299"/>
    <cellStyle name="Normal 39 3 3 2 2 2 2" xfId="26896"/>
    <cellStyle name="Normal 39 3 3 2 2 2 3" xfId="18599"/>
    <cellStyle name="Normal 39 3 3 2 2 3" xfId="22756"/>
    <cellStyle name="Normal 39 3 3 2 2 4" xfId="14459"/>
    <cellStyle name="Normal 39 3 3 2 3" xfId="8227"/>
    <cellStyle name="Normal 39 3 3 2 3 2" xfId="24824"/>
    <cellStyle name="Normal 39 3 3 2 3 3" xfId="16527"/>
    <cellStyle name="Normal 39 3 3 2 4" xfId="20684"/>
    <cellStyle name="Normal 39 3 3 2 5" xfId="12387"/>
    <cellStyle name="Normal 39 3 3 3" xfId="5109"/>
    <cellStyle name="Normal 39 3 3 3 2" xfId="9265"/>
    <cellStyle name="Normal 39 3 3 3 2 2" xfId="25862"/>
    <cellStyle name="Normal 39 3 3 3 2 3" xfId="17565"/>
    <cellStyle name="Normal 39 3 3 3 3" xfId="21722"/>
    <cellStyle name="Normal 39 3 3 3 4" xfId="13425"/>
    <cellStyle name="Normal 39 3 3 4" xfId="7193"/>
    <cellStyle name="Normal 39 3 3 4 2" xfId="23790"/>
    <cellStyle name="Normal 39 3 3 4 3" xfId="15493"/>
    <cellStyle name="Normal 39 3 3 5" xfId="19650"/>
    <cellStyle name="Normal 39 3 3 6" xfId="11353"/>
    <cellStyle name="Normal 39 3 4" xfId="3500"/>
    <cellStyle name="Normal 39 3 4 2" xfId="5628"/>
    <cellStyle name="Normal 39 3 4 2 2" xfId="9784"/>
    <cellStyle name="Normal 39 3 4 2 2 2" xfId="26381"/>
    <cellStyle name="Normal 39 3 4 2 2 3" xfId="18084"/>
    <cellStyle name="Normal 39 3 4 2 3" xfId="22241"/>
    <cellStyle name="Normal 39 3 4 2 4" xfId="13944"/>
    <cellStyle name="Normal 39 3 4 3" xfId="7712"/>
    <cellStyle name="Normal 39 3 4 3 2" xfId="24309"/>
    <cellStyle name="Normal 39 3 4 3 3" xfId="16012"/>
    <cellStyle name="Normal 39 3 4 4" xfId="20169"/>
    <cellStyle name="Normal 39 3 4 5" xfId="11872"/>
    <cellStyle name="Normal 39 3 5" xfId="4580"/>
    <cellStyle name="Normal 39 3 5 2" xfId="8748"/>
    <cellStyle name="Normal 39 3 5 2 2" xfId="25345"/>
    <cellStyle name="Normal 39 3 5 2 3" xfId="17048"/>
    <cellStyle name="Normal 39 3 5 3" xfId="21205"/>
    <cellStyle name="Normal 39 3 5 4" xfId="12908"/>
    <cellStyle name="Normal 39 3 6" xfId="6671"/>
    <cellStyle name="Normal 39 3 6 2" xfId="23275"/>
    <cellStyle name="Normal 39 3 6 3" xfId="14978"/>
    <cellStyle name="Normal 39 3 7" xfId="19132"/>
    <cellStyle name="Normal 39 3 8" xfId="10835"/>
    <cellStyle name="Normal 39 4" xfId="1639"/>
    <cellStyle name="Normal 39 4 2" xfId="2974"/>
    <cellStyle name="Normal 39 4 2 2" xfId="4020"/>
    <cellStyle name="Normal 39 4 2 2 2" xfId="6145"/>
    <cellStyle name="Normal 39 4 2 2 2 2" xfId="10301"/>
    <cellStyle name="Normal 39 4 2 2 2 2 2" xfId="26898"/>
    <cellStyle name="Normal 39 4 2 2 2 2 3" xfId="18601"/>
    <cellStyle name="Normal 39 4 2 2 2 3" xfId="22758"/>
    <cellStyle name="Normal 39 4 2 2 2 4" xfId="14461"/>
    <cellStyle name="Normal 39 4 2 2 3" xfId="8229"/>
    <cellStyle name="Normal 39 4 2 2 3 2" xfId="24826"/>
    <cellStyle name="Normal 39 4 2 2 3 3" xfId="16529"/>
    <cellStyle name="Normal 39 4 2 2 4" xfId="20686"/>
    <cellStyle name="Normal 39 4 2 2 5" xfId="12389"/>
    <cellStyle name="Normal 39 4 2 3" xfId="5111"/>
    <cellStyle name="Normal 39 4 2 3 2" xfId="9267"/>
    <cellStyle name="Normal 39 4 2 3 2 2" xfId="25864"/>
    <cellStyle name="Normal 39 4 2 3 2 3" xfId="17567"/>
    <cellStyle name="Normal 39 4 2 3 3" xfId="21724"/>
    <cellStyle name="Normal 39 4 2 3 4" xfId="13427"/>
    <cellStyle name="Normal 39 4 2 4" xfId="7195"/>
    <cellStyle name="Normal 39 4 2 4 2" xfId="23792"/>
    <cellStyle name="Normal 39 4 2 4 3" xfId="15495"/>
    <cellStyle name="Normal 39 4 2 5" xfId="19652"/>
    <cellStyle name="Normal 39 4 2 6" xfId="11355"/>
    <cellStyle name="Normal 39 4 3" xfId="3502"/>
    <cellStyle name="Normal 39 4 3 2" xfId="5630"/>
    <cellStyle name="Normal 39 4 3 2 2" xfId="9786"/>
    <cellStyle name="Normal 39 4 3 2 2 2" xfId="26383"/>
    <cellStyle name="Normal 39 4 3 2 2 3" xfId="18086"/>
    <cellStyle name="Normal 39 4 3 2 3" xfId="22243"/>
    <cellStyle name="Normal 39 4 3 2 4" xfId="13946"/>
    <cellStyle name="Normal 39 4 3 3" xfId="7714"/>
    <cellStyle name="Normal 39 4 3 3 2" xfId="24311"/>
    <cellStyle name="Normal 39 4 3 3 3" xfId="16014"/>
    <cellStyle name="Normal 39 4 3 4" xfId="20171"/>
    <cellStyle name="Normal 39 4 3 5" xfId="11874"/>
    <cellStyle name="Normal 39 4 4" xfId="4582"/>
    <cellStyle name="Normal 39 4 4 2" xfId="8750"/>
    <cellStyle name="Normal 39 4 4 2 2" xfId="25347"/>
    <cellStyle name="Normal 39 4 4 2 3" xfId="17050"/>
    <cellStyle name="Normal 39 4 4 3" xfId="21207"/>
    <cellStyle name="Normal 39 4 4 4" xfId="12910"/>
    <cellStyle name="Normal 39 4 5" xfId="6673"/>
    <cellStyle name="Normal 39 4 5 2" xfId="23277"/>
    <cellStyle name="Normal 39 4 5 3" xfId="14980"/>
    <cellStyle name="Normal 39 4 6" xfId="19134"/>
    <cellStyle name="Normal 39 4 7" xfId="10837"/>
    <cellStyle name="Normal 39 5" xfId="2969"/>
    <cellStyle name="Normal 39 5 2" xfId="4015"/>
    <cellStyle name="Normal 39 5 2 2" xfId="6140"/>
    <cellStyle name="Normal 39 5 2 2 2" xfId="10296"/>
    <cellStyle name="Normal 39 5 2 2 2 2" xfId="26893"/>
    <cellStyle name="Normal 39 5 2 2 2 3" xfId="18596"/>
    <cellStyle name="Normal 39 5 2 2 3" xfId="22753"/>
    <cellStyle name="Normal 39 5 2 2 4" xfId="14456"/>
    <cellStyle name="Normal 39 5 2 3" xfId="8224"/>
    <cellStyle name="Normal 39 5 2 3 2" xfId="24821"/>
    <cellStyle name="Normal 39 5 2 3 3" xfId="16524"/>
    <cellStyle name="Normal 39 5 2 4" xfId="20681"/>
    <cellStyle name="Normal 39 5 2 5" xfId="12384"/>
    <cellStyle name="Normal 39 5 3" xfId="5106"/>
    <cellStyle name="Normal 39 5 3 2" xfId="9262"/>
    <cellStyle name="Normal 39 5 3 2 2" xfId="25859"/>
    <cellStyle name="Normal 39 5 3 2 3" xfId="17562"/>
    <cellStyle name="Normal 39 5 3 3" xfId="21719"/>
    <cellStyle name="Normal 39 5 3 4" xfId="13422"/>
    <cellStyle name="Normal 39 5 4" xfId="7190"/>
    <cellStyle name="Normal 39 5 4 2" xfId="23787"/>
    <cellStyle name="Normal 39 5 4 3" xfId="15490"/>
    <cellStyle name="Normal 39 5 5" xfId="19647"/>
    <cellStyle name="Normal 39 5 6" xfId="11350"/>
    <cellStyle name="Normal 39 6" xfId="3497"/>
    <cellStyle name="Normal 39 6 2" xfId="5625"/>
    <cellStyle name="Normal 39 6 2 2" xfId="9781"/>
    <cellStyle name="Normal 39 6 2 2 2" xfId="26378"/>
    <cellStyle name="Normal 39 6 2 2 3" xfId="18081"/>
    <cellStyle name="Normal 39 6 2 3" xfId="22238"/>
    <cellStyle name="Normal 39 6 2 4" xfId="13941"/>
    <cellStyle name="Normal 39 6 3" xfId="7709"/>
    <cellStyle name="Normal 39 6 3 2" xfId="24306"/>
    <cellStyle name="Normal 39 6 3 3" xfId="16009"/>
    <cellStyle name="Normal 39 6 4" xfId="20166"/>
    <cellStyle name="Normal 39 6 5" xfId="11869"/>
    <cellStyle name="Normal 39 7" xfId="4577"/>
    <cellStyle name="Normal 39 7 2" xfId="8745"/>
    <cellStyle name="Normal 39 7 2 2" xfId="25342"/>
    <cellStyle name="Normal 39 7 2 3" xfId="17045"/>
    <cellStyle name="Normal 39 7 3" xfId="21202"/>
    <cellStyle name="Normal 39 7 4" xfId="12905"/>
    <cellStyle name="Normal 39 8" xfId="6668"/>
    <cellStyle name="Normal 39 8 2" xfId="23272"/>
    <cellStyle name="Normal 39 8 3" xfId="14975"/>
    <cellStyle name="Normal 39 9" xfId="19129"/>
    <cellStyle name="Normal 4" xfId="1640"/>
    <cellStyle name="Normal 4 10" xfId="6674"/>
    <cellStyle name="Normal 4 10 2" xfId="23278"/>
    <cellStyle name="Normal 4 10 3" xfId="14981"/>
    <cellStyle name="Normal 4 11" xfId="19135"/>
    <cellStyle name="Normal 4 12" xfId="10838"/>
    <cellStyle name="Normal 4 2" xfId="1641"/>
    <cellStyle name="Normal 4 2 10" xfId="10839"/>
    <cellStyle name="Normal 4 2 2" xfId="1642"/>
    <cellStyle name="Normal 4 2 2 2" xfId="1643"/>
    <cellStyle name="Normal 4 2 2 2 2" xfId="2978"/>
    <cellStyle name="Normal 4 2 2 2 2 2" xfId="4024"/>
    <cellStyle name="Normal 4 2 2 2 2 2 2" xfId="6149"/>
    <cellStyle name="Normal 4 2 2 2 2 2 2 2" xfId="10305"/>
    <cellStyle name="Normal 4 2 2 2 2 2 2 2 2" xfId="26902"/>
    <cellStyle name="Normal 4 2 2 2 2 2 2 2 3" xfId="18605"/>
    <cellStyle name="Normal 4 2 2 2 2 2 2 3" xfId="22762"/>
    <cellStyle name="Normal 4 2 2 2 2 2 2 4" xfId="14465"/>
    <cellStyle name="Normal 4 2 2 2 2 2 3" xfId="8233"/>
    <cellStyle name="Normal 4 2 2 2 2 2 3 2" xfId="24830"/>
    <cellStyle name="Normal 4 2 2 2 2 2 3 3" xfId="16533"/>
    <cellStyle name="Normal 4 2 2 2 2 2 4" xfId="20690"/>
    <cellStyle name="Normal 4 2 2 2 2 2 5" xfId="12393"/>
    <cellStyle name="Normal 4 2 2 2 2 3" xfId="5115"/>
    <cellStyle name="Normal 4 2 2 2 2 3 2" xfId="9271"/>
    <cellStyle name="Normal 4 2 2 2 2 3 2 2" xfId="25868"/>
    <cellStyle name="Normal 4 2 2 2 2 3 2 3" xfId="17571"/>
    <cellStyle name="Normal 4 2 2 2 2 3 3" xfId="21728"/>
    <cellStyle name="Normal 4 2 2 2 2 3 4" xfId="13431"/>
    <cellStyle name="Normal 4 2 2 2 2 4" xfId="7199"/>
    <cellStyle name="Normal 4 2 2 2 2 4 2" xfId="23796"/>
    <cellStyle name="Normal 4 2 2 2 2 4 3" xfId="15499"/>
    <cellStyle name="Normal 4 2 2 2 2 5" xfId="19656"/>
    <cellStyle name="Normal 4 2 2 2 2 6" xfId="11359"/>
    <cellStyle name="Normal 4 2 2 2 3" xfId="3506"/>
    <cellStyle name="Normal 4 2 2 2 3 2" xfId="5634"/>
    <cellStyle name="Normal 4 2 2 2 3 2 2" xfId="9790"/>
    <cellStyle name="Normal 4 2 2 2 3 2 2 2" xfId="26387"/>
    <cellStyle name="Normal 4 2 2 2 3 2 2 3" xfId="18090"/>
    <cellStyle name="Normal 4 2 2 2 3 2 3" xfId="22247"/>
    <cellStyle name="Normal 4 2 2 2 3 2 4" xfId="13950"/>
    <cellStyle name="Normal 4 2 2 2 3 3" xfId="7718"/>
    <cellStyle name="Normal 4 2 2 2 3 3 2" xfId="24315"/>
    <cellStyle name="Normal 4 2 2 2 3 3 3" xfId="16018"/>
    <cellStyle name="Normal 4 2 2 2 3 4" xfId="20175"/>
    <cellStyle name="Normal 4 2 2 2 3 5" xfId="11878"/>
    <cellStyle name="Normal 4 2 2 2 4" xfId="4586"/>
    <cellStyle name="Normal 4 2 2 2 4 2" xfId="8754"/>
    <cellStyle name="Normal 4 2 2 2 4 2 2" xfId="25351"/>
    <cellStyle name="Normal 4 2 2 2 4 2 3" xfId="17054"/>
    <cellStyle name="Normal 4 2 2 2 4 3" xfId="21211"/>
    <cellStyle name="Normal 4 2 2 2 4 4" xfId="12914"/>
    <cellStyle name="Normal 4 2 2 2 5" xfId="6677"/>
    <cellStyle name="Normal 4 2 2 2 5 2" xfId="23281"/>
    <cellStyle name="Normal 4 2 2 2 5 3" xfId="14984"/>
    <cellStyle name="Normal 4 2 2 2 6" xfId="19138"/>
    <cellStyle name="Normal 4 2 2 2 7" xfId="10841"/>
    <cellStyle name="Normal 4 2 2 3" xfId="2977"/>
    <cellStyle name="Normal 4 2 2 3 2" xfId="4023"/>
    <cellStyle name="Normal 4 2 2 3 2 2" xfId="6148"/>
    <cellStyle name="Normal 4 2 2 3 2 2 2" xfId="10304"/>
    <cellStyle name="Normal 4 2 2 3 2 2 2 2" xfId="26901"/>
    <cellStyle name="Normal 4 2 2 3 2 2 2 3" xfId="18604"/>
    <cellStyle name="Normal 4 2 2 3 2 2 3" xfId="22761"/>
    <cellStyle name="Normal 4 2 2 3 2 2 4" xfId="14464"/>
    <cellStyle name="Normal 4 2 2 3 2 3" xfId="8232"/>
    <cellStyle name="Normal 4 2 2 3 2 3 2" xfId="24829"/>
    <cellStyle name="Normal 4 2 2 3 2 3 3" xfId="16532"/>
    <cellStyle name="Normal 4 2 2 3 2 4" xfId="20689"/>
    <cellStyle name="Normal 4 2 2 3 2 5" xfId="12392"/>
    <cellStyle name="Normal 4 2 2 3 3" xfId="5114"/>
    <cellStyle name="Normal 4 2 2 3 3 2" xfId="9270"/>
    <cellStyle name="Normal 4 2 2 3 3 2 2" xfId="25867"/>
    <cellStyle name="Normal 4 2 2 3 3 2 3" xfId="17570"/>
    <cellStyle name="Normal 4 2 2 3 3 3" xfId="21727"/>
    <cellStyle name="Normal 4 2 2 3 3 4" xfId="13430"/>
    <cellStyle name="Normal 4 2 2 3 4" xfId="7198"/>
    <cellStyle name="Normal 4 2 2 3 4 2" xfId="23795"/>
    <cellStyle name="Normal 4 2 2 3 4 3" xfId="15498"/>
    <cellStyle name="Normal 4 2 2 3 5" xfId="19655"/>
    <cellStyle name="Normal 4 2 2 3 6" xfId="11358"/>
    <cellStyle name="Normal 4 2 2 4" xfId="3505"/>
    <cellStyle name="Normal 4 2 2 4 2" xfId="5633"/>
    <cellStyle name="Normal 4 2 2 4 2 2" xfId="9789"/>
    <cellStyle name="Normal 4 2 2 4 2 2 2" xfId="26386"/>
    <cellStyle name="Normal 4 2 2 4 2 2 3" xfId="18089"/>
    <cellStyle name="Normal 4 2 2 4 2 3" xfId="22246"/>
    <cellStyle name="Normal 4 2 2 4 2 4" xfId="13949"/>
    <cellStyle name="Normal 4 2 2 4 3" xfId="7717"/>
    <cellStyle name="Normal 4 2 2 4 3 2" xfId="24314"/>
    <cellStyle name="Normal 4 2 2 4 3 3" xfId="16017"/>
    <cellStyle name="Normal 4 2 2 4 4" xfId="20174"/>
    <cellStyle name="Normal 4 2 2 4 5" xfId="11877"/>
    <cellStyle name="Normal 4 2 2 5" xfId="4585"/>
    <cellStyle name="Normal 4 2 2 5 2" xfId="8753"/>
    <cellStyle name="Normal 4 2 2 5 2 2" xfId="25350"/>
    <cellStyle name="Normal 4 2 2 5 2 3" xfId="17053"/>
    <cellStyle name="Normal 4 2 2 5 3" xfId="21210"/>
    <cellStyle name="Normal 4 2 2 5 4" xfId="12913"/>
    <cellStyle name="Normal 4 2 2 6" xfId="6676"/>
    <cellStyle name="Normal 4 2 2 6 2" xfId="23280"/>
    <cellStyle name="Normal 4 2 2 6 3" xfId="14983"/>
    <cellStyle name="Normal 4 2 2 7" xfId="19137"/>
    <cellStyle name="Normal 4 2 2 8" xfId="10840"/>
    <cellStyle name="Normal 4 2 3" xfId="1644"/>
    <cellStyle name="Normal 4 2 3 2" xfId="2979"/>
    <cellStyle name="Normal 4 2 3 2 2" xfId="4025"/>
    <cellStyle name="Normal 4 2 3 2 2 2" xfId="6150"/>
    <cellStyle name="Normal 4 2 3 2 2 2 2" xfId="10306"/>
    <cellStyle name="Normal 4 2 3 2 2 2 2 2" xfId="26903"/>
    <cellStyle name="Normal 4 2 3 2 2 2 2 3" xfId="18606"/>
    <cellStyle name="Normal 4 2 3 2 2 2 3" xfId="22763"/>
    <cellStyle name="Normal 4 2 3 2 2 2 4" xfId="14466"/>
    <cellStyle name="Normal 4 2 3 2 2 3" xfId="8234"/>
    <cellStyle name="Normal 4 2 3 2 2 3 2" xfId="24831"/>
    <cellStyle name="Normal 4 2 3 2 2 3 3" xfId="16534"/>
    <cellStyle name="Normal 4 2 3 2 2 4" xfId="20691"/>
    <cellStyle name="Normal 4 2 3 2 2 5" xfId="12394"/>
    <cellStyle name="Normal 4 2 3 2 3" xfId="5116"/>
    <cellStyle name="Normal 4 2 3 2 3 2" xfId="9272"/>
    <cellStyle name="Normal 4 2 3 2 3 2 2" xfId="25869"/>
    <cellStyle name="Normal 4 2 3 2 3 2 3" xfId="17572"/>
    <cellStyle name="Normal 4 2 3 2 3 3" xfId="21729"/>
    <cellStyle name="Normal 4 2 3 2 3 4" xfId="13432"/>
    <cellStyle name="Normal 4 2 3 2 4" xfId="7200"/>
    <cellStyle name="Normal 4 2 3 2 4 2" xfId="23797"/>
    <cellStyle name="Normal 4 2 3 2 4 3" xfId="15500"/>
    <cellStyle name="Normal 4 2 3 2 5" xfId="19657"/>
    <cellStyle name="Normal 4 2 3 2 6" xfId="11360"/>
    <cellStyle name="Normal 4 2 3 3" xfId="3507"/>
    <cellStyle name="Normal 4 2 3 3 2" xfId="5635"/>
    <cellStyle name="Normal 4 2 3 3 2 2" xfId="9791"/>
    <cellStyle name="Normal 4 2 3 3 2 2 2" xfId="26388"/>
    <cellStyle name="Normal 4 2 3 3 2 2 3" xfId="18091"/>
    <cellStyle name="Normal 4 2 3 3 2 3" xfId="22248"/>
    <cellStyle name="Normal 4 2 3 3 2 4" xfId="13951"/>
    <cellStyle name="Normal 4 2 3 3 3" xfId="7719"/>
    <cellStyle name="Normal 4 2 3 3 3 2" xfId="24316"/>
    <cellStyle name="Normal 4 2 3 3 3 3" xfId="16019"/>
    <cellStyle name="Normal 4 2 3 3 4" xfId="20176"/>
    <cellStyle name="Normal 4 2 3 3 5" xfId="11879"/>
    <cellStyle name="Normal 4 2 3 4" xfId="4587"/>
    <cellStyle name="Normal 4 2 3 4 2" xfId="8755"/>
    <cellStyle name="Normal 4 2 3 4 2 2" xfId="25352"/>
    <cellStyle name="Normal 4 2 3 4 2 3" xfId="17055"/>
    <cellStyle name="Normal 4 2 3 4 3" xfId="21212"/>
    <cellStyle name="Normal 4 2 3 4 4" xfId="12915"/>
    <cellStyle name="Normal 4 2 3 5" xfId="6678"/>
    <cellStyle name="Normal 4 2 3 5 2" xfId="23282"/>
    <cellStyle name="Normal 4 2 3 5 3" xfId="14985"/>
    <cellStyle name="Normal 4 2 3 6" xfId="19139"/>
    <cellStyle name="Normal 4 2 3 7" xfId="10842"/>
    <cellStyle name="Normal 4 2 4" xfId="1645"/>
    <cellStyle name="Normal 4 2 4 2" xfId="2980"/>
    <cellStyle name="Normal 4 2 4 2 2" xfId="4026"/>
    <cellStyle name="Normal 4 2 4 2 2 2" xfId="6151"/>
    <cellStyle name="Normal 4 2 4 2 2 2 2" xfId="10307"/>
    <cellStyle name="Normal 4 2 4 2 2 2 2 2" xfId="26904"/>
    <cellStyle name="Normal 4 2 4 2 2 2 2 3" xfId="18607"/>
    <cellStyle name="Normal 4 2 4 2 2 2 3" xfId="22764"/>
    <cellStyle name="Normal 4 2 4 2 2 2 4" xfId="14467"/>
    <cellStyle name="Normal 4 2 4 2 2 3" xfId="8235"/>
    <cellStyle name="Normal 4 2 4 2 2 3 2" xfId="24832"/>
    <cellStyle name="Normal 4 2 4 2 2 3 3" xfId="16535"/>
    <cellStyle name="Normal 4 2 4 2 2 4" xfId="20692"/>
    <cellStyle name="Normal 4 2 4 2 2 5" xfId="12395"/>
    <cellStyle name="Normal 4 2 4 2 3" xfId="5117"/>
    <cellStyle name="Normal 4 2 4 2 3 2" xfId="9273"/>
    <cellStyle name="Normal 4 2 4 2 3 2 2" xfId="25870"/>
    <cellStyle name="Normal 4 2 4 2 3 2 3" xfId="17573"/>
    <cellStyle name="Normal 4 2 4 2 3 3" xfId="21730"/>
    <cellStyle name="Normal 4 2 4 2 3 4" xfId="13433"/>
    <cellStyle name="Normal 4 2 4 2 4" xfId="7201"/>
    <cellStyle name="Normal 4 2 4 2 4 2" xfId="23798"/>
    <cellStyle name="Normal 4 2 4 2 4 3" xfId="15501"/>
    <cellStyle name="Normal 4 2 4 2 5" xfId="19658"/>
    <cellStyle name="Normal 4 2 4 2 6" xfId="11361"/>
    <cellStyle name="Normal 4 2 4 3" xfId="3508"/>
    <cellStyle name="Normal 4 2 4 3 2" xfId="5636"/>
    <cellStyle name="Normal 4 2 4 3 2 2" xfId="9792"/>
    <cellStyle name="Normal 4 2 4 3 2 2 2" xfId="26389"/>
    <cellStyle name="Normal 4 2 4 3 2 2 3" xfId="18092"/>
    <cellStyle name="Normal 4 2 4 3 2 3" xfId="22249"/>
    <cellStyle name="Normal 4 2 4 3 2 4" xfId="13952"/>
    <cellStyle name="Normal 4 2 4 3 3" xfId="7720"/>
    <cellStyle name="Normal 4 2 4 3 3 2" xfId="24317"/>
    <cellStyle name="Normal 4 2 4 3 3 3" xfId="16020"/>
    <cellStyle name="Normal 4 2 4 3 4" xfId="20177"/>
    <cellStyle name="Normal 4 2 4 3 5" xfId="11880"/>
    <cellStyle name="Normal 4 2 4 4" xfId="4588"/>
    <cellStyle name="Normal 4 2 4 4 2" xfId="8756"/>
    <cellStyle name="Normal 4 2 4 4 2 2" xfId="25353"/>
    <cellStyle name="Normal 4 2 4 4 2 3" xfId="17056"/>
    <cellStyle name="Normal 4 2 4 4 3" xfId="21213"/>
    <cellStyle name="Normal 4 2 4 4 4" xfId="12916"/>
    <cellStyle name="Normal 4 2 4 5" xfId="6679"/>
    <cellStyle name="Normal 4 2 4 5 2" xfId="23283"/>
    <cellStyle name="Normal 4 2 4 5 3" xfId="14986"/>
    <cellStyle name="Normal 4 2 4 6" xfId="19140"/>
    <cellStyle name="Normal 4 2 4 7" xfId="10843"/>
    <cellStyle name="Normal 4 2 5" xfId="2976"/>
    <cellStyle name="Normal 4 2 5 2" xfId="4022"/>
    <cellStyle name="Normal 4 2 5 2 2" xfId="6147"/>
    <cellStyle name="Normal 4 2 5 2 2 2" xfId="10303"/>
    <cellStyle name="Normal 4 2 5 2 2 2 2" xfId="26900"/>
    <cellStyle name="Normal 4 2 5 2 2 2 3" xfId="18603"/>
    <cellStyle name="Normal 4 2 5 2 2 3" xfId="22760"/>
    <cellStyle name="Normal 4 2 5 2 2 4" xfId="14463"/>
    <cellStyle name="Normal 4 2 5 2 3" xfId="8231"/>
    <cellStyle name="Normal 4 2 5 2 3 2" xfId="24828"/>
    <cellStyle name="Normal 4 2 5 2 3 3" xfId="16531"/>
    <cellStyle name="Normal 4 2 5 2 4" xfId="20688"/>
    <cellStyle name="Normal 4 2 5 2 5" xfId="12391"/>
    <cellStyle name="Normal 4 2 5 3" xfId="5113"/>
    <cellStyle name="Normal 4 2 5 3 2" xfId="9269"/>
    <cellStyle name="Normal 4 2 5 3 2 2" xfId="25866"/>
    <cellStyle name="Normal 4 2 5 3 2 3" xfId="17569"/>
    <cellStyle name="Normal 4 2 5 3 3" xfId="21726"/>
    <cellStyle name="Normal 4 2 5 3 4" xfId="13429"/>
    <cellStyle name="Normal 4 2 5 4" xfId="7197"/>
    <cellStyle name="Normal 4 2 5 4 2" xfId="23794"/>
    <cellStyle name="Normal 4 2 5 4 3" xfId="15497"/>
    <cellStyle name="Normal 4 2 5 5" xfId="19654"/>
    <cellStyle name="Normal 4 2 5 6" xfId="11357"/>
    <cellStyle name="Normal 4 2 6" xfId="3504"/>
    <cellStyle name="Normal 4 2 6 2" xfId="5632"/>
    <cellStyle name="Normal 4 2 6 2 2" xfId="9788"/>
    <cellStyle name="Normal 4 2 6 2 2 2" xfId="26385"/>
    <cellStyle name="Normal 4 2 6 2 2 3" xfId="18088"/>
    <cellStyle name="Normal 4 2 6 2 3" xfId="22245"/>
    <cellStyle name="Normal 4 2 6 2 4" xfId="13948"/>
    <cellStyle name="Normal 4 2 6 3" xfId="7716"/>
    <cellStyle name="Normal 4 2 6 3 2" xfId="24313"/>
    <cellStyle name="Normal 4 2 6 3 3" xfId="16016"/>
    <cellStyle name="Normal 4 2 6 4" xfId="20173"/>
    <cellStyle name="Normal 4 2 6 5" xfId="11876"/>
    <cellStyle name="Normal 4 2 7" xfId="4584"/>
    <cellStyle name="Normal 4 2 7 2" xfId="8752"/>
    <cellStyle name="Normal 4 2 7 2 2" xfId="25349"/>
    <cellStyle name="Normal 4 2 7 2 3" xfId="17052"/>
    <cellStyle name="Normal 4 2 7 3" xfId="21209"/>
    <cellStyle name="Normal 4 2 7 4" xfId="12912"/>
    <cellStyle name="Normal 4 2 8" xfId="6675"/>
    <cellStyle name="Normal 4 2 8 2" xfId="23279"/>
    <cellStyle name="Normal 4 2 8 3" xfId="14982"/>
    <cellStyle name="Normal 4 2 9" xfId="19136"/>
    <cellStyle name="Normal 4 3" xfId="1646"/>
    <cellStyle name="Normal 4 3 10" xfId="10844"/>
    <cellStyle name="Normal 4 3 2" xfId="1647"/>
    <cellStyle name="Normal 4 3 2 2" xfId="1648"/>
    <cellStyle name="Normal 4 3 2 2 2" xfId="2983"/>
    <cellStyle name="Normal 4 3 2 2 2 2" xfId="4029"/>
    <cellStyle name="Normal 4 3 2 2 2 2 2" xfId="6154"/>
    <cellStyle name="Normal 4 3 2 2 2 2 2 2" xfId="10310"/>
    <cellStyle name="Normal 4 3 2 2 2 2 2 2 2" xfId="26907"/>
    <cellStyle name="Normal 4 3 2 2 2 2 2 2 3" xfId="18610"/>
    <cellStyle name="Normal 4 3 2 2 2 2 2 3" xfId="22767"/>
    <cellStyle name="Normal 4 3 2 2 2 2 2 4" xfId="14470"/>
    <cellStyle name="Normal 4 3 2 2 2 2 3" xfId="8238"/>
    <cellStyle name="Normal 4 3 2 2 2 2 3 2" xfId="24835"/>
    <cellStyle name="Normal 4 3 2 2 2 2 3 3" xfId="16538"/>
    <cellStyle name="Normal 4 3 2 2 2 2 4" xfId="20695"/>
    <cellStyle name="Normal 4 3 2 2 2 2 5" xfId="12398"/>
    <cellStyle name="Normal 4 3 2 2 2 3" xfId="5120"/>
    <cellStyle name="Normal 4 3 2 2 2 3 2" xfId="9276"/>
    <cellStyle name="Normal 4 3 2 2 2 3 2 2" xfId="25873"/>
    <cellStyle name="Normal 4 3 2 2 2 3 2 3" xfId="17576"/>
    <cellStyle name="Normal 4 3 2 2 2 3 3" xfId="21733"/>
    <cellStyle name="Normal 4 3 2 2 2 3 4" xfId="13436"/>
    <cellStyle name="Normal 4 3 2 2 2 4" xfId="7204"/>
    <cellStyle name="Normal 4 3 2 2 2 4 2" xfId="23801"/>
    <cellStyle name="Normal 4 3 2 2 2 4 3" xfId="15504"/>
    <cellStyle name="Normal 4 3 2 2 2 5" xfId="19661"/>
    <cellStyle name="Normal 4 3 2 2 2 6" xfId="11364"/>
    <cellStyle name="Normal 4 3 2 2 3" xfId="3511"/>
    <cellStyle name="Normal 4 3 2 2 3 2" xfId="5639"/>
    <cellStyle name="Normal 4 3 2 2 3 2 2" xfId="9795"/>
    <cellStyle name="Normal 4 3 2 2 3 2 2 2" xfId="26392"/>
    <cellStyle name="Normal 4 3 2 2 3 2 2 3" xfId="18095"/>
    <cellStyle name="Normal 4 3 2 2 3 2 3" xfId="22252"/>
    <cellStyle name="Normal 4 3 2 2 3 2 4" xfId="13955"/>
    <cellStyle name="Normal 4 3 2 2 3 3" xfId="7723"/>
    <cellStyle name="Normal 4 3 2 2 3 3 2" xfId="24320"/>
    <cellStyle name="Normal 4 3 2 2 3 3 3" xfId="16023"/>
    <cellStyle name="Normal 4 3 2 2 3 4" xfId="20180"/>
    <cellStyle name="Normal 4 3 2 2 3 5" xfId="11883"/>
    <cellStyle name="Normal 4 3 2 2 4" xfId="4591"/>
    <cellStyle name="Normal 4 3 2 2 4 2" xfId="8759"/>
    <cellStyle name="Normal 4 3 2 2 4 2 2" xfId="25356"/>
    <cellStyle name="Normal 4 3 2 2 4 2 3" xfId="17059"/>
    <cellStyle name="Normal 4 3 2 2 4 3" xfId="21216"/>
    <cellStyle name="Normal 4 3 2 2 4 4" xfId="12919"/>
    <cellStyle name="Normal 4 3 2 2 5" xfId="6682"/>
    <cellStyle name="Normal 4 3 2 2 5 2" xfId="23286"/>
    <cellStyle name="Normal 4 3 2 2 5 3" xfId="14989"/>
    <cellStyle name="Normal 4 3 2 2 6" xfId="19143"/>
    <cellStyle name="Normal 4 3 2 2 7" xfId="10846"/>
    <cellStyle name="Normal 4 3 2 3" xfId="2982"/>
    <cellStyle name="Normal 4 3 2 3 2" xfId="4028"/>
    <cellStyle name="Normal 4 3 2 3 2 2" xfId="6153"/>
    <cellStyle name="Normal 4 3 2 3 2 2 2" xfId="10309"/>
    <cellStyle name="Normal 4 3 2 3 2 2 2 2" xfId="26906"/>
    <cellStyle name="Normal 4 3 2 3 2 2 2 3" xfId="18609"/>
    <cellStyle name="Normal 4 3 2 3 2 2 3" xfId="22766"/>
    <cellStyle name="Normal 4 3 2 3 2 2 4" xfId="14469"/>
    <cellStyle name="Normal 4 3 2 3 2 3" xfId="8237"/>
    <cellStyle name="Normal 4 3 2 3 2 3 2" xfId="24834"/>
    <cellStyle name="Normal 4 3 2 3 2 3 3" xfId="16537"/>
    <cellStyle name="Normal 4 3 2 3 2 4" xfId="20694"/>
    <cellStyle name="Normal 4 3 2 3 2 5" xfId="12397"/>
    <cellStyle name="Normal 4 3 2 3 3" xfId="5119"/>
    <cellStyle name="Normal 4 3 2 3 3 2" xfId="9275"/>
    <cellStyle name="Normal 4 3 2 3 3 2 2" xfId="25872"/>
    <cellStyle name="Normal 4 3 2 3 3 2 3" xfId="17575"/>
    <cellStyle name="Normal 4 3 2 3 3 3" xfId="21732"/>
    <cellStyle name="Normal 4 3 2 3 3 4" xfId="13435"/>
    <cellStyle name="Normal 4 3 2 3 4" xfId="7203"/>
    <cellStyle name="Normal 4 3 2 3 4 2" xfId="23800"/>
    <cellStyle name="Normal 4 3 2 3 4 3" xfId="15503"/>
    <cellStyle name="Normal 4 3 2 3 5" xfId="19660"/>
    <cellStyle name="Normal 4 3 2 3 6" xfId="11363"/>
    <cellStyle name="Normal 4 3 2 4" xfId="3510"/>
    <cellStyle name="Normal 4 3 2 4 2" xfId="5638"/>
    <cellStyle name="Normal 4 3 2 4 2 2" xfId="9794"/>
    <cellStyle name="Normal 4 3 2 4 2 2 2" xfId="26391"/>
    <cellStyle name="Normal 4 3 2 4 2 2 3" xfId="18094"/>
    <cellStyle name="Normal 4 3 2 4 2 3" xfId="22251"/>
    <cellStyle name="Normal 4 3 2 4 2 4" xfId="13954"/>
    <cellStyle name="Normal 4 3 2 4 3" xfId="7722"/>
    <cellStyle name="Normal 4 3 2 4 3 2" xfId="24319"/>
    <cellStyle name="Normal 4 3 2 4 3 3" xfId="16022"/>
    <cellStyle name="Normal 4 3 2 4 4" xfId="20179"/>
    <cellStyle name="Normal 4 3 2 4 5" xfId="11882"/>
    <cellStyle name="Normal 4 3 2 5" xfId="4590"/>
    <cellStyle name="Normal 4 3 2 5 2" xfId="8758"/>
    <cellStyle name="Normal 4 3 2 5 2 2" xfId="25355"/>
    <cellStyle name="Normal 4 3 2 5 2 3" xfId="17058"/>
    <cellStyle name="Normal 4 3 2 5 3" xfId="21215"/>
    <cellStyle name="Normal 4 3 2 5 4" xfId="12918"/>
    <cellStyle name="Normal 4 3 2 6" xfId="6681"/>
    <cellStyle name="Normal 4 3 2 6 2" xfId="23285"/>
    <cellStyle name="Normal 4 3 2 6 3" xfId="14988"/>
    <cellStyle name="Normal 4 3 2 7" xfId="19142"/>
    <cellStyle name="Normal 4 3 2 8" xfId="10845"/>
    <cellStyle name="Normal 4 3 3" xfId="1649"/>
    <cellStyle name="Normal 4 3 3 2" xfId="2984"/>
    <cellStyle name="Normal 4 3 3 2 2" xfId="4030"/>
    <cellStyle name="Normal 4 3 3 2 2 2" xfId="6155"/>
    <cellStyle name="Normal 4 3 3 2 2 2 2" xfId="10311"/>
    <cellStyle name="Normal 4 3 3 2 2 2 2 2" xfId="26908"/>
    <cellStyle name="Normal 4 3 3 2 2 2 2 3" xfId="18611"/>
    <cellStyle name="Normal 4 3 3 2 2 2 3" xfId="22768"/>
    <cellStyle name="Normal 4 3 3 2 2 2 4" xfId="14471"/>
    <cellStyle name="Normal 4 3 3 2 2 3" xfId="8239"/>
    <cellStyle name="Normal 4 3 3 2 2 3 2" xfId="24836"/>
    <cellStyle name="Normal 4 3 3 2 2 3 3" xfId="16539"/>
    <cellStyle name="Normal 4 3 3 2 2 4" xfId="20696"/>
    <cellStyle name="Normal 4 3 3 2 2 5" xfId="12399"/>
    <cellStyle name="Normal 4 3 3 2 3" xfId="5121"/>
    <cellStyle name="Normal 4 3 3 2 3 2" xfId="9277"/>
    <cellStyle name="Normal 4 3 3 2 3 2 2" xfId="25874"/>
    <cellStyle name="Normal 4 3 3 2 3 2 3" xfId="17577"/>
    <cellStyle name="Normal 4 3 3 2 3 3" xfId="21734"/>
    <cellStyle name="Normal 4 3 3 2 3 4" xfId="13437"/>
    <cellStyle name="Normal 4 3 3 2 4" xfId="7205"/>
    <cellStyle name="Normal 4 3 3 2 4 2" xfId="23802"/>
    <cellStyle name="Normal 4 3 3 2 4 3" xfId="15505"/>
    <cellStyle name="Normal 4 3 3 2 5" xfId="19662"/>
    <cellStyle name="Normal 4 3 3 2 6" xfId="11365"/>
    <cellStyle name="Normal 4 3 3 3" xfId="3512"/>
    <cellStyle name="Normal 4 3 3 3 2" xfId="5640"/>
    <cellStyle name="Normal 4 3 3 3 2 2" xfId="9796"/>
    <cellStyle name="Normal 4 3 3 3 2 2 2" xfId="26393"/>
    <cellStyle name="Normal 4 3 3 3 2 2 3" xfId="18096"/>
    <cellStyle name="Normal 4 3 3 3 2 3" xfId="22253"/>
    <cellStyle name="Normal 4 3 3 3 2 4" xfId="13956"/>
    <cellStyle name="Normal 4 3 3 3 3" xfId="7724"/>
    <cellStyle name="Normal 4 3 3 3 3 2" xfId="24321"/>
    <cellStyle name="Normal 4 3 3 3 3 3" xfId="16024"/>
    <cellStyle name="Normal 4 3 3 3 4" xfId="20181"/>
    <cellStyle name="Normal 4 3 3 3 5" xfId="11884"/>
    <cellStyle name="Normal 4 3 3 4" xfId="4592"/>
    <cellStyle name="Normal 4 3 3 4 2" xfId="8760"/>
    <cellStyle name="Normal 4 3 3 4 2 2" xfId="25357"/>
    <cellStyle name="Normal 4 3 3 4 2 3" xfId="17060"/>
    <cellStyle name="Normal 4 3 3 4 3" xfId="21217"/>
    <cellStyle name="Normal 4 3 3 4 4" xfId="12920"/>
    <cellStyle name="Normal 4 3 3 5" xfId="6683"/>
    <cellStyle name="Normal 4 3 3 5 2" xfId="23287"/>
    <cellStyle name="Normal 4 3 3 5 3" xfId="14990"/>
    <cellStyle name="Normal 4 3 3 6" xfId="19144"/>
    <cellStyle name="Normal 4 3 3 7" xfId="10847"/>
    <cellStyle name="Normal 4 3 4" xfId="1650"/>
    <cellStyle name="Normal 4 3 4 2" xfId="2985"/>
    <cellStyle name="Normal 4 3 4 2 2" xfId="4031"/>
    <cellStyle name="Normal 4 3 4 2 2 2" xfId="6156"/>
    <cellStyle name="Normal 4 3 4 2 2 2 2" xfId="10312"/>
    <cellStyle name="Normal 4 3 4 2 2 2 2 2" xfId="26909"/>
    <cellStyle name="Normal 4 3 4 2 2 2 2 3" xfId="18612"/>
    <cellStyle name="Normal 4 3 4 2 2 2 3" xfId="22769"/>
    <cellStyle name="Normal 4 3 4 2 2 2 4" xfId="14472"/>
    <cellStyle name="Normal 4 3 4 2 2 3" xfId="8240"/>
    <cellStyle name="Normal 4 3 4 2 2 3 2" xfId="24837"/>
    <cellStyle name="Normal 4 3 4 2 2 3 3" xfId="16540"/>
    <cellStyle name="Normal 4 3 4 2 2 4" xfId="20697"/>
    <cellStyle name="Normal 4 3 4 2 2 5" xfId="12400"/>
    <cellStyle name="Normal 4 3 4 2 3" xfId="5122"/>
    <cellStyle name="Normal 4 3 4 2 3 2" xfId="9278"/>
    <cellStyle name="Normal 4 3 4 2 3 2 2" xfId="25875"/>
    <cellStyle name="Normal 4 3 4 2 3 2 3" xfId="17578"/>
    <cellStyle name="Normal 4 3 4 2 3 3" xfId="21735"/>
    <cellStyle name="Normal 4 3 4 2 3 4" xfId="13438"/>
    <cellStyle name="Normal 4 3 4 2 4" xfId="7206"/>
    <cellStyle name="Normal 4 3 4 2 4 2" xfId="23803"/>
    <cellStyle name="Normal 4 3 4 2 4 3" xfId="15506"/>
    <cellStyle name="Normal 4 3 4 2 5" xfId="19663"/>
    <cellStyle name="Normal 4 3 4 2 6" xfId="11366"/>
    <cellStyle name="Normal 4 3 4 3" xfId="3513"/>
    <cellStyle name="Normal 4 3 4 3 2" xfId="5641"/>
    <cellStyle name="Normal 4 3 4 3 2 2" xfId="9797"/>
    <cellStyle name="Normal 4 3 4 3 2 2 2" xfId="26394"/>
    <cellStyle name="Normal 4 3 4 3 2 2 3" xfId="18097"/>
    <cellStyle name="Normal 4 3 4 3 2 3" xfId="22254"/>
    <cellStyle name="Normal 4 3 4 3 2 4" xfId="13957"/>
    <cellStyle name="Normal 4 3 4 3 3" xfId="7725"/>
    <cellStyle name="Normal 4 3 4 3 3 2" xfId="24322"/>
    <cellStyle name="Normal 4 3 4 3 3 3" xfId="16025"/>
    <cellStyle name="Normal 4 3 4 3 4" xfId="20182"/>
    <cellStyle name="Normal 4 3 4 3 5" xfId="11885"/>
    <cellStyle name="Normal 4 3 4 4" xfId="4593"/>
    <cellStyle name="Normal 4 3 4 4 2" xfId="8761"/>
    <cellStyle name="Normal 4 3 4 4 2 2" xfId="25358"/>
    <cellStyle name="Normal 4 3 4 4 2 3" xfId="17061"/>
    <cellStyle name="Normal 4 3 4 4 3" xfId="21218"/>
    <cellStyle name="Normal 4 3 4 4 4" xfId="12921"/>
    <cellStyle name="Normal 4 3 4 5" xfId="6684"/>
    <cellStyle name="Normal 4 3 4 5 2" xfId="23288"/>
    <cellStyle name="Normal 4 3 4 5 3" xfId="14991"/>
    <cellStyle name="Normal 4 3 4 6" xfId="19145"/>
    <cellStyle name="Normal 4 3 4 7" xfId="10848"/>
    <cellStyle name="Normal 4 3 5" xfId="2981"/>
    <cellStyle name="Normal 4 3 5 2" xfId="4027"/>
    <cellStyle name="Normal 4 3 5 2 2" xfId="6152"/>
    <cellStyle name="Normal 4 3 5 2 2 2" xfId="10308"/>
    <cellStyle name="Normal 4 3 5 2 2 2 2" xfId="26905"/>
    <cellStyle name="Normal 4 3 5 2 2 2 3" xfId="18608"/>
    <cellStyle name="Normal 4 3 5 2 2 3" xfId="22765"/>
    <cellStyle name="Normal 4 3 5 2 2 4" xfId="14468"/>
    <cellStyle name="Normal 4 3 5 2 3" xfId="8236"/>
    <cellStyle name="Normal 4 3 5 2 3 2" xfId="24833"/>
    <cellStyle name="Normal 4 3 5 2 3 3" xfId="16536"/>
    <cellStyle name="Normal 4 3 5 2 4" xfId="20693"/>
    <cellStyle name="Normal 4 3 5 2 5" xfId="12396"/>
    <cellStyle name="Normal 4 3 5 3" xfId="5118"/>
    <cellStyle name="Normal 4 3 5 3 2" xfId="9274"/>
    <cellStyle name="Normal 4 3 5 3 2 2" xfId="25871"/>
    <cellStyle name="Normal 4 3 5 3 2 3" xfId="17574"/>
    <cellStyle name="Normal 4 3 5 3 3" xfId="21731"/>
    <cellStyle name="Normal 4 3 5 3 4" xfId="13434"/>
    <cellStyle name="Normal 4 3 5 4" xfId="7202"/>
    <cellStyle name="Normal 4 3 5 4 2" xfId="23799"/>
    <cellStyle name="Normal 4 3 5 4 3" xfId="15502"/>
    <cellStyle name="Normal 4 3 5 5" xfId="19659"/>
    <cellStyle name="Normal 4 3 5 6" xfId="11362"/>
    <cellStyle name="Normal 4 3 6" xfId="3509"/>
    <cellStyle name="Normal 4 3 6 2" xfId="5637"/>
    <cellStyle name="Normal 4 3 6 2 2" xfId="9793"/>
    <cellStyle name="Normal 4 3 6 2 2 2" xfId="26390"/>
    <cellStyle name="Normal 4 3 6 2 2 3" xfId="18093"/>
    <cellStyle name="Normal 4 3 6 2 3" xfId="22250"/>
    <cellStyle name="Normal 4 3 6 2 4" xfId="13953"/>
    <cellStyle name="Normal 4 3 6 3" xfId="7721"/>
    <cellStyle name="Normal 4 3 6 3 2" xfId="24318"/>
    <cellStyle name="Normal 4 3 6 3 3" xfId="16021"/>
    <cellStyle name="Normal 4 3 6 4" xfId="20178"/>
    <cellStyle name="Normal 4 3 6 5" xfId="11881"/>
    <cellStyle name="Normal 4 3 7" xfId="4589"/>
    <cellStyle name="Normal 4 3 7 2" xfId="8757"/>
    <cellStyle name="Normal 4 3 7 2 2" xfId="25354"/>
    <cellStyle name="Normal 4 3 7 2 3" xfId="17057"/>
    <cellStyle name="Normal 4 3 7 3" xfId="21214"/>
    <cellStyle name="Normal 4 3 7 4" xfId="12917"/>
    <cellStyle name="Normal 4 3 8" xfId="6680"/>
    <cellStyle name="Normal 4 3 8 2" xfId="23284"/>
    <cellStyle name="Normal 4 3 8 3" xfId="14987"/>
    <cellStyle name="Normal 4 3 9" xfId="19141"/>
    <cellStyle name="Normal 4 4" xfId="1651"/>
    <cellStyle name="Normal 4 4 10" xfId="19146"/>
    <cellStyle name="Normal 4 4 11" xfId="10849"/>
    <cellStyle name="Normal 4 4 2" xfId="1652"/>
    <cellStyle name="Normal 4 4 2 2" xfId="1653"/>
    <cellStyle name="Normal 4 4 2 2 2" xfId="2988"/>
    <cellStyle name="Normal 4 4 2 2 2 2" xfId="4034"/>
    <cellStyle name="Normal 4 4 2 2 2 2 2" xfId="6159"/>
    <cellStyle name="Normal 4 4 2 2 2 2 2 2" xfId="10315"/>
    <cellStyle name="Normal 4 4 2 2 2 2 2 2 2" xfId="26912"/>
    <cellStyle name="Normal 4 4 2 2 2 2 2 2 3" xfId="18615"/>
    <cellStyle name="Normal 4 4 2 2 2 2 2 3" xfId="22772"/>
    <cellStyle name="Normal 4 4 2 2 2 2 2 4" xfId="14475"/>
    <cellStyle name="Normal 4 4 2 2 2 2 3" xfId="8243"/>
    <cellStyle name="Normal 4 4 2 2 2 2 3 2" xfId="24840"/>
    <cellStyle name="Normal 4 4 2 2 2 2 3 3" xfId="16543"/>
    <cellStyle name="Normal 4 4 2 2 2 2 4" xfId="20700"/>
    <cellStyle name="Normal 4 4 2 2 2 2 5" xfId="12403"/>
    <cellStyle name="Normal 4 4 2 2 2 3" xfId="5125"/>
    <cellStyle name="Normal 4 4 2 2 2 3 2" xfId="9281"/>
    <cellStyle name="Normal 4 4 2 2 2 3 2 2" xfId="25878"/>
    <cellStyle name="Normal 4 4 2 2 2 3 2 3" xfId="17581"/>
    <cellStyle name="Normal 4 4 2 2 2 3 3" xfId="21738"/>
    <cellStyle name="Normal 4 4 2 2 2 3 4" xfId="13441"/>
    <cellStyle name="Normal 4 4 2 2 2 4" xfId="7209"/>
    <cellStyle name="Normal 4 4 2 2 2 4 2" xfId="23806"/>
    <cellStyle name="Normal 4 4 2 2 2 4 3" xfId="15509"/>
    <cellStyle name="Normal 4 4 2 2 2 5" xfId="19666"/>
    <cellStyle name="Normal 4 4 2 2 2 6" xfId="11369"/>
    <cellStyle name="Normal 4 4 2 2 3" xfId="3516"/>
    <cellStyle name="Normal 4 4 2 2 3 2" xfId="5644"/>
    <cellStyle name="Normal 4 4 2 2 3 2 2" xfId="9800"/>
    <cellStyle name="Normal 4 4 2 2 3 2 2 2" xfId="26397"/>
    <cellStyle name="Normal 4 4 2 2 3 2 2 3" xfId="18100"/>
    <cellStyle name="Normal 4 4 2 2 3 2 3" xfId="22257"/>
    <cellStyle name="Normal 4 4 2 2 3 2 4" xfId="13960"/>
    <cellStyle name="Normal 4 4 2 2 3 3" xfId="7728"/>
    <cellStyle name="Normal 4 4 2 2 3 3 2" xfId="24325"/>
    <cellStyle name="Normal 4 4 2 2 3 3 3" xfId="16028"/>
    <cellStyle name="Normal 4 4 2 2 3 4" xfId="20185"/>
    <cellStyle name="Normal 4 4 2 2 3 5" xfId="11888"/>
    <cellStyle name="Normal 4 4 2 2 4" xfId="4596"/>
    <cellStyle name="Normal 4 4 2 2 4 2" xfId="8764"/>
    <cellStyle name="Normal 4 4 2 2 4 2 2" xfId="25361"/>
    <cellStyle name="Normal 4 4 2 2 4 2 3" xfId="17064"/>
    <cellStyle name="Normal 4 4 2 2 4 3" xfId="21221"/>
    <cellStyle name="Normal 4 4 2 2 4 4" xfId="12924"/>
    <cellStyle name="Normal 4 4 2 2 5" xfId="6687"/>
    <cellStyle name="Normal 4 4 2 2 5 2" xfId="23291"/>
    <cellStyle name="Normal 4 4 2 2 5 3" xfId="14994"/>
    <cellStyle name="Normal 4 4 2 2 6" xfId="19148"/>
    <cellStyle name="Normal 4 4 2 2 7" xfId="10851"/>
    <cellStyle name="Normal 4 4 2 3" xfId="2987"/>
    <cellStyle name="Normal 4 4 2 3 2" xfId="4033"/>
    <cellStyle name="Normal 4 4 2 3 2 2" xfId="6158"/>
    <cellStyle name="Normal 4 4 2 3 2 2 2" xfId="10314"/>
    <cellStyle name="Normal 4 4 2 3 2 2 2 2" xfId="26911"/>
    <cellStyle name="Normal 4 4 2 3 2 2 2 3" xfId="18614"/>
    <cellStyle name="Normal 4 4 2 3 2 2 3" xfId="22771"/>
    <cellStyle name="Normal 4 4 2 3 2 2 4" xfId="14474"/>
    <cellStyle name="Normal 4 4 2 3 2 3" xfId="8242"/>
    <cellStyle name="Normal 4 4 2 3 2 3 2" xfId="24839"/>
    <cellStyle name="Normal 4 4 2 3 2 3 3" xfId="16542"/>
    <cellStyle name="Normal 4 4 2 3 2 4" xfId="20699"/>
    <cellStyle name="Normal 4 4 2 3 2 5" xfId="12402"/>
    <cellStyle name="Normal 4 4 2 3 3" xfId="5124"/>
    <cellStyle name="Normal 4 4 2 3 3 2" xfId="9280"/>
    <cellStyle name="Normal 4 4 2 3 3 2 2" xfId="25877"/>
    <cellStyle name="Normal 4 4 2 3 3 2 3" xfId="17580"/>
    <cellStyle name="Normal 4 4 2 3 3 3" xfId="21737"/>
    <cellStyle name="Normal 4 4 2 3 3 4" xfId="13440"/>
    <cellStyle name="Normal 4 4 2 3 4" xfId="7208"/>
    <cellStyle name="Normal 4 4 2 3 4 2" xfId="23805"/>
    <cellStyle name="Normal 4 4 2 3 4 3" xfId="15508"/>
    <cellStyle name="Normal 4 4 2 3 5" xfId="19665"/>
    <cellStyle name="Normal 4 4 2 3 6" xfId="11368"/>
    <cellStyle name="Normal 4 4 2 4" xfId="3515"/>
    <cellStyle name="Normal 4 4 2 4 2" xfId="5643"/>
    <cellStyle name="Normal 4 4 2 4 2 2" xfId="9799"/>
    <cellStyle name="Normal 4 4 2 4 2 2 2" xfId="26396"/>
    <cellStyle name="Normal 4 4 2 4 2 2 3" xfId="18099"/>
    <cellStyle name="Normal 4 4 2 4 2 3" xfId="22256"/>
    <cellStyle name="Normal 4 4 2 4 2 4" xfId="13959"/>
    <cellStyle name="Normal 4 4 2 4 3" xfId="7727"/>
    <cellStyle name="Normal 4 4 2 4 3 2" xfId="24324"/>
    <cellStyle name="Normal 4 4 2 4 3 3" xfId="16027"/>
    <cellStyle name="Normal 4 4 2 4 4" xfId="20184"/>
    <cellStyle name="Normal 4 4 2 4 5" xfId="11887"/>
    <cellStyle name="Normal 4 4 2 5" xfId="4595"/>
    <cellStyle name="Normal 4 4 2 5 2" xfId="8763"/>
    <cellStyle name="Normal 4 4 2 5 2 2" xfId="25360"/>
    <cellStyle name="Normal 4 4 2 5 2 3" xfId="17063"/>
    <cellStyle name="Normal 4 4 2 5 3" xfId="21220"/>
    <cellStyle name="Normal 4 4 2 5 4" xfId="12923"/>
    <cellStyle name="Normal 4 4 2 6" xfId="6686"/>
    <cellStyle name="Normal 4 4 2 6 2" xfId="23290"/>
    <cellStyle name="Normal 4 4 2 6 3" xfId="14993"/>
    <cellStyle name="Normal 4 4 2 7" xfId="19147"/>
    <cellStyle name="Normal 4 4 2 8" xfId="10850"/>
    <cellStyle name="Normal 4 4 3" xfId="1654"/>
    <cellStyle name="Normal 4 4 3 2" xfId="2989"/>
    <cellStyle name="Normal 4 4 3 2 2" xfId="4035"/>
    <cellStyle name="Normal 4 4 3 2 2 2" xfId="6160"/>
    <cellStyle name="Normal 4 4 3 2 2 2 2" xfId="10316"/>
    <cellStyle name="Normal 4 4 3 2 2 2 2 2" xfId="26913"/>
    <cellStyle name="Normal 4 4 3 2 2 2 2 3" xfId="18616"/>
    <cellStyle name="Normal 4 4 3 2 2 2 3" xfId="22773"/>
    <cellStyle name="Normal 4 4 3 2 2 2 4" xfId="14476"/>
    <cellStyle name="Normal 4 4 3 2 2 3" xfId="8244"/>
    <cellStyle name="Normal 4 4 3 2 2 3 2" xfId="24841"/>
    <cellStyle name="Normal 4 4 3 2 2 3 3" xfId="16544"/>
    <cellStyle name="Normal 4 4 3 2 2 4" xfId="20701"/>
    <cellStyle name="Normal 4 4 3 2 2 5" xfId="12404"/>
    <cellStyle name="Normal 4 4 3 2 3" xfId="5126"/>
    <cellStyle name="Normal 4 4 3 2 3 2" xfId="9282"/>
    <cellStyle name="Normal 4 4 3 2 3 2 2" xfId="25879"/>
    <cellStyle name="Normal 4 4 3 2 3 2 3" xfId="17582"/>
    <cellStyle name="Normal 4 4 3 2 3 3" xfId="21739"/>
    <cellStyle name="Normal 4 4 3 2 3 4" xfId="13442"/>
    <cellStyle name="Normal 4 4 3 2 4" xfId="7210"/>
    <cellStyle name="Normal 4 4 3 2 4 2" xfId="23807"/>
    <cellStyle name="Normal 4 4 3 2 4 3" xfId="15510"/>
    <cellStyle name="Normal 4 4 3 2 5" xfId="19667"/>
    <cellStyle name="Normal 4 4 3 2 6" xfId="11370"/>
    <cellStyle name="Normal 4 4 3 3" xfId="3517"/>
    <cellStyle name="Normal 4 4 3 3 2" xfId="5645"/>
    <cellStyle name="Normal 4 4 3 3 2 2" xfId="9801"/>
    <cellStyle name="Normal 4 4 3 3 2 2 2" xfId="26398"/>
    <cellStyle name="Normal 4 4 3 3 2 2 3" xfId="18101"/>
    <cellStyle name="Normal 4 4 3 3 2 3" xfId="22258"/>
    <cellStyle name="Normal 4 4 3 3 2 4" xfId="13961"/>
    <cellStyle name="Normal 4 4 3 3 3" xfId="7729"/>
    <cellStyle name="Normal 4 4 3 3 3 2" xfId="24326"/>
    <cellStyle name="Normal 4 4 3 3 3 3" xfId="16029"/>
    <cellStyle name="Normal 4 4 3 3 4" xfId="20186"/>
    <cellStyle name="Normal 4 4 3 3 5" xfId="11889"/>
    <cellStyle name="Normal 4 4 3 4" xfId="4597"/>
    <cellStyle name="Normal 4 4 3 4 2" xfId="8765"/>
    <cellStyle name="Normal 4 4 3 4 2 2" xfId="25362"/>
    <cellStyle name="Normal 4 4 3 4 2 3" xfId="17065"/>
    <cellStyle name="Normal 4 4 3 4 3" xfId="21222"/>
    <cellStyle name="Normal 4 4 3 4 4" xfId="12925"/>
    <cellStyle name="Normal 4 4 3 5" xfId="6688"/>
    <cellStyle name="Normal 4 4 3 5 2" xfId="23292"/>
    <cellStyle name="Normal 4 4 3 5 3" xfId="14995"/>
    <cellStyle name="Normal 4 4 3 6" xfId="19149"/>
    <cellStyle name="Normal 4 4 3 7" xfId="10852"/>
    <cellStyle name="Normal 4 4 4" xfId="1655"/>
    <cellStyle name="Normal 4 4 4 2" xfId="2990"/>
    <cellStyle name="Normal 4 4 4 2 2" xfId="4036"/>
    <cellStyle name="Normal 4 4 4 2 2 2" xfId="6161"/>
    <cellStyle name="Normal 4 4 4 2 2 2 2" xfId="10317"/>
    <cellStyle name="Normal 4 4 4 2 2 2 2 2" xfId="26914"/>
    <cellStyle name="Normal 4 4 4 2 2 2 2 3" xfId="18617"/>
    <cellStyle name="Normal 4 4 4 2 2 2 3" xfId="22774"/>
    <cellStyle name="Normal 4 4 4 2 2 2 4" xfId="14477"/>
    <cellStyle name="Normal 4 4 4 2 2 3" xfId="8245"/>
    <cellStyle name="Normal 4 4 4 2 2 3 2" xfId="24842"/>
    <cellStyle name="Normal 4 4 4 2 2 3 3" xfId="16545"/>
    <cellStyle name="Normal 4 4 4 2 2 4" xfId="20702"/>
    <cellStyle name="Normal 4 4 4 2 2 5" xfId="12405"/>
    <cellStyle name="Normal 4 4 4 2 3" xfId="5127"/>
    <cellStyle name="Normal 4 4 4 2 3 2" xfId="9283"/>
    <cellStyle name="Normal 4 4 4 2 3 2 2" xfId="25880"/>
    <cellStyle name="Normal 4 4 4 2 3 2 3" xfId="17583"/>
    <cellStyle name="Normal 4 4 4 2 3 3" xfId="21740"/>
    <cellStyle name="Normal 4 4 4 2 3 4" xfId="13443"/>
    <cellStyle name="Normal 4 4 4 2 4" xfId="7211"/>
    <cellStyle name="Normal 4 4 4 2 4 2" xfId="23808"/>
    <cellStyle name="Normal 4 4 4 2 4 3" xfId="15511"/>
    <cellStyle name="Normal 4 4 4 2 5" xfId="19668"/>
    <cellStyle name="Normal 4 4 4 2 6" xfId="11371"/>
    <cellStyle name="Normal 4 4 4 3" xfId="3518"/>
    <cellStyle name="Normal 4 4 4 3 2" xfId="5646"/>
    <cellStyle name="Normal 4 4 4 3 2 2" xfId="9802"/>
    <cellStyle name="Normal 4 4 4 3 2 2 2" xfId="26399"/>
    <cellStyle name="Normal 4 4 4 3 2 2 3" xfId="18102"/>
    <cellStyle name="Normal 4 4 4 3 2 3" xfId="22259"/>
    <cellStyle name="Normal 4 4 4 3 2 4" xfId="13962"/>
    <cellStyle name="Normal 4 4 4 3 3" xfId="7730"/>
    <cellStyle name="Normal 4 4 4 3 3 2" xfId="24327"/>
    <cellStyle name="Normal 4 4 4 3 3 3" xfId="16030"/>
    <cellStyle name="Normal 4 4 4 3 4" xfId="20187"/>
    <cellStyle name="Normal 4 4 4 3 5" xfId="11890"/>
    <cellStyle name="Normal 4 4 4 4" xfId="4598"/>
    <cellStyle name="Normal 4 4 4 4 2" xfId="8766"/>
    <cellStyle name="Normal 4 4 4 4 2 2" xfId="25363"/>
    <cellStyle name="Normal 4 4 4 4 2 3" xfId="17066"/>
    <cellStyle name="Normal 4 4 4 4 3" xfId="21223"/>
    <cellStyle name="Normal 4 4 4 4 4" xfId="12926"/>
    <cellStyle name="Normal 4 4 4 5" xfId="6689"/>
    <cellStyle name="Normal 4 4 4 5 2" xfId="23293"/>
    <cellStyle name="Normal 4 4 4 5 3" xfId="14996"/>
    <cellStyle name="Normal 4 4 4 6" xfId="19150"/>
    <cellStyle name="Normal 4 4 4 7" xfId="10853"/>
    <cellStyle name="Normal 4 4 5" xfId="2986"/>
    <cellStyle name="Normal 4 4 5 2" xfId="4032"/>
    <cellStyle name="Normal 4 4 5 2 2" xfId="6157"/>
    <cellStyle name="Normal 4 4 5 2 2 2" xfId="10313"/>
    <cellStyle name="Normal 4 4 5 2 2 2 2" xfId="26910"/>
    <cellStyle name="Normal 4 4 5 2 2 2 3" xfId="18613"/>
    <cellStyle name="Normal 4 4 5 2 2 3" xfId="22770"/>
    <cellStyle name="Normal 4 4 5 2 2 4" xfId="14473"/>
    <cellStyle name="Normal 4 4 5 2 3" xfId="8241"/>
    <cellStyle name="Normal 4 4 5 2 3 2" xfId="24838"/>
    <cellStyle name="Normal 4 4 5 2 3 3" xfId="16541"/>
    <cellStyle name="Normal 4 4 5 2 4" xfId="20698"/>
    <cellStyle name="Normal 4 4 5 2 5" xfId="12401"/>
    <cellStyle name="Normal 4 4 5 3" xfId="5123"/>
    <cellStyle name="Normal 4 4 5 3 2" xfId="9279"/>
    <cellStyle name="Normal 4 4 5 3 2 2" xfId="25876"/>
    <cellStyle name="Normal 4 4 5 3 2 3" xfId="17579"/>
    <cellStyle name="Normal 4 4 5 3 3" xfId="21736"/>
    <cellStyle name="Normal 4 4 5 3 4" xfId="13439"/>
    <cellStyle name="Normal 4 4 5 4" xfId="7207"/>
    <cellStyle name="Normal 4 4 5 4 2" xfId="23804"/>
    <cellStyle name="Normal 4 4 5 4 3" xfId="15507"/>
    <cellStyle name="Normal 4 4 5 5" xfId="19664"/>
    <cellStyle name="Normal 4 4 5 6" xfId="11367"/>
    <cellStyle name="Normal 4 4 6" xfId="3211"/>
    <cellStyle name="Normal 4 4 6 2" xfId="4253"/>
    <cellStyle name="Normal 4 4 6 2 2" xfId="6378"/>
    <cellStyle name="Normal 4 4 6 2 2 2" xfId="10534"/>
    <cellStyle name="Normal 4 4 6 2 2 2 2" xfId="27131"/>
    <cellStyle name="Normal 4 4 6 2 2 2 3" xfId="18834"/>
    <cellStyle name="Normal 4 4 6 2 2 3" xfId="22991"/>
    <cellStyle name="Normal 4 4 6 2 2 4" xfId="14694"/>
    <cellStyle name="Normal 4 4 6 2 3" xfId="8462"/>
    <cellStyle name="Normal 4 4 6 2 3 2" xfId="25059"/>
    <cellStyle name="Normal 4 4 6 2 3 3" xfId="16762"/>
    <cellStyle name="Normal 4 4 6 2 4" xfId="20919"/>
    <cellStyle name="Normal 4 4 6 2 5" xfId="12622"/>
    <cellStyle name="Normal 4 4 6 3" xfId="5344"/>
    <cellStyle name="Normal 4 4 6 3 2" xfId="9500"/>
    <cellStyle name="Normal 4 4 6 3 2 2" xfId="26097"/>
    <cellStyle name="Normal 4 4 6 3 2 3" xfId="17800"/>
    <cellStyle name="Normal 4 4 6 3 3" xfId="21957"/>
    <cellStyle name="Normal 4 4 6 3 4" xfId="13660"/>
    <cellStyle name="Normal 4 4 6 4" xfId="7428"/>
    <cellStyle name="Normal 4 4 6 4 2" xfId="24025"/>
    <cellStyle name="Normal 4 4 6 4 3" xfId="15728"/>
    <cellStyle name="Normal 4 4 6 5" xfId="19885"/>
    <cellStyle name="Normal 4 4 6 6" xfId="11588"/>
    <cellStyle name="Normal 4 4 7" xfId="3514"/>
    <cellStyle name="Normal 4 4 7 2" xfId="5642"/>
    <cellStyle name="Normal 4 4 7 2 2" xfId="9798"/>
    <cellStyle name="Normal 4 4 7 2 2 2" xfId="26395"/>
    <cellStyle name="Normal 4 4 7 2 2 3" xfId="18098"/>
    <cellStyle name="Normal 4 4 7 2 3" xfId="22255"/>
    <cellStyle name="Normal 4 4 7 2 4" xfId="13958"/>
    <cellStyle name="Normal 4 4 7 3" xfId="7726"/>
    <cellStyle name="Normal 4 4 7 3 2" xfId="24323"/>
    <cellStyle name="Normal 4 4 7 3 3" xfId="16026"/>
    <cellStyle name="Normal 4 4 7 4" xfId="20183"/>
    <cellStyle name="Normal 4 4 7 5" xfId="11886"/>
    <cellStyle name="Normal 4 4 8" xfId="4594"/>
    <cellStyle name="Normal 4 4 8 2" xfId="8762"/>
    <cellStyle name="Normal 4 4 8 2 2" xfId="25359"/>
    <cellStyle name="Normal 4 4 8 2 3" xfId="17062"/>
    <cellStyle name="Normal 4 4 8 3" xfId="21219"/>
    <cellStyle name="Normal 4 4 8 4" xfId="12922"/>
    <cellStyle name="Normal 4 4 9" xfId="6685"/>
    <cellStyle name="Normal 4 4 9 2" xfId="23289"/>
    <cellStyle name="Normal 4 4 9 3" xfId="14992"/>
    <cellStyle name="Normal 4 5" xfId="1656"/>
    <cellStyle name="Normal 4 5 10" xfId="10854"/>
    <cellStyle name="Normal 4 5 2" xfId="1657"/>
    <cellStyle name="Normal 4 5 2 2" xfId="1658"/>
    <cellStyle name="Normal 4 5 2 2 2" xfId="2993"/>
    <cellStyle name="Normal 4 5 2 2 2 2" xfId="4039"/>
    <cellStyle name="Normal 4 5 2 2 2 2 2" xfId="6164"/>
    <cellStyle name="Normal 4 5 2 2 2 2 2 2" xfId="10320"/>
    <cellStyle name="Normal 4 5 2 2 2 2 2 2 2" xfId="26917"/>
    <cellStyle name="Normal 4 5 2 2 2 2 2 2 3" xfId="18620"/>
    <cellStyle name="Normal 4 5 2 2 2 2 2 3" xfId="22777"/>
    <cellStyle name="Normal 4 5 2 2 2 2 2 4" xfId="14480"/>
    <cellStyle name="Normal 4 5 2 2 2 2 3" xfId="8248"/>
    <cellStyle name="Normal 4 5 2 2 2 2 3 2" xfId="24845"/>
    <cellStyle name="Normal 4 5 2 2 2 2 3 3" xfId="16548"/>
    <cellStyle name="Normal 4 5 2 2 2 2 4" xfId="20705"/>
    <cellStyle name="Normal 4 5 2 2 2 2 5" xfId="12408"/>
    <cellStyle name="Normal 4 5 2 2 2 3" xfId="5130"/>
    <cellStyle name="Normal 4 5 2 2 2 3 2" xfId="9286"/>
    <cellStyle name="Normal 4 5 2 2 2 3 2 2" xfId="25883"/>
    <cellStyle name="Normal 4 5 2 2 2 3 2 3" xfId="17586"/>
    <cellStyle name="Normal 4 5 2 2 2 3 3" xfId="21743"/>
    <cellStyle name="Normal 4 5 2 2 2 3 4" xfId="13446"/>
    <cellStyle name="Normal 4 5 2 2 2 4" xfId="7214"/>
    <cellStyle name="Normal 4 5 2 2 2 4 2" xfId="23811"/>
    <cellStyle name="Normal 4 5 2 2 2 4 3" xfId="15514"/>
    <cellStyle name="Normal 4 5 2 2 2 5" xfId="19671"/>
    <cellStyle name="Normal 4 5 2 2 2 6" xfId="11374"/>
    <cellStyle name="Normal 4 5 2 2 3" xfId="3521"/>
    <cellStyle name="Normal 4 5 2 2 3 2" xfId="5649"/>
    <cellStyle name="Normal 4 5 2 2 3 2 2" xfId="9805"/>
    <cellStyle name="Normal 4 5 2 2 3 2 2 2" xfId="26402"/>
    <cellStyle name="Normal 4 5 2 2 3 2 2 3" xfId="18105"/>
    <cellStyle name="Normal 4 5 2 2 3 2 3" xfId="22262"/>
    <cellStyle name="Normal 4 5 2 2 3 2 4" xfId="13965"/>
    <cellStyle name="Normal 4 5 2 2 3 3" xfId="7733"/>
    <cellStyle name="Normal 4 5 2 2 3 3 2" xfId="24330"/>
    <cellStyle name="Normal 4 5 2 2 3 3 3" xfId="16033"/>
    <cellStyle name="Normal 4 5 2 2 3 4" xfId="20190"/>
    <cellStyle name="Normal 4 5 2 2 3 5" xfId="11893"/>
    <cellStyle name="Normal 4 5 2 2 4" xfId="4601"/>
    <cellStyle name="Normal 4 5 2 2 4 2" xfId="8769"/>
    <cellStyle name="Normal 4 5 2 2 4 2 2" xfId="25366"/>
    <cellStyle name="Normal 4 5 2 2 4 2 3" xfId="17069"/>
    <cellStyle name="Normal 4 5 2 2 4 3" xfId="21226"/>
    <cellStyle name="Normal 4 5 2 2 4 4" xfId="12929"/>
    <cellStyle name="Normal 4 5 2 2 5" xfId="6692"/>
    <cellStyle name="Normal 4 5 2 2 5 2" xfId="23296"/>
    <cellStyle name="Normal 4 5 2 2 5 3" xfId="14999"/>
    <cellStyle name="Normal 4 5 2 2 6" xfId="19153"/>
    <cellStyle name="Normal 4 5 2 2 7" xfId="10856"/>
    <cellStyle name="Normal 4 5 2 3" xfId="2992"/>
    <cellStyle name="Normal 4 5 2 3 2" xfId="4038"/>
    <cellStyle name="Normal 4 5 2 3 2 2" xfId="6163"/>
    <cellStyle name="Normal 4 5 2 3 2 2 2" xfId="10319"/>
    <cellStyle name="Normal 4 5 2 3 2 2 2 2" xfId="26916"/>
    <cellStyle name="Normal 4 5 2 3 2 2 2 3" xfId="18619"/>
    <cellStyle name="Normal 4 5 2 3 2 2 3" xfId="22776"/>
    <cellStyle name="Normal 4 5 2 3 2 2 4" xfId="14479"/>
    <cellStyle name="Normal 4 5 2 3 2 3" xfId="8247"/>
    <cellStyle name="Normal 4 5 2 3 2 3 2" xfId="24844"/>
    <cellStyle name="Normal 4 5 2 3 2 3 3" xfId="16547"/>
    <cellStyle name="Normal 4 5 2 3 2 4" xfId="20704"/>
    <cellStyle name="Normal 4 5 2 3 2 5" xfId="12407"/>
    <cellStyle name="Normal 4 5 2 3 3" xfId="5129"/>
    <cellStyle name="Normal 4 5 2 3 3 2" xfId="9285"/>
    <cellStyle name="Normal 4 5 2 3 3 2 2" xfId="25882"/>
    <cellStyle name="Normal 4 5 2 3 3 2 3" xfId="17585"/>
    <cellStyle name="Normal 4 5 2 3 3 3" xfId="21742"/>
    <cellStyle name="Normal 4 5 2 3 3 4" xfId="13445"/>
    <cellStyle name="Normal 4 5 2 3 4" xfId="7213"/>
    <cellStyle name="Normal 4 5 2 3 4 2" xfId="23810"/>
    <cellStyle name="Normal 4 5 2 3 4 3" xfId="15513"/>
    <cellStyle name="Normal 4 5 2 3 5" xfId="19670"/>
    <cellStyle name="Normal 4 5 2 3 6" xfId="11373"/>
    <cellStyle name="Normal 4 5 2 4" xfId="3520"/>
    <cellStyle name="Normal 4 5 2 4 2" xfId="5648"/>
    <cellStyle name="Normal 4 5 2 4 2 2" xfId="9804"/>
    <cellStyle name="Normal 4 5 2 4 2 2 2" xfId="26401"/>
    <cellStyle name="Normal 4 5 2 4 2 2 3" xfId="18104"/>
    <cellStyle name="Normal 4 5 2 4 2 3" xfId="22261"/>
    <cellStyle name="Normal 4 5 2 4 2 4" xfId="13964"/>
    <cellStyle name="Normal 4 5 2 4 3" xfId="7732"/>
    <cellStyle name="Normal 4 5 2 4 3 2" xfId="24329"/>
    <cellStyle name="Normal 4 5 2 4 3 3" xfId="16032"/>
    <cellStyle name="Normal 4 5 2 4 4" xfId="20189"/>
    <cellStyle name="Normal 4 5 2 4 5" xfId="11892"/>
    <cellStyle name="Normal 4 5 2 5" xfId="4600"/>
    <cellStyle name="Normal 4 5 2 5 2" xfId="8768"/>
    <cellStyle name="Normal 4 5 2 5 2 2" xfId="25365"/>
    <cellStyle name="Normal 4 5 2 5 2 3" xfId="17068"/>
    <cellStyle name="Normal 4 5 2 5 3" xfId="21225"/>
    <cellStyle name="Normal 4 5 2 5 4" xfId="12928"/>
    <cellStyle name="Normal 4 5 2 6" xfId="6691"/>
    <cellStyle name="Normal 4 5 2 6 2" xfId="23295"/>
    <cellStyle name="Normal 4 5 2 6 3" xfId="14998"/>
    <cellStyle name="Normal 4 5 2 7" xfId="19152"/>
    <cellStyle name="Normal 4 5 2 8" xfId="10855"/>
    <cellStyle name="Normal 4 5 3" xfId="1659"/>
    <cellStyle name="Normal 4 5 3 2" xfId="2994"/>
    <cellStyle name="Normal 4 5 3 2 2" xfId="4040"/>
    <cellStyle name="Normal 4 5 3 2 2 2" xfId="6165"/>
    <cellStyle name="Normal 4 5 3 2 2 2 2" xfId="10321"/>
    <cellStyle name="Normal 4 5 3 2 2 2 2 2" xfId="26918"/>
    <cellStyle name="Normal 4 5 3 2 2 2 2 3" xfId="18621"/>
    <cellStyle name="Normal 4 5 3 2 2 2 3" xfId="22778"/>
    <cellStyle name="Normal 4 5 3 2 2 2 4" xfId="14481"/>
    <cellStyle name="Normal 4 5 3 2 2 3" xfId="8249"/>
    <cellStyle name="Normal 4 5 3 2 2 3 2" xfId="24846"/>
    <cellStyle name="Normal 4 5 3 2 2 3 3" xfId="16549"/>
    <cellStyle name="Normal 4 5 3 2 2 4" xfId="20706"/>
    <cellStyle name="Normal 4 5 3 2 2 5" xfId="12409"/>
    <cellStyle name="Normal 4 5 3 2 3" xfId="5131"/>
    <cellStyle name="Normal 4 5 3 2 3 2" xfId="9287"/>
    <cellStyle name="Normal 4 5 3 2 3 2 2" xfId="25884"/>
    <cellStyle name="Normal 4 5 3 2 3 2 3" xfId="17587"/>
    <cellStyle name="Normal 4 5 3 2 3 3" xfId="21744"/>
    <cellStyle name="Normal 4 5 3 2 3 4" xfId="13447"/>
    <cellStyle name="Normal 4 5 3 2 4" xfId="7215"/>
    <cellStyle name="Normal 4 5 3 2 4 2" xfId="23812"/>
    <cellStyle name="Normal 4 5 3 2 4 3" xfId="15515"/>
    <cellStyle name="Normal 4 5 3 2 5" xfId="19672"/>
    <cellStyle name="Normal 4 5 3 2 6" xfId="11375"/>
    <cellStyle name="Normal 4 5 3 3" xfId="3522"/>
    <cellStyle name="Normal 4 5 3 3 2" xfId="5650"/>
    <cellStyle name="Normal 4 5 3 3 2 2" xfId="9806"/>
    <cellStyle name="Normal 4 5 3 3 2 2 2" xfId="26403"/>
    <cellStyle name="Normal 4 5 3 3 2 2 3" xfId="18106"/>
    <cellStyle name="Normal 4 5 3 3 2 3" xfId="22263"/>
    <cellStyle name="Normal 4 5 3 3 2 4" xfId="13966"/>
    <cellStyle name="Normal 4 5 3 3 3" xfId="7734"/>
    <cellStyle name="Normal 4 5 3 3 3 2" xfId="24331"/>
    <cellStyle name="Normal 4 5 3 3 3 3" xfId="16034"/>
    <cellStyle name="Normal 4 5 3 3 4" xfId="20191"/>
    <cellStyle name="Normal 4 5 3 3 5" xfId="11894"/>
    <cellStyle name="Normal 4 5 3 4" xfId="4602"/>
    <cellStyle name="Normal 4 5 3 4 2" xfId="8770"/>
    <cellStyle name="Normal 4 5 3 4 2 2" xfId="25367"/>
    <cellStyle name="Normal 4 5 3 4 2 3" xfId="17070"/>
    <cellStyle name="Normal 4 5 3 4 3" xfId="21227"/>
    <cellStyle name="Normal 4 5 3 4 4" xfId="12930"/>
    <cellStyle name="Normal 4 5 3 5" xfId="6693"/>
    <cellStyle name="Normal 4 5 3 5 2" xfId="23297"/>
    <cellStyle name="Normal 4 5 3 5 3" xfId="15000"/>
    <cellStyle name="Normal 4 5 3 6" xfId="19154"/>
    <cellStyle name="Normal 4 5 3 7" xfId="10857"/>
    <cellStyle name="Normal 4 5 4" xfId="1660"/>
    <cellStyle name="Normal 4 5 4 2" xfId="2995"/>
    <cellStyle name="Normal 4 5 4 2 2" xfId="4041"/>
    <cellStyle name="Normal 4 5 4 2 2 2" xfId="6166"/>
    <cellStyle name="Normal 4 5 4 2 2 2 2" xfId="10322"/>
    <cellStyle name="Normal 4 5 4 2 2 2 2 2" xfId="26919"/>
    <cellStyle name="Normal 4 5 4 2 2 2 2 3" xfId="18622"/>
    <cellStyle name="Normal 4 5 4 2 2 2 3" xfId="22779"/>
    <cellStyle name="Normal 4 5 4 2 2 2 4" xfId="14482"/>
    <cellStyle name="Normal 4 5 4 2 2 3" xfId="8250"/>
    <cellStyle name="Normal 4 5 4 2 2 3 2" xfId="24847"/>
    <cellStyle name="Normal 4 5 4 2 2 3 3" xfId="16550"/>
    <cellStyle name="Normal 4 5 4 2 2 4" xfId="20707"/>
    <cellStyle name="Normal 4 5 4 2 2 5" xfId="12410"/>
    <cellStyle name="Normal 4 5 4 2 3" xfId="5132"/>
    <cellStyle name="Normal 4 5 4 2 3 2" xfId="9288"/>
    <cellStyle name="Normal 4 5 4 2 3 2 2" xfId="25885"/>
    <cellStyle name="Normal 4 5 4 2 3 2 3" xfId="17588"/>
    <cellStyle name="Normal 4 5 4 2 3 3" xfId="21745"/>
    <cellStyle name="Normal 4 5 4 2 3 4" xfId="13448"/>
    <cellStyle name="Normal 4 5 4 2 4" xfId="7216"/>
    <cellStyle name="Normal 4 5 4 2 4 2" xfId="23813"/>
    <cellStyle name="Normal 4 5 4 2 4 3" xfId="15516"/>
    <cellStyle name="Normal 4 5 4 2 5" xfId="19673"/>
    <cellStyle name="Normal 4 5 4 2 6" xfId="11376"/>
    <cellStyle name="Normal 4 5 4 3" xfId="3523"/>
    <cellStyle name="Normal 4 5 4 3 2" xfId="5651"/>
    <cellStyle name="Normal 4 5 4 3 2 2" xfId="9807"/>
    <cellStyle name="Normal 4 5 4 3 2 2 2" xfId="26404"/>
    <cellStyle name="Normal 4 5 4 3 2 2 3" xfId="18107"/>
    <cellStyle name="Normal 4 5 4 3 2 3" xfId="22264"/>
    <cellStyle name="Normal 4 5 4 3 2 4" xfId="13967"/>
    <cellStyle name="Normal 4 5 4 3 3" xfId="7735"/>
    <cellStyle name="Normal 4 5 4 3 3 2" xfId="24332"/>
    <cellStyle name="Normal 4 5 4 3 3 3" xfId="16035"/>
    <cellStyle name="Normal 4 5 4 3 4" xfId="20192"/>
    <cellStyle name="Normal 4 5 4 3 5" xfId="11895"/>
    <cellStyle name="Normal 4 5 4 4" xfId="4603"/>
    <cellStyle name="Normal 4 5 4 4 2" xfId="8771"/>
    <cellStyle name="Normal 4 5 4 4 2 2" xfId="25368"/>
    <cellStyle name="Normal 4 5 4 4 2 3" xfId="17071"/>
    <cellStyle name="Normal 4 5 4 4 3" xfId="21228"/>
    <cellStyle name="Normal 4 5 4 4 4" xfId="12931"/>
    <cellStyle name="Normal 4 5 4 5" xfId="6694"/>
    <cellStyle name="Normal 4 5 4 5 2" xfId="23298"/>
    <cellStyle name="Normal 4 5 4 5 3" xfId="15001"/>
    <cellStyle name="Normal 4 5 4 6" xfId="19155"/>
    <cellStyle name="Normal 4 5 4 7" xfId="10858"/>
    <cellStyle name="Normal 4 5 5" xfId="2991"/>
    <cellStyle name="Normal 4 5 5 2" xfId="4037"/>
    <cellStyle name="Normal 4 5 5 2 2" xfId="6162"/>
    <cellStyle name="Normal 4 5 5 2 2 2" xfId="10318"/>
    <cellStyle name="Normal 4 5 5 2 2 2 2" xfId="26915"/>
    <cellStyle name="Normal 4 5 5 2 2 2 3" xfId="18618"/>
    <cellStyle name="Normal 4 5 5 2 2 3" xfId="22775"/>
    <cellStyle name="Normal 4 5 5 2 2 4" xfId="14478"/>
    <cellStyle name="Normal 4 5 5 2 3" xfId="8246"/>
    <cellStyle name="Normal 4 5 5 2 3 2" xfId="24843"/>
    <cellStyle name="Normal 4 5 5 2 3 3" xfId="16546"/>
    <cellStyle name="Normal 4 5 5 2 4" xfId="20703"/>
    <cellStyle name="Normal 4 5 5 2 5" xfId="12406"/>
    <cellStyle name="Normal 4 5 5 3" xfId="5128"/>
    <cellStyle name="Normal 4 5 5 3 2" xfId="9284"/>
    <cellStyle name="Normal 4 5 5 3 2 2" xfId="25881"/>
    <cellStyle name="Normal 4 5 5 3 2 3" xfId="17584"/>
    <cellStyle name="Normal 4 5 5 3 3" xfId="21741"/>
    <cellStyle name="Normal 4 5 5 3 4" xfId="13444"/>
    <cellStyle name="Normal 4 5 5 4" xfId="7212"/>
    <cellStyle name="Normal 4 5 5 4 2" xfId="23809"/>
    <cellStyle name="Normal 4 5 5 4 3" xfId="15512"/>
    <cellStyle name="Normal 4 5 5 5" xfId="19669"/>
    <cellStyle name="Normal 4 5 5 6" xfId="11372"/>
    <cellStyle name="Normal 4 5 6" xfId="3519"/>
    <cellStyle name="Normal 4 5 6 2" xfId="5647"/>
    <cellStyle name="Normal 4 5 6 2 2" xfId="9803"/>
    <cellStyle name="Normal 4 5 6 2 2 2" xfId="26400"/>
    <cellStyle name="Normal 4 5 6 2 2 3" xfId="18103"/>
    <cellStyle name="Normal 4 5 6 2 3" xfId="22260"/>
    <cellStyle name="Normal 4 5 6 2 4" xfId="13963"/>
    <cellStyle name="Normal 4 5 6 3" xfId="7731"/>
    <cellStyle name="Normal 4 5 6 3 2" xfId="24328"/>
    <cellStyle name="Normal 4 5 6 3 3" xfId="16031"/>
    <cellStyle name="Normal 4 5 6 4" xfId="20188"/>
    <cellStyle name="Normal 4 5 6 5" xfId="11891"/>
    <cellStyle name="Normal 4 5 7" xfId="4599"/>
    <cellStyle name="Normal 4 5 7 2" xfId="8767"/>
    <cellStyle name="Normal 4 5 7 2 2" xfId="25364"/>
    <cellStyle name="Normal 4 5 7 2 3" xfId="17067"/>
    <cellStyle name="Normal 4 5 7 3" xfId="21224"/>
    <cellStyle name="Normal 4 5 7 4" xfId="12927"/>
    <cellStyle name="Normal 4 5 8" xfId="6690"/>
    <cellStyle name="Normal 4 5 8 2" xfId="23294"/>
    <cellStyle name="Normal 4 5 8 3" xfId="14997"/>
    <cellStyle name="Normal 4 5 9" xfId="19151"/>
    <cellStyle name="Normal 4 6" xfId="1661"/>
    <cellStyle name="Normal 4 7" xfId="2975"/>
    <cellStyle name="Normal 4 7 2" xfId="4021"/>
    <cellStyle name="Normal 4 7 2 2" xfId="6146"/>
    <cellStyle name="Normal 4 7 2 2 2" xfId="10302"/>
    <cellStyle name="Normal 4 7 2 2 2 2" xfId="26899"/>
    <cellStyle name="Normal 4 7 2 2 2 3" xfId="18602"/>
    <cellStyle name="Normal 4 7 2 2 3" xfId="22759"/>
    <cellStyle name="Normal 4 7 2 2 4" xfId="14462"/>
    <cellStyle name="Normal 4 7 2 3" xfId="8230"/>
    <cellStyle name="Normal 4 7 2 3 2" xfId="24827"/>
    <cellStyle name="Normal 4 7 2 3 3" xfId="16530"/>
    <cellStyle name="Normal 4 7 2 4" xfId="20687"/>
    <cellStyle name="Normal 4 7 2 5" xfId="12390"/>
    <cellStyle name="Normal 4 7 3" xfId="5112"/>
    <cellStyle name="Normal 4 7 3 2" xfId="9268"/>
    <cellStyle name="Normal 4 7 3 2 2" xfId="25865"/>
    <cellStyle name="Normal 4 7 3 2 3" xfId="17568"/>
    <cellStyle name="Normal 4 7 3 3" xfId="21725"/>
    <cellStyle name="Normal 4 7 3 4" xfId="13428"/>
    <cellStyle name="Normal 4 7 4" xfId="7196"/>
    <cellStyle name="Normal 4 7 4 2" xfId="23793"/>
    <cellStyle name="Normal 4 7 4 3" xfId="15496"/>
    <cellStyle name="Normal 4 7 5" xfId="19653"/>
    <cellStyle name="Normal 4 7 6" xfId="11356"/>
    <cellStyle name="Normal 4 8" xfId="3503"/>
    <cellStyle name="Normal 4 8 2" xfId="5631"/>
    <cellStyle name="Normal 4 8 2 2" xfId="9787"/>
    <cellStyle name="Normal 4 8 2 2 2" xfId="26384"/>
    <cellStyle name="Normal 4 8 2 2 3" xfId="18087"/>
    <cellStyle name="Normal 4 8 2 3" xfId="22244"/>
    <cellStyle name="Normal 4 8 2 4" xfId="13947"/>
    <cellStyle name="Normal 4 8 3" xfId="7715"/>
    <cellStyle name="Normal 4 8 3 2" xfId="24312"/>
    <cellStyle name="Normal 4 8 3 3" xfId="16015"/>
    <cellStyle name="Normal 4 8 4" xfId="20172"/>
    <cellStyle name="Normal 4 8 5" xfId="11875"/>
    <cellStyle name="Normal 4 9" xfId="4583"/>
    <cellStyle name="Normal 4 9 2" xfId="8751"/>
    <cellStyle name="Normal 4 9 2 2" xfId="25348"/>
    <cellStyle name="Normal 4 9 2 3" xfId="17051"/>
    <cellStyle name="Normal 4 9 3" xfId="21208"/>
    <cellStyle name="Normal 4 9 4" xfId="12911"/>
    <cellStyle name="Normal 40" xfId="1662"/>
    <cellStyle name="Normal 40 10" xfId="10859"/>
    <cellStyle name="Normal 40 2" xfId="1663"/>
    <cellStyle name="Normal 40 2 2" xfId="1664"/>
    <cellStyle name="Normal 40 2 2 2" xfId="2998"/>
    <cellStyle name="Normal 40 2 2 2 2" xfId="4044"/>
    <cellStyle name="Normal 40 2 2 2 2 2" xfId="6169"/>
    <cellStyle name="Normal 40 2 2 2 2 2 2" xfId="10325"/>
    <cellStyle name="Normal 40 2 2 2 2 2 2 2" xfId="26922"/>
    <cellStyle name="Normal 40 2 2 2 2 2 2 3" xfId="18625"/>
    <cellStyle name="Normal 40 2 2 2 2 2 3" xfId="22782"/>
    <cellStyle name="Normal 40 2 2 2 2 2 4" xfId="14485"/>
    <cellStyle name="Normal 40 2 2 2 2 3" xfId="8253"/>
    <cellStyle name="Normal 40 2 2 2 2 3 2" xfId="24850"/>
    <cellStyle name="Normal 40 2 2 2 2 3 3" xfId="16553"/>
    <cellStyle name="Normal 40 2 2 2 2 4" xfId="20710"/>
    <cellStyle name="Normal 40 2 2 2 2 5" xfId="12413"/>
    <cellStyle name="Normal 40 2 2 2 3" xfId="5135"/>
    <cellStyle name="Normal 40 2 2 2 3 2" xfId="9291"/>
    <cellStyle name="Normal 40 2 2 2 3 2 2" xfId="25888"/>
    <cellStyle name="Normal 40 2 2 2 3 2 3" xfId="17591"/>
    <cellStyle name="Normal 40 2 2 2 3 3" xfId="21748"/>
    <cellStyle name="Normal 40 2 2 2 3 4" xfId="13451"/>
    <cellStyle name="Normal 40 2 2 2 4" xfId="7219"/>
    <cellStyle name="Normal 40 2 2 2 4 2" xfId="23816"/>
    <cellStyle name="Normal 40 2 2 2 4 3" xfId="15519"/>
    <cellStyle name="Normal 40 2 2 2 5" xfId="19676"/>
    <cellStyle name="Normal 40 2 2 2 6" xfId="11379"/>
    <cellStyle name="Normal 40 2 2 3" xfId="3526"/>
    <cellStyle name="Normal 40 2 2 3 2" xfId="5654"/>
    <cellStyle name="Normal 40 2 2 3 2 2" xfId="9810"/>
    <cellStyle name="Normal 40 2 2 3 2 2 2" xfId="26407"/>
    <cellStyle name="Normal 40 2 2 3 2 2 3" xfId="18110"/>
    <cellStyle name="Normal 40 2 2 3 2 3" xfId="22267"/>
    <cellStyle name="Normal 40 2 2 3 2 4" xfId="13970"/>
    <cellStyle name="Normal 40 2 2 3 3" xfId="7738"/>
    <cellStyle name="Normal 40 2 2 3 3 2" xfId="24335"/>
    <cellStyle name="Normal 40 2 2 3 3 3" xfId="16038"/>
    <cellStyle name="Normal 40 2 2 3 4" xfId="20195"/>
    <cellStyle name="Normal 40 2 2 3 5" xfId="11898"/>
    <cellStyle name="Normal 40 2 2 4" xfId="4606"/>
    <cellStyle name="Normal 40 2 2 4 2" xfId="8774"/>
    <cellStyle name="Normal 40 2 2 4 2 2" xfId="25371"/>
    <cellStyle name="Normal 40 2 2 4 2 3" xfId="17074"/>
    <cellStyle name="Normal 40 2 2 4 3" xfId="21231"/>
    <cellStyle name="Normal 40 2 2 4 4" xfId="12934"/>
    <cellStyle name="Normal 40 2 2 5" xfId="6697"/>
    <cellStyle name="Normal 40 2 2 5 2" xfId="23301"/>
    <cellStyle name="Normal 40 2 2 5 3" xfId="15004"/>
    <cellStyle name="Normal 40 2 2 6" xfId="19158"/>
    <cellStyle name="Normal 40 2 2 7" xfId="10861"/>
    <cellStyle name="Normal 40 2 3" xfId="2997"/>
    <cellStyle name="Normal 40 2 3 2" xfId="4043"/>
    <cellStyle name="Normal 40 2 3 2 2" xfId="6168"/>
    <cellStyle name="Normal 40 2 3 2 2 2" xfId="10324"/>
    <cellStyle name="Normal 40 2 3 2 2 2 2" xfId="26921"/>
    <cellStyle name="Normal 40 2 3 2 2 2 3" xfId="18624"/>
    <cellStyle name="Normal 40 2 3 2 2 3" xfId="22781"/>
    <cellStyle name="Normal 40 2 3 2 2 4" xfId="14484"/>
    <cellStyle name="Normal 40 2 3 2 3" xfId="8252"/>
    <cellStyle name="Normal 40 2 3 2 3 2" xfId="24849"/>
    <cellStyle name="Normal 40 2 3 2 3 3" xfId="16552"/>
    <cellStyle name="Normal 40 2 3 2 4" xfId="20709"/>
    <cellStyle name="Normal 40 2 3 2 5" xfId="12412"/>
    <cellStyle name="Normal 40 2 3 3" xfId="5134"/>
    <cellStyle name="Normal 40 2 3 3 2" xfId="9290"/>
    <cellStyle name="Normal 40 2 3 3 2 2" xfId="25887"/>
    <cellStyle name="Normal 40 2 3 3 2 3" xfId="17590"/>
    <cellStyle name="Normal 40 2 3 3 3" xfId="21747"/>
    <cellStyle name="Normal 40 2 3 3 4" xfId="13450"/>
    <cellStyle name="Normal 40 2 3 4" xfId="7218"/>
    <cellStyle name="Normal 40 2 3 4 2" xfId="23815"/>
    <cellStyle name="Normal 40 2 3 4 3" xfId="15518"/>
    <cellStyle name="Normal 40 2 3 5" xfId="19675"/>
    <cellStyle name="Normal 40 2 3 6" xfId="11378"/>
    <cellStyle name="Normal 40 2 4" xfId="3525"/>
    <cellStyle name="Normal 40 2 4 2" xfId="5653"/>
    <cellStyle name="Normal 40 2 4 2 2" xfId="9809"/>
    <cellStyle name="Normal 40 2 4 2 2 2" xfId="26406"/>
    <cellStyle name="Normal 40 2 4 2 2 3" xfId="18109"/>
    <cellStyle name="Normal 40 2 4 2 3" xfId="22266"/>
    <cellStyle name="Normal 40 2 4 2 4" xfId="13969"/>
    <cellStyle name="Normal 40 2 4 3" xfId="7737"/>
    <cellStyle name="Normal 40 2 4 3 2" xfId="24334"/>
    <cellStyle name="Normal 40 2 4 3 3" xfId="16037"/>
    <cellStyle name="Normal 40 2 4 4" xfId="20194"/>
    <cellStyle name="Normal 40 2 4 5" xfId="11897"/>
    <cellStyle name="Normal 40 2 5" xfId="4605"/>
    <cellStyle name="Normal 40 2 5 2" xfId="8773"/>
    <cellStyle name="Normal 40 2 5 2 2" xfId="25370"/>
    <cellStyle name="Normal 40 2 5 2 3" xfId="17073"/>
    <cellStyle name="Normal 40 2 5 3" xfId="21230"/>
    <cellStyle name="Normal 40 2 5 4" xfId="12933"/>
    <cellStyle name="Normal 40 2 6" xfId="6696"/>
    <cellStyle name="Normal 40 2 6 2" xfId="23300"/>
    <cellStyle name="Normal 40 2 6 3" xfId="15003"/>
    <cellStyle name="Normal 40 2 7" xfId="19157"/>
    <cellStyle name="Normal 40 2 8" xfId="10860"/>
    <cellStyle name="Normal 40 3" xfId="1665"/>
    <cellStyle name="Normal 40 3 2" xfId="1666"/>
    <cellStyle name="Normal 40 3 2 2" xfId="3000"/>
    <cellStyle name="Normal 40 3 2 2 2" xfId="4046"/>
    <cellStyle name="Normal 40 3 2 2 2 2" xfId="6171"/>
    <cellStyle name="Normal 40 3 2 2 2 2 2" xfId="10327"/>
    <cellStyle name="Normal 40 3 2 2 2 2 2 2" xfId="26924"/>
    <cellStyle name="Normal 40 3 2 2 2 2 2 3" xfId="18627"/>
    <cellStyle name="Normal 40 3 2 2 2 2 3" xfId="22784"/>
    <cellStyle name="Normal 40 3 2 2 2 2 4" xfId="14487"/>
    <cellStyle name="Normal 40 3 2 2 2 3" xfId="8255"/>
    <cellStyle name="Normal 40 3 2 2 2 3 2" xfId="24852"/>
    <cellStyle name="Normal 40 3 2 2 2 3 3" xfId="16555"/>
    <cellStyle name="Normal 40 3 2 2 2 4" xfId="20712"/>
    <cellStyle name="Normal 40 3 2 2 2 5" xfId="12415"/>
    <cellStyle name="Normal 40 3 2 2 3" xfId="5137"/>
    <cellStyle name="Normal 40 3 2 2 3 2" xfId="9293"/>
    <cellStyle name="Normal 40 3 2 2 3 2 2" xfId="25890"/>
    <cellStyle name="Normal 40 3 2 2 3 2 3" xfId="17593"/>
    <cellStyle name="Normal 40 3 2 2 3 3" xfId="21750"/>
    <cellStyle name="Normal 40 3 2 2 3 4" xfId="13453"/>
    <cellStyle name="Normal 40 3 2 2 4" xfId="7221"/>
    <cellStyle name="Normal 40 3 2 2 4 2" xfId="23818"/>
    <cellStyle name="Normal 40 3 2 2 4 3" xfId="15521"/>
    <cellStyle name="Normal 40 3 2 2 5" xfId="19678"/>
    <cellStyle name="Normal 40 3 2 2 6" xfId="11381"/>
    <cellStyle name="Normal 40 3 2 3" xfId="3528"/>
    <cellStyle name="Normal 40 3 2 3 2" xfId="5656"/>
    <cellStyle name="Normal 40 3 2 3 2 2" xfId="9812"/>
    <cellStyle name="Normal 40 3 2 3 2 2 2" xfId="26409"/>
    <cellStyle name="Normal 40 3 2 3 2 2 3" xfId="18112"/>
    <cellStyle name="Normal 40 3 2 3 2 3" xfId="22269"/>
    <cellStyle name="Normal 40 3 2 3 2 4" xfId="13972"/>
    <cellStyle name="Normal 40 3 2 3 3" xfId="7740"/>
    <cellStyle name="Normal 40 3 2 3 3 2" xfId="24337"/>
    <cellStyle name="Normal 40 3 2 3 3 3" xfId="16040"/>
    <cellStyle name="Normal 40 3 2 3 4" xfId="20197"/>
    <cellStyle name="Normal 40 3 2 3 5" xfId="11900"/>
    <cellStyle name="Normal 40 3 2 4" xfId="4608"/>
    <cellStyle name="Normal 40 3 2 4 2" xfId="8776"/>
    <cellStyle name="Normal 40 3 2 4 2 2" xfId="25373"/>
    <cellStyle name="Normal 40 3 2 4 2 3" xfId="17076"/>
    <cellStyle name="Normal 40 3 2 4 3" xfId="21233"/>
    <cellStyle name="Normal 40 3 2 4 4" xfId="12936"/>
    <cellStyle name="Normal 40 3 2 5" xfId="6699"/>
    <cellStyle name="Normal 40 3 2 5 2" xfId="23303"/>
    <cellStyle name="Normal 40 3 2 5 3" xfId="15006"/>
    <cellStyle name="Normal 40 3 2 6" xfId="19160"/>
    <cellStyle name="Normal 40 3 2 7" xfId="10863"/>
    <cellStyle name="Normal 40 3 3" xfId="2999"/>
    <cellStyle name="Normal 40 3 3 2" xfId="4045"/>
    <cellStyle name="Normal 40 3 3 2 2" xfId="6170"/>
    <cellStyle name="Normal 40 3 3 2 2 2" xfId="10326"/>
    <cellStyle name="Normal 40 3 3 2 2 2 2" xfId="26923"/>
    <cellStyle name="Normal 40 3 3 2 2 2 3" xfId="18626"/>
    <cellStyle name="Normal 40 3 3 2 2 3" xfId="22783"/>
    <cellStyle name="Normal 40 3 3 2 2 4" xfId="14486"/>
    <cellStyle name="Normal 40 3 3 2 3" xfId="8254"/>
    <cellStyle name="Normal 40 3 3 2 3 2" xfId="24851"/>
    <cellStyle name="Normal 40 3 3 2 3 3" xfId="16554"/>
    <cellStyle name="Normal 40 3 3 2 4" xfId="20711"/>
    <cellStyle name="Normal 40 3 3 2 5" xfId="12414"/>
    <cellStyle name="Normal 40 3 3 3" xfId="5136"/>
    <cellStyle name="Normal 40 3 3 3 2" xfId="9292"/>
    <cellStyle name="Normal 40 3 3 3 2 2" xfId="25889"/>
    <cellStyle name="Normal 40 3 3 3 2 3" xfId="17592"/>
    <cellStyle name="Normal 40 3 3 3 3" xfId="21749"/>
    <cellStyle name="Normal 40 3 3 3 4" xfId="13452"/>
    <cellStyle name="Normal 40 3 3 4" xfId="7220"/>
    <cellStyle name="Normal 40 3 3 4 2" xfId="23817"/>
    <cellStyle name="Normal 40 3 3 4 3" xfId="15520"/>
    <cellStyle name="Normal 40 3 3 5" xfId="19677"/>
    <cellStyle name="Normal 40 3 3 6" xfId="11380"/>
    <cellStyle name="Normal 40 3 4" xfId="3527"/>
    <cellStyle name="Normal 40 3 4 2" xfId="5655"/>
    <cellStyle name="Normal 40 3 4 2 2" xfId="9811"/>
    <cellStyle name="Normal 40 3 4 2 2 2" xfId="26408"/>
    <cellStyle name="Normal 40 3 4 2 2 3" xfId="18111"/>
    <cellStyle name="Normal 40 3 4 2 3" xfId="22268"/>
    <cellStyle name="Normal 40 3 4 2 4" xfId="13971"/>
    <cellStyle name="Normal 40 3 4 3" xfId="7739"/>
    <cellStyle name="Normal 40 3 4 3 2" xfId="24336"/>
    <cellStyle name="Normal 40 3 4 3 3" xfId="16039"/>
    <cellStyle name="Normal 40 3 4 4" xfId="20196"/>
    <cellStyle name="Normal 40 3 4 5" xfId="11899"/>
    <cellStyle name="Normal 40 3 5" xfId="4607"/>
    <cellStyle name="Normal 40 3 5 2" xfId="8775"/>
    <cellStyle name="Normal 40 3 5 2 2" xfId="25372"/>
    <cellStyle name="Normal 40 3 5 2 3" xfId="17075"/>
    <cellStyle name="Normal 40 3 5 3" xfId="21232"/>
    <cellStyle name="Normal 40 3 5 4" xfId="12935"/>
    <cellStyle name="Normal 40 3 6" xfId="6698"/>
    <cellStyle name="Normal 40 3 6 2" xfId="23302"/>
    <cellStyle name="Normal 40 3 6 3" xfId="15005"/>
    <cellStyle name="Normal 40 3 7" xfId="19159"/>
    <cellStyle name="Normal 40 3 8" xfId="10862"/>
    <cellStyle name="Normal 40 4" xfId="1667"/>
    <cellStyle name="Normal 40 4 2" xfId="3001"/>
    <cellStyle name="Normal 40 4 2 2" xfId="4047"/>
    <cellStyle name="Normal 40 4 2 2 2" xfId="6172"/>
    <cellStyle name="Normal 40 4 2 2 2 2" xfId="10328"/>
    <cellStyle name="Normal 40 4 2 2 2 2 2" xfId="26925"/>
    <cellStyle name="Normal 40 4 2 2 2 2 3" xfId="18628"/>
    <cellStyle name="Normal 40 4 2 2 2 3" xfId="22785"/>
    <cellStyle name="Normal 40 4 2 2 2 4" xfId="14488"/>
    <cellStyle name="Normal 40 4 2 2 3" xfId="8256"/>
    <cellStyle name="Normal 40 4 2 2 3 2" xfId="24853"/>
    <cellStyle name="Normal 40 4 2 2 3 3" xfId="16556"/>
    <cellStyle name="Normal 40 4 2 2 4" xfId="20713"/>
    <cellStyle name="Normal 40 4 2 2 5" xfId="12416"/>
    <cellStyle name="Normal 40 4 2 3" xfId="5138"/>
    <cellStyle name="Normal 40 4 2 3 2" xfId="9294"/>
    <cellStyle name="Normal 40 4 2 3 2 2" xfId="25891"/>
    <cellStyle name="Normal 40 4 2 3 2 3" xfId="17594"/>
    <cellStyle name="Normal 40 4 2 3 3" xfId="21751"/>
    <cellStyle name="Normal 40 4 2 3 4" xfId="13454"/>
    <cellStyle name="Normal 40 4 2 4" xfId="7222"/>
    <cellStyle name="Normal 40 4 2 4 2" xfId="23819"/>
    <cellStyle name="Normal 40 4 2 4 3" xfId="15522"/>
    <cellStyle name="Normal 40 4 2 5" xfId="19679"/>
    <cellStyle name="Normal 40 4 2 6" xfId="11382"/>
    <cellStyle name="Normal 40 4 3" xfId="3529"/>
    <cellStyle name="Normal 40 4 3 2" xfId="5657"/>
    <cellStyle name="Normal 40 4 3 2 2" xfId="9813"/>
    <cellStyle name="Normal 40 4 3 2 2 2" xfId="26410"/>
    <cellStyle name="Normal 40 4 3 2 2 3" xfId="18113"/>
    <cellStyle name="Normal 40 4 3 2 3" xfId="22270"/>
    <cellStyle name="Normal 40 4 3 2 4" xfId="13973"/>
    <cellStyle name="Normal 40 4 3 3" xfId="7741"/>
    <cellStyle name="Normal 40 4 3 3 2" xfId="24338"/>
    <cellStyle name="Normal 40 4 3 3 3" xfId="16041"/>
    <cellStyle name="Normal 40 4 3 4" xfId="20198"/>
    <cellStyle name="Normal 40 4 3 5" xfId="11901"/>
    <cellStyle name="Normal 40 4 4" xfId="4609"/>
    <cellStyle name="Normal 40 4 4 2" xfId="8777"/>
    <cellStyle name="Normal 40 4 4 2 2" xfId="25374"/>
    <cellStyle name="Normal 40 4 4 2 3" xfId="17077"/>
    <cellStyle name="Normal 40 4 4 3" xfId="21234"/>
    <cellStyle name="Normal 40 4 4 4" xfId="12937"/>
    <cellStyle name="Normal 40 4 5" xfId="6700"/>
    <cellStyle name="Normal 40 4 5 2" xfId="23304"/>
    <cellStyle name="Normal 40 4 5 3" xfId="15007"/>
    <cellStyle name="Normal 40 4 6" xfId="19161"/>
    <cellStyle name="Normal 40 4 7" xfId="10864"/>
    <cellStyle name="Normal 40 5" xfId="2996"/>
    <cellStyle name="Normal 40 5 2" xfId="4042"/>
    <cellStyle name="Normal 40 5 2 2" xfId="6167"/>
    <cellStyle name="Normal 40 5 2 2 2" xfId="10323"/>
    <cellStyle name="Normal 40 5 2 2 2 2" xfId="26920"/>
    <cellStyle name="Normal 40 5 2 2 2 3" xfId="18623"/>
    <cellStyle name="Normal 40 5 2 2 3" xfId="22780"/>
    <cellStyle name="Normal 40 5 2 2 4" xfId="14483"/>
    <cellStyle name="Normal 40 5 2 3" xfId="8251"/>
    <cellStyle name="Normal 40 5 2 3 2" xfId="24848"/>
    <cellStyle name="Normal 40 5 2 3 3" xfId="16551"/>
    <cellStyle name="Normal 40 5 2 4" xfId="20708"/>
    <cellStyle name="Normal 40 5 2 5" xfId="12411"/>
    <cellStyle name="Normal 40 5 3" xfId="5133"/>
    <cellStyle name="Normal 40 5 3 2" xfId="9289"/>
    <cellStyle name="Normal 40 5 3 2 2" xfId="25886"/>
    <cellStyle name="Normal 40 5 3 2 3" xfId="17589"/>
    <cellStyle name="Normal 40 5 3 3" xfId="21746"/>
    <cellStyle name="Normal 40 5 3 4" xfId="13449"/>
    <cellStyle name="Normal 40 5 4" xfId="7217"/>
    <cellStyle name="Normal 40 5 4 2" xfId="23814"/>
    <cellStyle name="Normal 40 5 4 3" xfId="15517"/>
    <cellStyle name="Normal 40 5 5" xfId="19674"/>
    <cellStyle name="Normal 40 5 6" xfId="11377"/>
    <cellStyle name="Normal 40 6" xfId="3524"/>
    <cellStyle name="Normal 40 6 2" xfId="5652"/>
    <cellStyle name="Normal 40 6 2 2" xfId="9808"/>
    <cellStyle name="Normal 40 6 2 2 2" xfId="26405"/>
    <cellStyle name="Normal 40 6 2 2 3" xfId="18108"/>
    <cellStyle name="Normal 40 6 2 3" xfId="22265"/>
    <cellStyle name="Normal 40 6 2 4" xfId="13968"/>
    <cellStyle name="Normal 40 6 3" xfId="7736"/>
    <cellStyle name="Normal 40 6 3 2" xfId="24333"/>
    <cellStyle name="Normal 40 6 3 3" xfId="16036"/>
    <cellStyle name="Normal 40 6 4" xfId="20193"/>
    <cellStyle name="Normal 40 6 5" xfId="11896"/>
    <cellStyle name="Normal 40 7" xfId="4604"/>
    <cellStyle name="Normal 40 7 2" xfId="8772"/>
    <cellStyle name="Normal 40 7 2 2" xfId="25369"/>
    <cellStyle name="Normal 40 7 2 3" xfId="17072"/>
    <cellStyle name="Normal 40 7 3" xfId="21229"/>
    <cellStyle name="Normal 40 7 4" xfId="12932"/>
    <cellStyle name="Normal 40 8" xfId="6695"/>
    <cellStyle name="Normal 40 8 2" xfId="23299"/>
    <cellStyle name="Normal 40 8 3" xfId="15002"/>
    <cellStyle name="Normal 40 9" xfId="19156"/>
    <cellStyle name="Normal 41" xfId="1668"/>
    <cellStyle name="Normal 41 10" xfId="10865"/>
    <cellStyle name="Normal 41 2" xfId="1669"/>
    <cellStyle name="Normal 41 2 2" xfId="1670"/>
    <cellStyle name="Normal 41 2 2 2" xfId="3004"/>
    <cellStyle name="Normal 41 2 2 2 2" xfId="4050"/>
    <cellStyle name="Normal 41 2 2 2 2 2" xfId="6175"/>
    <cellStyle name="Normal 41 2 2 2 2 2 2" xfId="10331"/>
    <cellStyle name="Normal 41 2 2 2 2 2 2 2" xfId="26928"/>
    <cellStyle name="Normal 41 2 2 2 2 2 2 3" xfId="18631"/>
    <cellStyle name="Normal 41 2 2 2 2 2 3" xfId="22788"/>
    <cellStyle name="Normal 41 2 2 2 2 2 4" xfId="14491"/>
    <cellStyle name="Normal 41 2 2 2 2 3" xfId="8259"/>
    <cellStyle name="Normal 41 2 2 2 2 3 2" xfId="24856"/>
    <cellStyle name="Normal 41 2 2 2 2 3 3" xfId="16559"/>
    <cellStyle name="Normal 41 2 2 2 2 4" xfId="20716"/>
    <cellStyle name="Normal 41 2 2 2 2 5" xfId="12419"/>
    <cellStyle name="Normal 41 2 2 2 3" xfId="5141"/>
    <cellStyle name="Normal 41 2 2 2 3 2" xfId="9297"/>
    <cellStyle name="Normal 41 2 2 2 3 2 2" xfId="25894"/>
    <cellStyle name="Normal 41 2 2 2 3 2 3" xfId="17597"/>
    <cellStyle name="Normal 41 2 2 2 3 3" xfId="21754"/>
    <cellStyle name="Normal 41 2 2 2 3 4" xfId="13457"/>
    <cellStyle name="Normal 41 2 2 2 4" xfId="7225"/>
    <cellStyle name="Normal 41 2 2 2 4 2" xfId="23822"/>
    <cellStyle name="Normal 41 2 2 2 4 3" xfId="15525"/>
    <cellStyle name="Normal 41 2 2 2 5" xfId="19682"/>
    <cellStyle name="Normal 41 2 2 2 6" xfId="11385"/>
    <cellStyle name="Normal 41 2 2 3" xfId="3532"/>
    <cellStyle name="Normal 41 2 2 3 2" xfId="5660"/>
    <cellStyle name="Normal 41 2 2 3 2 2" xfId="9816"/>
    <cellStyle name="Normal 41 2 2 3 2 2 2" xfId="26413"/>
    <cellStyle name="Normal 41 2 2 3 2 2 3" xfId="18116"/>
    <cellStyle name="Normal 41 2 2 3 2 3" xfId="22273"/>
    <cellStyle name="Normal 41 2 2 3 2 4" xfId="13976"/>
    <cellStyle name="Normal 41 2 2 3 3" xfId="7744"/>
    <cellStyle name="Normal 41 2 2 3 3 2" xfId="24341"/>
    <cellStyle name="Normal 41 2 2 3 3 3" xfId="16044"/>
    <cellStyle name="Normal 41 2 2 3 4" xfId="20201"/>
    <cellStyle name="Normal 41 2 2 3 5" xfId="11904"/>
    <cellStyle name="Normal 41 2 2 4" xfId="4612"/>
    <cellStyle name="Normal 41 2 2 4 2" xfId="8780"/>
    <cellStyle name="Normal 41 2 2 4 2 2" xfId="25377"/>
    <cellStyle name="Normal 41 2 2 4 2 3" xfId="17080"/>
    <cellStyle name="Normal 41 2 2 4 3" xfId="21237"/>
    <cellStyle name="Normal 41 2 2 4 4" xfId="12940"/>
    <cellStyle name="Normal 41 2 2 5" xfId="6703"/>
    <cellStyle name="Normal 41 2 2 5 2" xfId="23307"/>
    <cellStyle name="Normal 41 2 2 5 3" xfId="15010"/>
    <cellStyle name="Normal 41 2 2 6" xfId="19164"/>
    <cellStyle name="Normal 41 2 2 7" xfId="10867"/>
    <cellStyle name="Normal 41 2 3" xfId="3003"/>
    <cellStyle name="Normal 41 2 3 2" xfId="4049"/>
    <cellStyle name="Normal 41 2 3 2 2" xfId="6174"/>
    <cellStyle name="Normal 41 2 3 2 2 2" xfId="10330"/>
    <cellStyle name="Normal 41 2 3 2 2 2 2" xfId="26927"/>
    <cellStyle name="Normal 41 2 3 2 2 2 3" xfId="18630"/>
    <cellStyle name="Normal 41 2 3 2 2 3" xfId="22787"/>
    <cellStyle name="Normal 41 2 3 2 2 4" xfId="14490"/>
    <cellStyle name="Normal 41 2 3 2 3" xfId="8258"/>
    <cellStyle name="Normal 41 2 3 2 3 2" xfId="24855"/>
    <cellStyle name="Normal 41 2 3 2 3 3" xfId="16558"/>
    <cellStyle name="Normal 41 2 3 2 4" xfId="20715"/>
    <cellStyle name="Normal 41 2 3 2 5" xfId="12418"/>
    <cellStyle name="Normal 41 2 3 3" xfId="5140"/>
    <cellStyle name="Normal 41 2 3 3 2" xfId="9296"/>
    <cellStyle name="Normal 41 2 3 3 2 2" xfId="25893"/>
    <cellStyle name="Normal 41 2 3 3 2 3" xfId="17596"/>
    <cellStyle name="Normal 41 2 3 3 3" xfId="21753"/>
    <cellStyle name="Normal 41 2 3 3 4" xfId="13456"/>
    <cellStyle name="Normal 41 2 3 4" xfId="7224"/>
    <cellStyle name="Normal 41 2 3 4 2" xfId="23821"/>
    <cellStyle name="Normal 41 2 3 4 3" xfId="15524"/>
    <cellStyle name="Normal 41 2 3 5" xfId="19681"/>
    <cellStyle name="Normal 41 2 3 6" xfId="11384"/>
    <cellStyle name="Normal 41 2 4" xfId="3531"/>
    <cellStyle name="Normal 41 2 4 2" xfId="5659"/>
    <cellStyle name="Normal 41 2 4 2 2" xfId="9815"/>
    <cellStyle name="Normal 41 2 4 2 2 2" xfId="26412"/>
    <cellStyle name="Normal 41 2 4 2 2 3" xfId="18115"/>
    <cellStyle name="Normal 41 2 4 2 3" xfId="22272"/>
    <cellStyle name="Normal 41 2 4 2 4" xfId="13975"/>
    <cellStyle name="Normal 41 2 4 3" xfId="7743"/>
    <cellStyle name="Normal 41 2 4 3 2" xfId="24340"/>
    <cellStyle name="Normal 41 2 4 3 3" xfId="16043"/>
    <cellStyle name="Normal 41 2 4 4" xfId="20200"/>
    <cellStyle name="Normal 41 2 4 5" xfId="11903"/>
    <cellStyle name="Normal 41 2 5" xfId="4611"/>
    <cellStyle name="Normal 41 2 5 2" xfId="8779"/>
    <cellStyle name="Normal 41 2 5 2 2" xfId="25376"/>
    <cellStyle name="Normal 41 2 5 2 3" xfId="17079"/>
    <cellStyle name="Normal 41 2 5 3" xfId="21236"/>
    <cellStyle name="Normal 41 2 5 4" xfId="12939"/>
    <cellStyle name="Normal 41 2 6" xfId="6702"/>
    <cellStyle name="Normal 41 2 6 2" xfId="23306"/>
    <cellStyle name="Normal 41 2 6 3" xfId="15009"/>
    <cellStyle name="Normal 41 2 7" xfId="19163"/>
    <cellStyle name="Normal 41 2 8" xfId="10866"/>
    <cellStyle name="Normal 41 3" xfId="1671"/>
    <cellStyle name="Normal 41 3 2" xfId="1672"/>
    <cellStyle name="Normal 41 3 2 2" xfId="3006"/>
    <cellStyle name="Normal 41 3 2 2 2" xfId="4052"/>
    <cellStyle name="Normal 41 3 2 2 2 2" xfId="6177"/>
    <cellStyle name="Normal 41 3 2 2 2 2 2" xfId="10333"/>
    <cellStyle name="Normal 41 3 2 2 2 2 2 2" xfId="26930"/>
    <cellStyle name="Normal 41 3 2 2 2 2 2 3" xfId="18633"/>
    <cellStyle name="Normal 41 3 2 2 2 2 3" xfId="22790"/>
    <cellStyle name="Normal 41 3 2 2 2 2 4" xfId="14493"/>
    <cellStyle name="Normal 41 3 2 2 2 3" xfId="8261"/>
    <cellStyle name="Normal 41 3 2 2 2 3 2" xfId="24858"/>
    <cellStyle name="Normal 41 3 2 2 2 3 3" xfId="16561"/>
    <cellStyle name="Normal 41 3 2 2 2 4" xfId="20718"/>
    <cellStyle name="Normal 41 3 2 2 2 5" xfId="12421"/>
    <cellStyle name="Normal 41 3 2 2 3" xfId="5143"/>
    <cellStyle name="Normal 41 3 2 2 3 2" xfId="9299"/>
    <cellStyle name="Normal 41 3 2 2 3 2 2" xfId="25896"/>
    <cellStyle name="Normal 41 3 2 2 3 2 3" xfId="17599"/>
    <cellStyle name="Normal 41 3 2 2 3 3" xfId="21756"/>
    <cellStyle name="Normal 41 3 2 2 3 4" xfId="13459"/>
    <cellStyle name="Normal 41 3 2 2 4" xfId="7227"/>
    <cellStyle name="Normal 41 3 2 2 4 2" xfId="23824"/>
    <cellStyle name="Normal 41 3 2 2 4 3" xfId="15527"/>
    <cellStyle name="Normal 41 3 2 2 5" xfId="19684"/>
    <cellStyle name="Normal 41 3 2 2 6" xfId="11387"/>
    <cellStyle name="Normal 41 3 2 3" xfId="3534"/>
    <cellStyle name="Normal 41 3 2 3 2" xfId="5662"/>
    <cellStyle name="Normal 41 3 2 3 2 2" xfId="9818"/>
    <cellStyle name="Normal 41 3 2 3 2 2 2" xfId="26415"/>
    <cellStyle name="Normal 41 3 2 3 2 2 3" xfId="18118"/>
    <cellStyle name="Normal 41 3 2 3 2 3" xfId="22275"/>
    <cellStyle name="Normal 41 3 2 3 2 4" xfId="13978"/>
    <cellStyle name="Normal 41 3 2 3 3" xfId="7746"/>
    <cellStyle name="Normal 41 3 2 3 3 2" xfId="24343"/>
    <cellStyle name="Normal 41 3 2 3 3 3" xfId="16046"/>
    <cellStyle name="Normal 41 3 2 3 4" xfId="20203"/>
    <cellStyle name="Normal 41 3 2 3 5" xfId="11906"/>
    <cellStyle name="Normal 41 3 2 4" xfId="4614"/>
    <cellStyle name="Normal 41 3 2 4 2" xfId="8782"/>
    <cellStyle name="Normal 41 3 2 4 2 2" xfId="25379"/>
    <cellStyle name="Normal 41 3 2 4 2 3" xfId="17082"/>
    <cellStyle name="Normal 41 3 2 4 3" xfId="21239"/>
    <cellStyle name="Normal 41 3 2 4 4" xfId="12942"/>
    <cellStyle name="Normal 41 3 2 5" xfId="6705"/>
    <cellStyle name="Normal 41 3 2 5 2" xfId="23309"/>
    <cellStyle name="Normal 41 3 2 5 3" xfId="15012"/>
    <cellStyle name="Normal 41 3 2 6" xfId="19166"/>
    <cellStyle name="Normal 41 3 2 7" xfId="10869"/>
    <cellStyle name="Normal 41 3 3" xfId="3005"/>
    <cellStyle name="Normal 41 3 3 2" xfId="4051"/>
    <cellStyle name="Normal 41 3 3 2 2" xfId="6176"/>
    <cellStyle name="Normal 41 3 3 2 2 2" xfId="10332"/>
    <cellStyle name="Normal 41 3 3 2 2 2 2" xfId="26929"/>
    <cellStyle name="Normal 41 3 3 2 2 2 3" xfId="18632"/>
    <cellStyle name="Normal 41 3 3 2 2 3" xfId="22789"/>
    <cellStyle name="Normal 41 3 3 2 2 4" xfId="14492"/>
    <cellStyle name="Normal 41 3 3 2 3" xfId="8260"/>
    <cellStyle name="Normal 41 3 3 2 3 2" xfId="24857"/>
    <cellStyle name="Normal 41 3 3 2 3 3" xfId="16560"/>
    <cellStyle name="Normal 41 3 3 2 4" xfId="20717"/>
    <cellStyle name="Normal 41 3 3 2 5" xfId="12420"/>
    <cellStyle name="Normal 41 3 3 3" xfId="5142"/>
    <cellStyle name="Normal 41 3 3 3 2" xfId="9298"/>
    <cellStyle name="Normal 41 3 3 3 2 2" xfId="25895"/>
    <cellStyle name="Normal 41 3 3 3 2 3" xfId="17598"/>
    <cellStyle name="Normal 41 3 3 3 3" xfId="21755"/>
    <cellStyle name="Normal 41 3 3 3 4" xfId="13458"/>
    <cellStyle name="Normal 41 3 3 4" xfId="7226"/>
    <cellStyle name="Normal 41 3 3 4 2" xfId="23823"/>
    <cellStyle name="Normal 41 3 3 4 3" xfId="15526"/>
    <cellStyle name="Normal 41 3 3 5" xfId="19683"/>
    <cellStyle name="Normal 41 3 3 6" xfId="11386"/>
    <cellStyle name="Normal 41 3 4" xfId="3533"/>
    <cellStyle name="Normal 41 3 4 2" xfId="5661"/>
    <cellStyle name="Normal 41 3 4 2 2" xfId="9817"/>
    <cellStyle name="Normal 41 3 4 2 2 2" xfId="26414"/>
    <cellStyle name="Normal 41 3 4 2 2 3" xfId="18117"/>
    <cellStyle name="Normal 41 3 4 2 3" xfId="22274"/>
    <cellStyle name="Normal 41 3 4 2 4" xfId="13977"/>
    <cellStyle name="Normal 41 3 4 3" xfId="7745"/>
    <cellStyle name="Normal 41 3 4 3 2" xfId="24342"/>
    <cellStyle name="Normal 41 3 4 3 3" xfId="16045"/>
    <cellStyle name="Normal 41 3 4 4" xfId="20202"/>
    <cellStyle name="Normal 41 3 4 5" xfId="11905"/>
    <cellStyle name="Normal 41 3 5" xfId="4613"/>
    <cellStyle name="Normal 41 3 5 2" xfId="8781"/>
    <cellStyle name="Normal 41 3 5 2 2" xfId="25378"/>
    <cellStyle name="Normal 41 3 5 2 3" xfId="17081"/>
    <cellStyle name="Normal 41 3 5 3" xfId="21238"/>
    <cellStyle name="Normal 41 3 5 4" xfId="12941"/>
    <cellStyle name="Normal 41 3 6" xfId="6704"/>
    <cellStyle name="Normal 41 3 6 2" xfId="23308"/>
    <cellStyle name="Normal 41 3 6 3" xfId="15011"/>
    <cellStyle name="Normal 41 3 7" xfId="19165"/>
    <cellStyle name="Normal 41 3 8" xfId="10868"/>
    <cellStyle name="Normal 41 4" xfId="1673"/>
    <cellStyle name="Normal 41 4 2" xfId="3007"/>
    <cellStyle name="Normal 41 4 2 2" xfId="4053"/>
    <cellStyle name="Normal 41 4 2 2 2" xfId="6178"/>
    <cellStyle name="Normal 41 4 2 2 2 2" xfId="10334"/>
    <cellStyle name="Normal 41 4 2 2 2 2 2" xfId="26931"/>
    <cellStyle name="Normal 41 4 2 2 2 2 3" xfId="18634"/>
    <cellStyle name="Normal 41 4 2 2 2 3" xfId="22791"/>
    <cellStyle name="Normal 41 4 2 2 2 4" xfId="14494"/>
    <cellStyle name="Normal 41 4 2 2 3" xfId="8262"/>
    <cellStyle name="Normal 41 4 2 2 3 2" xfId="24859"/>
    <cellStyle name="Normal 41 4 2 2 3 3" xfId="16562"/>
    <cellStyle name="Normal 41 4 2 2 4" xfId="20719"/>
    <cellStyle name="Normal 41 4 2 2 5" xfId="12422"/>
    <cellStyle name="Normal 41 4 2 3" xfId="5144"/>
    <cellStyle name="Normal 41 4 2 3 2" xfId="9300"/>
    <cellStyle name="Normal 41 4 2 3 2 2" xfId="25897"/>
    <cellStyle name="Normal 41 4 2 3 2 3" xfId="17600"/>
    <cellStyle name="Normal 41 4 2 3 3" xfId="21757"/>
    <cellStyle name="Normal 41 4 2 3 4" xfId="13460"/>
    <cellStyle name="Normal 41 4 2 4" xfId="7228"/>
    <cellStyle name="Normal 41 4 2 4 2" xfId="23825"/>
    <cellStyle name="Normal 41 4 2 4 3" xfId="15528"/>
    <cellStyle name="Normal 41 4 2 5" xfId="19685"/>
    <cellStyle name="Normal 41 4 2 6" xfId="11388"/>
    <cellStyle name="Normal 41 4 3" xfId="3535"/>
    <cellStyle name="Normal 41 4 3 2" xfId="5663"/>
    <cellStyle name="Normal 41 4 3 2 2" xfId="9819"/>
    <cellStyle name="Normal 41 4 3 2 2 2" xfId="26416"/>
    <cellStyle name="Normal 41 4 3 2 2 3" xfId="18119"/>
    <cellStyle name="Normal 41 4 3 2 3" xfId="22276"/>
    <cellStyle name="Normal 41 4 3 2 4" xfId="13979"/>
    <cellStyle name="Normal 41 4 3 3" xfId="7747"/>
    <cellStyle name="Normal 41 4 3 3 2" xfId="24344"/>
    <cellStyle name="Normal 41 4 3 3 3" xfId="16047"/>
    <cellStyle name="Normal 41 4 3 4" xfId="20204"/>
    <cellStyle name="Normal 41 4 3 5" xfId="11907"/>
    <cellStyle name="Normal 41 4 4" xfId="4615"/>
    <cellStyle name="Normal 41 4 4 2" xfId="8783"/>
    <cellStyle name="Normal 41 4 4 2 2" xfId="25380"/>
    <cellStyle name="Normal 41 4 4 2 3" xfId="17083"/>
    <cellStyle name="Normal 41 4 4 3" xfId="21240"/>
    <cellStyle name="Normal 41 4 4 4" xfId="12943"/>
    <cellStyle name="Normal 41 4 5" xfId="6706"/>
    <cellStyle name="Normal 41 4 5 2" xfId="23310"/>
    <cellStyle name="Normal 41 4 5 3" xfId="15013"/>
    <cellStyle name="Normal 41 4 6" xfId="19167"/>
    <cellStyle name="Normal 41 4 7" xfId="10870"/>
    <cellStyle name="Normal 41 5" xfId="3002"/>
    <cellStyle name="Normal 41 5 2" xfId="4048"/>
    <cellStyle name="Normal 41 5 2 2" xfId="6173"/>
    <cellStyle name="Normal 41 5 2 2 2" xfId="10329"/>
    <cellStyle name="Normal 41 5 2 2 2 2" xfId="26926"/>
    <cellStyle name="Normal 41 5 2 2 2 3" xfId="18629"/>
    <cellStyle name="Normal 41 5 2 2 3" xfId="22786"/>
    <cellStyle name="Normal 41 5 2 2 4" xfId="14489"/>
    <cellStyle name="Normal 41 5 2 3" xfId="8257"/>
    <cellStyle name="Normal 41 5 2 3 2" xfId="24854"/>
    <cellStyle name="Normal 41 5 2 3 3" xfId="16557"/>
    <cellStyle name="Normal 41 5 2 4" xfId="20714"/>
    <cellStyle name="Normal 41 5 2 5" xfId="12417"/>
    <cellStyle name="Normal 41 5 3" xfId="5139"/>
    <cellStyle name="Normal 41 5 3 2" xfId="9295"/>
    <cellStyle name="Normal 41 5 3 2 2" xfId="25892"/>
    <cellStyle name="Normal 41 5 3 2 3" xfId="17595"/>
    <cellStyle name="Normal 41 5 3 3" xfId="21752"/>
    <cellStyle name="Normal 41 5 3 4" xfId="13455"/>
    <cellStyle name="Normal 41 5 4" xfId="7223"/>
    <cellStyle name="Normal 41 5 4 2" xfId="23820"/>
    <cellStyle name="Normal 41 5 4 3" xfId="15523"/>
    <cellStyle name="Normal 41 5 5" xfId="19680"/>
    <cellStyle name="Normal 41 5 6" xfId="11383"/>
    <cellStyle name="Normal 41 6" xfId="3530"/>
    <cellStyle name="Normal 41 6 2" xfId="5658"/>
    <cellStyle name="Normal 41 6 2 2" xfId="9814"/>
    <cellStyle name="Normal 41 6 2 2 2" xfId="26411"/>
    <cellStyle name="Normal 41 6 2 2 3" xfId="18114"/>
    <cellStyle name="Normal 41 6 2 3" xfId="22271"/>
    <cellStyle name="Normal 41 6 2 4" xfId="13974"/>
    <cellStyle name="Normal 41 6 3" xfId="7742"/>
    <cellStyle name="Normal 41 6 3 2" xfId="24339"/>
    <cellStyle name="Normal 41 6 3 3" xfId="16042"/>
    <cellStyle name="Normal 41 6 4" xfId="20199"/>
    <cellStyle name="Normal 41 6 5" xfId="11902"/>
    <cellStyle name="Normal 41 7" xfId="4610"/>
    <cellStyle name="Normal 41 7 2" xfId="8778"/>
    <cellStyle name="Normal 41 7 2 2" xfId="25375"/>
    <cellStyle name="Normal 41 7 2 3" xfId="17078"/>
    <cellStyle name="Normal 41 7 3" xfId="21235"/>
    <cellStyle name="Normal 41 7 4" xfId="12938"/>
    <cellStyle name="Normal 41 8" xfId="6701"/>
    <cellStyle name="Normal 41 8 2" xfId="23305"/>
    <cellStyle name="Normal 41 8 3" xfId="15008"/>
    <cellStyle name="Normal 41 9" xfId="19162"/>
    <cellStyle name="Normal 42" xfId="1674"/>
    <cellStyle name="Normal 42 10" xfId="10871"/>
    <cellStyle name="Normal 42 2" xfId="1675"/>
    <cellStyle name="Normal 42 2 2" xfId="1676"/>
    <cellStyle name="Normal 42 2 2 2" xfId="3010"/>
    <cellStyle name="Normal 42 2 2 2 2" xfId="4056"/>
    <cellStyle name="Normal 42 2 2 2 2 2" xfId="6181"/>
    <cellStyle name="Normal 42 2 2 2 2 2 2" xfId="10337"/>
    <cellStyle name="Normal 42 2 2 2 2 2 2 2" xfId="26934"/>
    <cellStyle name="Normal 42 2 2 2 2 2 2 3" xfId="18637"/>
    <cellStyle name="Normal 42 2 2 2 2 2 3" xfId="22794"/>
    <cellStyle name="Normal 42 2 2 2 2 2 4" xfId="14497"/>
    <cellStyle name="Normal 42 2 2 2 2 3" xfId="8265"/>
    <cellStyle name="Normal 42 2 2 2 2 3 2" xfId="24862"/>
    <cellStyle name="Normal 42 2 2 2 2 3 3" xfId="16565"/>
    <cellStyle name="Normal 42 2 2 2 2 4" xfId="20722"/>
    <cellStyle name="Normal 42 2 2 2 2 5" xfId="12425"/>
    <cellStyle name="Normal 42 2 2 2 3" xfId="5147"/>
    <cellStyle name="Normal 42 2 2 2 3 2" xfId="9303"/>
    <cellStyle name="Normal 42 2 2 2 3 2 2" xfId="25900"/>
    <cellStyle name="Normal 42 2 2 2 3 2 3" xfId="17603"/>
    <cellStyle name="Normal 42 2 2 2 3 3" xfId="21760"/>
    <cellStyle name="Normal 42 2 2 2 3 4" xfId="13463"/>
    <cellStyle name="Normal 42 2 2 2 4" xfId="7231"/>
    <cellStyle name="Normal 42 2 2 2 4 2" xfId="23828"/>
    <cellStyle name="Normal 42 2 2 2 4 3" xfId="15531"/>
    <cellStyle name="Normal 42 2 2 2 5" xfId="19688"/>
    <cellStyle name="Normal 42 2 2 2 6" xfId="11391"/>
    <cellStyle name="Normal 42 2 2 3" xfId="3538"/>
    <cellStyle name="Normal 42 2 2 3 2" xfId="5666"/>
    <cellStyle name="Normal 42 2 2 3 2 2" xfId="9822"/>
    <cellStyle name="Normal 42 2 2 3 2 2 2" xfId="26419"/>
    <cellStyle name="Normal 42 2 2 3 2 2 3" xfId="18122"/>
    <cellStyle name="Normal 42 2 2 3 2 3" xfId="22279"/>
    <cellStyle name="Normal 42 2 2 3 2 4" xfId="13982"/>
    <cellStyle name="Normal 42 2 2 3 3" xfId="7750"/>
    <cellStyle name="Normal 42 2 2 3 3 2" xfId="24347"/>
    <cellStyle name="Normal 42 2 2 3 3 3" xfId="16050"/>
    <cellStyle name="Normal 42 2 2 3 4" xfId="20207"/>
    <cellStyle name="Normal 42 2 2 3 5" xfId="11910"/>
    <cellStyle name="Normal 42 2 2 4" xfId="4618"/>
    <cellStyle name="Normal 42 2 2 4 2" xfId="8786"/>
    <cellStyle name="Normal 42 2 2 4 2 2" xfId="25383"/>
    <cellStyle name="Normal 42 2 2 4 2 3" xfId="17086"/>
    <cellStyle name="Normal 42 2 2 4 3" xfId="21243"/>
    <cellStyle name="Normal 42 2 2 4 4" xfId="12946"/>
    <cellStyle name="Normal 42 2 2 5" xfId="6709"/>
    <cellStyle name="Normal 42 2 2 5 2" xfId="23313"/>
    <cellStyle name="Normal 42 2 2 5 3" xfId="15016"/>
    <cellStyle name="Normal 42 2 2 6" xfId="19170"/>
    <cellStyle name="Normal 42 2 2 7" xfId="10873"/>
    <cellStyle name="Normal 42 2 3" xfId="3009"/>
    <cellStyle name="Normal 42 2 3 2" xfId="4055"/>
    <cellStyle name="Normal 42 2 3 2 2" xfId="6180"/>
    <cellStyle name="Normal 42 2 3 2 2 2" xfId="10336"/>
    <cellStyle name="Normal 42 2 3 2 2 2 2" xfId="26933"/>
    <cellStyle name="Normal 42 2 3 2 2 2 3" xfId="18636"/>
    <cellStyle name="Normal 42 2 3 2 2 3" xfId="22793"/>
    <cellStyle name="Normal 42 2 3 2 2 4" xfId="14496"/>
    <cellStyle name="Normal 42 2 3 2 3" xfId="8264"/>
    <cellStyle name="Normal 42 2 3 2 3 2" xfId="24861"/>
    <cellStyle name="Normal 42 2 3 2 3 3" xfId="16564"/>
    <cellStyle name="Normal 42 2 3 2 4" xfId="20721"/>
    <cellStyle name="Normal 42 2 3 2 5" xfId="12424"/>
    <cellStyle name="Normal 42 2 3 3" xfId="5146"/>
    <cellStyle name="Normal 42 2 3 3 2" xfId="9302"/>
    <cellStyle name="Normal 42 2 3 3 2 2" xfId="25899"/>
    <cellStyle name="Normal 42 2 3 3 2 3" xfId="17602"/>
    <cellStyle name="Normal 42 2 3 3 3" xfId="21759"/>
    <cellStyle name="Normal 42 2 3 3 4" xfId="13462"/>
    <cellStyle name="Normal 42 2 3 4" xfId="7230"/>
    <cellStyle name="Normal 42 2 3 4 2" xfId="23827"/>
    <cellStyle name="Normal 42 2 3 4 3" xfId="15530"/>
    <cellStyle name="Normal 42 2 3 5" xfId="19687"/>
    <cellStyle name="Normal 42 2 3 6" xfId="11390"/>
    <cellStyle name="Normal 42 2 4" xfId="3537"/>
    <cellStyle name="Normal 42 2 4 2" xfId="5665"/>
    <cellStyle name="Normal 42 2 4 2 2" xfId="9821"/>
    <cellStyle name="Normal 42 2 4 2 2 2" xfId="26418"/>
    <cellStyle name="Normal 42 2 4 2 2 3" xfId="18121"/>
    <cellStyle name="Normal 42 2 4 2 3" xfId="22278"/>
    <cellStyle name="Normal 42 2 4 2 4" xfId="13981"/>
    <cellStyle name="Normal 42 2 4 3" xfId="7749"/>
    <cellStyle name="Normal 42 2 4 3 2" xfId="24346"/>
    <cellStyle name="Normal 42 2 4 3 3" xfId="16049"/>
    <cellStyle name="Normal 42 2 4 4" xfId="20206"/>
    <cellStyle name="Normal 42 2 4 5" xfId="11909"/>
    <cellStyle name="Normal 42 2 5" xfId="4617"/>
    <cellStyle name="Normal 42 2 5 2" xfId="8785"/>
    <cellStyle name="Normal 42 2 5 2 2" xfId="25382"/>
    <cellStyle name="Normal 42 2 5 2 3" xfId="17085"/>
    <cellStyle name="Normal 42 2 5 3" xfId="21242"/>
    <cellStyle name="Normal 42 2 5 4" xfId="12945"/>
    <cellStyle name="Normal 42 2 6" xfId="6708"/>
    <cellStyle name="Normal 42 2 6 2" xfId="23312"/>
    <cellStyle name="Normal 42 2 6 3" xfId="15015"/>
    <cellStyle name="Normal 42 2 7" xfId="19169"/>
    <cellStyle name="Normal 42 2 8" xfId="10872"/>
    <cellStyle name="Normal 42 3" xfId="1677"/>
    <cellStyle name="Normal 42 3 2" xfId="1678"/>
    <cellStyle name="Normal 42 3 2 2" xfId="3012"/>
    <cellStyle name="Normal 42 3 2 2 2" xfId="4058"/>
    <cellStyle name="Normal 42 3 2 2 2 2" xfId="6183"/>
    <cellStyle name="Normal 42 3 2 2 2 2 2" xfId="10339"/>
    <cellStyle name="Normal 42 3 2 2 2 2 2 2" xfId="26936"/>
    <cellStyle name="Normal 42 3 2 2 2 2 2 3" xfId="18639"/>
    <cellStyle name="Normal 42 3 2 2 2 2 3" xfId="22796"/>
    <cellStyle name="Normal 42 3 2 2 2 2 4" xfId="14499"/>
    <cellStyle name="Normal 42 3 2 2 2 3" xfId="8267"/>
    <cellStyle name="Normal 42 3 2 2 2 3 2" xfId="24864"/>
    <cellStyle name="Normal 42 3 2 2 2 3 3" xfId="16567"/>
    <cellStyle name="Normal 42 3 2 2 2 4" xfId="20724"/>
    <cellStyle name="Normal 42 3 2 2 2 5" xfId="12427"/>
    <cellStyle name="Normal 42 3 2 2 3" xfId="5149"/>
    <cellStyle name="Normal 42 3 2 2 3 2" xfId="9305"/>
    <cellStyle name="Normal 42 3 2 2 3 2 2" xfId="25902"/>
    <cellStyle name="Normal 42 3 2 2 3 2 3" xfId="17605"/>
    <cellStyle name="Normal 42 3 2 2 3 3" xfId="21762"/>
    <cellStyle name="Normal 42 3 2 2 3 4" xfId="13465"/>
    <cellStyle name="Normal 42 3 2 2 4" xfId="7233"/>
    <cellStyle name="Normal 42 3 2 2 4 2" xfId="23830"/>
    <cellStyle name="Normal 42 3 2 2 4 3" xfId="15533"/>
    <cellStyle name="Normal 42 3 2 2 5" xfId="19690"/>
    <cellStyle name="Normal 42 3 2 2 6" xfId="11393"/>
    <cellStyle name="Normal 42 3 2 3" xfId="3540"/>
    <cellStyle name="Normal 42 3 2 3 2" xfId="5668"/>
    <cellStyle name="Normal 42 3 2 3 2 2" xfId="9824"/>
    <cellStyle name="Normal 42 3 2 3 2 2 2" xfId="26421"/>
    <cellStyle name="Normal 42 3 2 3 2 2 3" xfId="18124"/>
    <cellStyle name="Normal 42 3 2 3 2 3" xfId="22281"/>
    <cellStyle name="Normal 42 3 2 3 2 4" xfId="13984"/>
    <cellStyle name="Normal 42 3 2 3 3" xfId="7752"/>
    <cellStyle name="Normal 42 3 2 3 3 2" xfId="24349"/>
    <cellStyle name="Normal 42 3 2 3 3 3" xfId="16052"/>
    <cellStyle name="Normal 42 3 2 3 4" xfId="20209"/>
    <cellStyle name="Normal 42 3 2 3 5" xfId="11912"/>
    <cellStyle name="Normal 42 3 2 4" xfId="4620"/>
    <cellStyle name="Normal 42 3 2 4 2" xfId="8788"/>
    <cellStyle name="Normal 42 3 2 4 2 2" xfId="25385"/>
    <cellStyle name="Normal 42 3 2 4 2 3" xfId="17088"/>
    <cellStyle name="Normal 42 3 2 4 3" xfId="21245"/>
    <cellStyle name="Normal 42 3 2 4 4" xfId="12948"/>
    <cellStyle name="Normal 42 3 2 5" xfId="6711"/>
    <cellStyle name="Normal 42 3 2 5 2" xfId="23315"/>
    <cellStyle name="Normal 42 3 2 5 3" xfId="15018"/>
    <cellStyle name="Normal 42 3 2 6" xfId="19172"/>
    <cellStyle name="Normal 42 3 2 7" xfId="10875"/>
    <cellStyle name="Normal 42 3 3" xfId="3011"/>
    <cellStyle name="Normal 42 3 3 2" xfId="4057"/>
    <cellStyle name="Normal 42 3 3 2 2" xfId="6182"/>
    <cellStyle name="Normal 42 3 3 2 2 2" xfId="10338"/>
    <cellStyle name="Normal 42 3 3 2 2 2 2" xfId="26935"/>
    <cellStyle name="Normal 42 3 3 2 2 2 3" xfId="18638"/>
    <cellStyle name="Normal 42 3 3 2 2 3" xfId="22795"/>
    <cellStyle name="Normal 42 3 3 2 2 4" xfId="14498"/>
    <cellStyle name="Normal 42 3 3 2 3" xfId="8266"/>
    <cellStyle name="Normal 42 3 3 2 3 2" xfId="24863"/>
    <cellStyle name="Normal 42 3 3 2 3 3" xfId="16566"/>
    <cellStyle name="Normal 42 3 3 2 4" xfId="20723"/>
    <cellStyle name="Normal 42 3 3 2 5" xfId="12426"/>
    <cellStyle name="Normal 42 3 3 3" xfId="5148"/>
    <cellStyle name="Normal 42 3 3 3 2" xfId="9304"/>
    <cellStyle name="Normal 42 3 3 3 2 2" xfId="25901"/>
    <cellStyle name="Normal 42 3 3 3 2 3" xfId="17604"/>
    <cellStyle name="Normal 42 3 3 3 3" xfId="21761"/>
    <cellStyle name="Normal 42 3 3 3 4" xfId="13464"/>
    <cellStyle name="Normal 42 3 3 4" xfId="7232"/>
    <cellStyle name="Normal 42 3 3 4 2" xfId="23829"/>
    <cellStyle name="Normal 42 3 3 4 3" xfId="15532"/>
    <cellStyle name="Normal 42 3 3 5" xfId="19689"/>
    <cellStyle name="Normal 42 3 3 6" xfId="11392"/>
    <cellStyle name="Normal 42 3 4" xfId="3539"/>
    <cellStyle name="Normal 42 3 4 2" xfId="5667"/>
    <cellStyle name="Normal 42 3 4 2 2" xfId="9823"/>
    <cellStyle name="Normal 42 3 4 2 2 2" xfId="26420"/>
    <cellStyle name="Normal 42 3 4 2 2 3" xfId="18123"/>
    <cellStyle name="Normal 42 3 4 2 3" xfId="22280"/>
    <cellStyle name="Normal 42 3 4 2 4" xfId="13983"/>
    <cellStyle name="Normal 42 3 4 3" xfId="7751"/>
    <cellStyle name="Normal 42 3 4 3 2" xfId="24348"/>
    <cellStyle name="Normal 42 3 4 3 3" xfId="16051"/>
    <cellStyle name="Normal 42 3 4 4" xfId="20208"/>
    <cellStyle name="Normal 42 3 4 5" xfId="11911"/>
    <cellStyle name="Normal 42 3 5" xfId="4619"/>
    <cellStyle name="Normal 42 3 5 2" xfId="8787"/>
    <cellStyle name="Normal 42 3 5 2 2" xfId="25384"/>
    <cellStyle name="Normal 42 3 5 2 3" xfId="17087"/>
    <cellStyle name="Normal 42 3 5 3" xfId="21244"/>
    <cellStyle name="Normal 42 3 5 4" xfId="12947"/>
    <cellStyle name="Normal 42 3 6" xfId="6710"/>
    <cellStyle name="Normal 42 3 6 2" xfId="23314"/>
    <cellStyle name="Normal 42 3 6 3" xfId="15017"/>
    <cellStyle name="Normal 42 3 7" xfId="19171"/>
    <cellStyle name="Normal 42 3 8" xfId="10874"/>
    <cellStyle name="Normal 42 4" xfId="1679"/>
    <cellStyle name="Normal 42 4 2" xfId="3013"/>
    <cellStyle name="Normal 42 4 2 2" xfId="4059"/>
    <cellStyle name="Normal 42 4 2 2 2" xfId="6184"/>
    <cellStyle name="Normal 42 4 2 2 2 2" xfId="10340"/>
    <cellStyle name="Normal 42 4 2 2 2 2 2" xfId="26937"/>
    <cellStyle name="Normal 42 4 2 2 2 2 3" xfId="18640"/>
    <cellStyle name="Normal 42 4 2 2 2 3" xfId="22797"/>
    <cellStyle name="Normal 42 4 2 2 2 4" xfId="14500"/>
    <cellStyle name="Normal 42 4 2 2 3" xfId="8268"/>
    <cellStyle name="Normal 42 4 2 2 3 2" xfId="24865"/>
    <cellStyle name="Normal 42 4 2 2 3 3" xfId="16568"/>
    <cellStyle name="Normal 42 4 2 2 4" xfId="20725"/>
    <cellStyle name="Normal 42 4 2 2 5" xfId="12428"/>
    <cellStyle name="Normal 42 4 2 3" xfId="5150"/>
    <cellStyle name="Normal 42 4 2 3 2" xfId="9306"/>
    <cellStyle name="Normal 42 4 2 3 2 2" xfId="25903"/>
    <cellStyle name="Normal 42 4 2 3 2 3" xfId="17606"/>
    <cellStyle name="Normal 42 4 2 3 3" xfId="21763"/>
    <cellStyle name="Normal 42 4 2 3 4" xfId="13466"/>
    <cellStyle name="Normal 42 4 2 4" xfId="7234"/>
    <cellStyle name="Normal 42 4 2 4 2" xfId="23831"/>
    <cellStyle name="Normal 42 4 2 4 3" xfId="15534"/>
    <cellStyle name="Normal 42 4 2 5" xfId="19691"/>
    <cellStyle name="Normal 42 4 2 6" xfId="11394"/>
    <cellStyle name="Normal 42 4 3" xfId="3541"/>
    <cellStyle name="Normal 42 4 3 2" xfId="5669"/>
    <cellStyle name="Normal 42 4 3 2 2" xfId="9825"/>
    <cellStyle name="Normal 42 4 3 2 2 2" xfId="26422"/>
    <cellStyle name="Normal 42 4 3 2 2 3" xfId="18125"/>
    <cellStyle name="Normal 42 4 3 2 3" xfId="22282"/>
    <cellStyle name="Normal 42 4 3 2 4" xfId="13985"/>
    <cellStyle name="Normal 42 4 3 3" xfId="7753"/>
    <cellStyle name="Normal 42 4 3 3 2" xfId="24350"/>
    <cellStyle name="Normal 42 4 3 3 3" xfId="16053"/>
    <cellStyle name="Normal 42 4 3 4" xfId="20210"/>
    <cellStyle name="Normal 42 4 3 5" xfId="11913"/>
    <cellStyle name="Normal 42 4 4" xfId="4621"/>
    <cellStyle name="Normal 42 4 4 2" xfId="8789"/>
    <cellStyle name="Normal 42 4 4 2 2" xfId="25386"/>
    <cellStyle name="Normal 42 4 4 2 3" xfId="17089"/>
    <cellStyle name="Normal 42 4 4 3" xfId="21246"/>
    <cellStyle name="Normal 42 4 4 4" xfId="12949"/>
    <cellStyle name="Normal 42 4 5" xfId="6712"/>
    <cellStyle name="Normal 42 4 5 2" xfId="23316"/>
    <cellStyle name="Normal 42 4 5 3" xfId="15019"/>
    <cellStyle name="Normal 42 4 6" xfId="19173"/>
    <cellStyle name="Normal 42 4 7" xfId="10876"/>
    <cellStyle name="Normal 42 5" xfId="3008"/>
    <cellStyle name="Normal 42 5 2" xfId="4054"/>
    <cellStyle name="Normal 42 5 2 2" xfId="6179"/>
    <cellStyle name="Normal 42 5 2 2 2" xfId="10335"/>
    <cellStyle name="Normal 42 5 2 2 2 2" xfId="26932"/>
    <cellStyle name="Normal 42 5 2 2 2 3" xfId="18635"/>
    <cellStyle name="Normal 42 5 2 2 3" xfId="22792"/>
    <cellStyle name="Normal 42 5 2 2 4" xfId="14495"/>
    <cellStyle name="Normal 42 5 2 3" xfId="8263"/>
    <cellStyle name="Normal 42 5 2 3 2" xfId="24860"/>
    <cellStyle name="Normal 42 5 2 3 3" xfId="16563"/>
    <cellStyle name="Normal 42 5 2 4" xfId="20720"/>
    <cellStyle name="Normal 42 5 2 5" xfId="12423"/>
    <cellStyle name="Normal 42 5 3" xfId="5145"/>
    <cellStyle name="Normal 42 5 3 2" xfId="9301"/>
    <cellStyle name="Normal 42 5 3 2 2" xfId="25898"/>
    <cellStyle name="Normal 42 5 3 2 3" xfId="17601"/>
    <cellStyle name="Normal 42 5 3 3" xfId="21758"/>
    <cellStyle name="Normal 42 5 3 4" xfId="13461"/>
    <cellStyle name="Normal 42 5 4" xfId="7229"/>
    <cellStyle name="Normal 42 5 4 2" xfId="23826"/>
    <cellStyle name="Normal 42 5 4 3" xfId="15529"/>
    <cellStyle name="Normal 42 5 5" xfId="19686"/>
    <cellStyle name="Normal 42 5 6" xfId="11389"/>
    <cellStyle name="Normal 42 6" xfId="3536"/>
    <cellStyle name="Normal 42 6 2" xfId="5664"/>
    <cellStyle name="Normal 42 6 2 2" xfId="9820"/>
    <cellStyle name="Normal 42 6 2 2 2" xfId="26417"/>
    <cellStyle name="Normal 42 6 2 2 3" xfId="18120"/>
    <cellStyle name="Normal 42 6 2 3" xfId="22277"/>
    <cellStyle name="Normal 42 6 2 4" xfId="13980"/>
    <cellStyle name="Normal 42 6 3" xfId="7748"/>
    <cellStyle name="Normal 42 6 3 2" xfId="24345"/>
    <cellStyle name="Normal 42 6 3 3" xfId="16048"/>
    <cellStyle name="Normal 42 6 4" xfId="20205"/>
    <cellStyle name="Normal 42 6 5" xfId="11908"/>
    <cellStyle name="Normal 42 7" xfId="4616"/>
    <cellStyle name="Normal 42 7 2" xfId="8784"/>
    <cellStyle name="Normal 42 7 2 2" xfId="25381"/>
    <cellStyle name="Normal 42 7 2 3" xfId="17084"/>
    <cellStyle name="Normal 42 7 3" xfId="21241"/>
    <cellStyle name="Normal 42 7 4" xfId="12944"/>
    <cellStyle name="Normal 42 8" xfId="6707"/>
    <cellStyle name="Normal 42 8 2" xfId="23311"/>
    <cellStyle name="Normal 42 8 3" xfId="15014"/>
    <cellStyle name="Normal 42 9" xfId="19168"/>
    <cellStyle name="Normal 43" xfId="1680"/>
    <cellStyle name="Normal 43 10" xfId="10877"/>
    <cellStyle name="Normal 43 2" xfId="1681"/>
    <cellStyle name="Normal 43 2 2" xfId="1682"/>
    <cellStyle name="Normal 43 2 2 2" xfId="3016"/>
    <cellStyle name="Normal 43 2 2 2 2" xfId="4062"/>
    <cellStyle name="Normal 43 2 2 2 2 2" xfId="6187"/>
    <cellStyle name="Normal 43 2 2 2 2 2 2" xfId="10343"/>
    <cellStyle name="Normal 43 2 2 2 2 2 2 2" xfId="26940"/>
    <cellStyle name="Normal 43 2 2 2 2 2 2 3" xfId="18643"/>
    <cellStyle name="Normal 43 2 2 2 2 2 3" xfId="22800"/>
    <cellStyle name="Normal 43 2 2 2 2 2 4" xfId="14503"/>
    <cellStyle name="Normal 43 2 2 2 2 3" xfId="8271"/>
    <cellStyle name="Normal 43 2 2 2 2 3 2" xfId="24868"/>
    <cellStyle name="Normal 43 2 2 2 2 3 3" xfId="16571"/>
    <cellStyle name="Normal 43 2 2 2 2 4" xfId="20728"/>
    <cellStyle name="Normal 43 2 2 2 2 5" xfId="12431"/>
    <cellStyle name="Normal 43 2 2 2 3" xfId="5153"/>
    <cellStyle name="Normal 43 2 2 2 3 2" xfId="9309"/>
    <cellStyle name="Normal 43 2 2 2 3 2 2" xfId="25906"/>
    <cellStyle name="Normal 43 2 2 2 3 2 3" xfId="17609"/>
    <cellStyle name="Normal 43 2 2 2 3 3" xfId="21766"/>
    <cellStyle name="Normal 43 2 2 2 3 4" xfId="13469"/>
    <cellStyle name="Normal 43 2 2 2 4" xfId="7237"/>
    <cellStyle name="Normal 43 2 2 2 4 2" xfId="23834"/>
    <cellStyle name="Normal 43 2 2 2 4 3" xfId="15537"/>
    <cellStyle name="Normal 43 2 2 2 5" xfId="19694"/>
    <cellStyle name="Normal 43 2 2 2 6" xfId="11397"/>
    <cellStyle name="Normal 43 2 2 3" xfId="3544"/>
    <cellStyle name="Normal 43 2 2 3 2" xfId="5672"/>
    <cellStyle name="Normal 43 2 2 3 2 2" xfId="9828"/>
    <cellStyle name="Normal 43 2 2 3 2 2 2" xfId="26425"/>
    <cellStyle name="Normal 43 2 2 3 2 2 3" xfId="18128"/>
    <cellStyle name="Normal 43 2 2 3 2 3" xfId="22285"/>
    <cellStyle name="Normal 43 2 2 3 2 4" xfId="13988"/>
    <cellStyle name="Normal 43 2 2 3 3" xfId="7756"/>
    <cellStyle name="Normal 43 2 2 3 3 2" xfId="24353"/>
    <cellStyle name="Normal 43 2 2 3 3 3" xfId="16056"/>
    <cellStyle name="Normal 43 2 2 3 4" xfId="20213"/>
    <cellStyle name="Normal 43 2 2 3 5" xfId="11916"/>
    <cellStyle name="Normal 43 2 2 4" xfId="4624"/>
    <cellStyle name="Normal 43 2 2 4 2" xfId="8792"/>
    <cellStyle name="Normal 43 2 2 4 2 2" xfId="25389"/>
    <cellStyle name="Normal 43 2 2 4 2 3" xfId="17092"/>
    <cellStyle name="Normal 43 2 2 4 3" xfId="21249"/>
    <cellStyle name="Normal 43 2 2 4 4" xfId="12952"/>
    <cellStyle name="Normal 43 2 2 5" xfId="6715"/>
    <cellStyle name="Normal 43 2 2 5 2" xfId="23319"/>
    <cellStyle name="Normal 43 2 2 5 3" xfId="15022"/>
    <cellStyle name="Normal 43 2 2 6" xfId="19176"/>
    <cellStyle name="Normal 43 2 2 7" xfId="10879"/>
    <cellStyle name="Normal 43 2 3" xfId="3015"/>
    <cellStyle name="Normal 43 2 3 2" xfId="4061"/>
    <cellStyle name="Normal 43 2 3 2 2" xfId="6186"/>
    <cellStyle name="Normal 43 2 3 2 2 2" xfId="10342"/>
    <cellStyle name="Normal 43 2 3 2 2 2 2" xfId="26939"/>
    <cellStyle name="Normal 43 2 3 2 2 2 3" xfId="18642"/>
    <cellStyle name="Normal 43 2 3 2 2 3" xfId="22799"/>
    <cellStyle name="Normal 43 2 3 2 2 4" xfId="14502"/>
    <cellStyle name="Normal 43 2 3 2 3" xfId="8270"/>
    <cellStyle name="Normal 43 2 3 2 3 2" xfId="24867"/>
    <cellStyle name="Normal 43 2 3 2 3 3" xfId="16570"/>
    <cellStyle name="Normal 43 2 3 2 4" xfId="20727"/>
    <cellStyle name="Normal 43 2 3 2 5" xfId="12430"/>
    <cellStyle name="Normal 43 2 3 3" xfId="5152"/>
    <cellStyle name="Normal 43 2 3 3 2" xfId="9308"/>
    <cellStyle name="Normal 43 2 3 3 2 2" xfId="25905"/>
    <cellStyle name="Normal 43 2 3 3 2 3" xfId="17608"/>
    <cellStyle name="Normal 43 2 3 3 3" xfId="21765"/>
    <cellStyle name="Normal 43 2 3 3 4" xfId="13468"/>
    <cellStyle name="Normal 43 2 3 4" xfId="7236"/>
    <cellStyle name="Normal 43 2 3 4 2" xfId="23833"/>
    <cellStyle name="Normal 43 2 3 4 3" xfId="15536"/>
    <cellStyle name="Normal 43 2 3 5" xfId="19693"/>
    <cellStyle name="Normal 43 2 3 6" xfId="11396"/>
    <cellStyle name="Normal 43 2 4" xfId="3543"/>
    <cellStyle name="Normal 43 2 4 2" xfId="5671"/>
    <cellStyle name="Normal 43 2 4 2 2" xfId="9827"/>
    <cellStyle name="Normal 43 2 4 2 2 2" xfId="26424"/>
    <cellStyle name="Normal 43 2 4 2 2 3" xfId="18127"/>
    <cellStyle name="Normal 43 2 4 2 3" xfId="22284"/>
    <cellStyle name="Normal 43 2 4 2 4" xfId="13987"/>
    <cellStyle name="Normal 43 2 4 3" xfId="7755"/>
    <cellStyle name="Normal 43 2 4 3 2" xfId="24352"/>
    <cellStyle name="Normal 43 2 4 3 3" xfId="16055"/>
    <cellStyle name="Normal 43 2 4 4" xfId="20212"/>
    <cellStyle name="Normal 43 2 4 5" xfId="11915"/>
    <cellStyle name="Normal 43 2 5" xfId="4623"/>
    <cellStyle name="Normal 43 2 5 2" xfId="8791"/>
    <cellStyle name="Normal 43 2 5 2 2" xfId="25388"/>
    <cellStyle name="Normal 43 2 5 2 3" xfId="17091"/>
    <cellStyle name="Normal 43 2 5 3" xfId="21248"/>
    <cellStyle name="Normal 43 2 5 4" xfId="12951"/>
    <cellStyle name="Normal 43 2 6" xfId="6714"/>
    <cellStyle name="Normal 43 2 6 2" xfId="23318"/>
    <cellStyle name="Normal 43 2 6 3" xfId="15021"/>
    <cellStyle name="Normal 43 2 7" xfId="19175"/>
    <cellStyle name="Normal 43 2 8" xfId="10878"/>
    <cellStyle name="Normal 43 3" xfId="1683"/>
    <cellStyle name="Normal 43 3 2" xfId="1684"/>
    <cellStyle name="Normal 43 3 2 2" xfId="3018"/>
    <cellStyle name="Normal 43 3 2 2 2" xfId="4064"/>
    <cellStyle name="Normal 43 3 2 2 2 2" xfId="6189"/>
    <cellStyle name="Normal 43 3 2 2 2 2 2" xfId="10345"/>
    <cellStyle name="Normal 43 3 2 2 2 2 2 2" xfId="26942"/>
    <cellStyle name="Normal 43 3 2 2 2 2 2 3" xfId="18645"/>
    <cellStyle name="Normal 43 3 2 2 2 2 3" xfId="22802"/>
    <cellStyle name="Normal 43 3 2 2 2 2 4" xfId="14505"/>
    <cellStyle name="Normal 43 3 2 2 2 3" xfId="8273"/>
    <cellStyle name="Normal 43 3 2 2 2 3 2" xfId="24870"/>
    <cellStyle name="Normal 43 3 2 2 2 3 3" xfId="16573"/>
    <cellStyle name="Normal 43 3 2 2 2 4" xfId="20730"/>
    <cellStyle name="Normal 43 3 2 2 2 5" xfId="12433"/>
    <cellStyle name="Normal 43 3 2 2 3" xfId="5155"/>
    <cellStyle name="Normal 43 3 2 2 3 2" xfId="9311"/>
    <cellStyle name="Normal 43 3 2 2 3 2 2" xfId="25908"/>
    <cellStyle name="Normal 43 3 2 2 3 2 3" xfId="17611"/>
    <cellStyle name="Normal 43 3 2 2 3 3" xfId="21768"/>
    <cellStyle name="Normal 43 3 2 2 3 4" xfId="13471"/>
    <cellStyle name="Normal 43 3 2 2 4" xfId="7239"/>
    <cellStyle name="Normal 43 3 2 2 4 2" xfId="23836"/>
    <cellStyle name="Normal 43 3 2 2 4 3" xfId="15539"/>
    <cellStyle name="Normal 43 3 2 2 5" xfId="19696"/>
    <cellStyle name="Normal 43 3 2 2 6" xfId="11399"/>
    <cellStyle name="Normal 43 3 2 3" xfId="3546"/>
    <cellStyle name="Normal 43 3 2 3 2" xfId="5674"/>
    <cellStyle name="Normal 43 3 2 3 2 2" xfId="9830"/>
    <cellStyle name="Normal 43 3 2 3 2 2 2" xfId="26427"/>
    <cellStyle name="Normal 43 3 2 3 2 2 3" xfId="18130"/>
    <cellStyle name="Normal 43 3 2 3 2 3" xfId="22287"/>
    <cellStyle name="Normal 43 3 2 3 2 4" xfId="13990"/>
    <cellStyle name="Normal 43 3 2 3 3" xfId="7758"/>
    <cellStyle name="Normal 43 3 2 3 3 2" xfId="24355"/>
    <cellStyle name="Normal 43 3 2 3 3 3" xfId="16058"/>
    <cellStyle name="Normal 43 3 2 3 4" xfId="20215"/>
    <cellStyle name="Normal 43 3 2 3 5" xfId="11918"/>
    <cellStyle name="Normal 43 3 2 4" xfId="4626"/>
    <cellStyle name="Normal 43 3 2 4 2" xfId="8794"/>
    <cellStyle name="Normal 43 3 2 4 2 2" xfId="25391"/>
    <cellStyle name="Normal 43 3 2 4 2 3" xfId="17094"/>
    <cellStyle name="Normal 43 3 2 4 3" xfId="21251"/>
    <cellStyle name="Normal 43 3 2 4 4" xfId="12954"/>
    <cellStyle name="Normal 43 3 2 5" xfId="6717"/>
    <cellStyle name="Normal 43 3 2 5 2" xfId="23321"/>
    <cellStyle name="Normal 43 3 2 5 3" xfId="15024"/>
    <cellStyle name="Normal 43 3 2 6" xfId="19178"/>
    <cellStyle name="Normal 43 3 2 7" xfId="10881"/>
    <cellStyle name="Normal 43 3 3" xfId="3017"/>
    <cellStyle name="Normal 43 3 3 2" xfId="4063"/>
    <cellStyle name="Normal 43 3 3 2 2" xfId="6188"/>
    <cellStyle name="Normal 43 3 3 2 2 2" xfId="10344"/>
    <cellStyle name="Normal 43 3 3 2 2 2 2" xfId="26941"/>
    <cellStyle name="Normal 43 3 3 2 2 2 3" xfId="18644"/>
    <cellStyle name="Normal 43 3 3 2 2 3" xfId="22801"/>
    <cellStyle name="Normal 43 3 3 2 2 4" xfId="14504"/>
    <cellStyle name="Normal 43 3 3 2 3" xfId="8272"/>
    <cellStyle name="Normal 43 3 3 2 3 2" xfId="24869"/>
    <cellStyle name="Normal 43 3 3 2 3 3" xfId="16572"/>
    <cellStyle name="Normal 43 3 3 2 4" xfId="20729"/>
    <cellStyle name="Normal 43 3 3 2 5" xfId="12432"/>
    <cellStyle name="Normal 43 3 3 3" xfId="5154"/>
    <cellStyle name="Normal 43 3 3 3 2" xfId="9310"/>
    <cellStyle name="Normal 43 3 3 3 2 2" xfId="25907"/>
    <cellStyle name="Normal 43 3 3 3 2 3" xfId="17610"/>
    <cellStyle name="Normal 43 3 3 3 3" xfId="21767"/>
    <cellStyle name="Normal 43 3 3 3 4" xfId="13470"/>
    <cellStyle name="Normal 43 3 3 4" xfId="7238"/>
    <cellStyle name="Normal 43 3 3 4 2" xfId="23835"/>
    <cellStyle name="Normal 43 3 3 4 3" xfId="15538"/>
    <cellStyle name="Normal 43 3 3 5" xfId="19695"/>
    <cellStyle name="Normal 43 3 3 6" xfId="11398"/>
    <cellStyle name="Normal 43 3 4" xfId="3545"/>
    <cellStyle name="Normal 43 3 4 2" xfId="5673"/>
    <cellStyle name="Normal 43 3 4 2 2" xfId="9829"/>
    <cellStyle name="Normal 43 3 4 2 2 2" xfId="26426"/>
    <cellStyle name="Normal 43 3 4 2 2 3" xfId="18129"/>
    <cellStyle name="Normal 43 3 4 2 3" xfId="22286"/>
    <cellStyle name="Normal 43 3 4 2 4" xfId="13989"/>
    <cellStyle name="Normal 43 3 4 3" xfId="7757"/>
    <cellStyle name="Normal 43 3 4 3 2" xfId="24354"/>
    <cellStyle name="Normal 43 3 4 3 3" xfId="16057"/>
    <cellStyle name="Normal 43 3 4 4" xfId="20214"/>
    <cellStyle name="Normal 43 3 4 5" xfId="11917"/>
    <cellStyle name="Normal 43 3 5" xfId="4625"/>
    <cellStyle name="Normal 43 3 5 2" xfId="8793"/>
    <cellStyle name="Normal 43 3 5 2 2" xfId="25390"/>
    <cellStyle name="Normal 43 3 5 2 3" xfId="17093"/>
    <cellStyle name="Normal 43 3 5 3" xfId="21250"/>
    <cellStyle name="Normal 43 3 5 4" xfId="12953"/>
    <cellStyle name="Normal 43 3 6" xfId="6716"/>
    <cellStyle name="Normal 43 3 6 2" xfId="23320"/>
    <cellStyle name="Normal 43 3 6 3" xfId="15023"/>
    <cellStyle name="Normal 43 3 7" xfId="19177"/>
    <cellStyle name="Normal 43 3 8" xfId="10880"/>
    <cellStyle name="Normal 43 4" xfId="1685"/>
    <cellStyle name="Normal 43 4 2" xfId="3019"/>
    <cellStyle name="Normal 43 4 2 2" xfId="4065"/>
    <cellStyle name="Normal 43 4 2 2 2" xfId="6190"/>
    <cellStyle name="Normal 43 4 2 2 2 2" xfId="10346"/>
    <cellStyle name="Normal 43 4 2 2 2 2 2" xfId="26943"/>
    <cellStyle name="Normal 43 4 2 2 2 2 3" xfId="18646"/>
    <cellStyle name="Normal 43 4 2 2 2 3" xfId="22803"/>
    <cellStyle name="Normal 43 4 2 2 2 4" xfId="14506"/>
    <cellStyle name="Normal 43 4 2 2 3" xfId="8274"/>
    <cellStyle name="Normal 43 4 2 2 3 2" xfId="24871"/>
    <cellStyle name="Normal 43 4 2 2 3 3" xfId="16574"/>
    <cellStyle name="Normal 43 4 2 2 4" xfId="20731"/>
    <cellStyle name="Normal 43 4 2 2 5" xfId="12434"/>
    <cellStyle name="Normal 43 4 2 3" xfId="5156"/>
    <cellStyle name="Normal 43 4 2 3 2" xfId="9312"/>
    <cellStyle name="Normal 43 4 2 3 2 2" xfId="25909"/>
    <cellStyle name="Normal 43 4 2 3 2 3" xfId="17612"/>
    <cellStyle name="Normal 43 4 2 3 3" xfId="21769"/>
    <cellStyle name="Normal 43 4 2 3 4" xfId="13472"/>
    <cellStyle name="Normal 43 4 2 4" xfId="7240"/>
    <cellStyle name="Normal 43 4 2 4 2" xfId="23837"/>
    <cellStyle name="Normal 43 4 2 4 3" xfId="15540"/>
    <cellStyle name="Normal 43 4 2 5" xfId="19697"/>
    <cellStyle name="Normal 43 4 2 6" xfId="11400"/>
    <cellStyle name="Normal 43 4 3" xfId="3547"/>
    <cellStyle name="Normal 43 4 3 2" xfId="5675"/>
    <cellStyle name="Normal 43 4 3 2 2" xfId="9831"/>
    <cellStyle name="Normal 43 4 3 2 2 2" xfId="26428"/>
    <cellStyle name="Normal 43 4 3 2 2 3" xfId="18131"/>
    <cellStyle name="Normal 43 4 3 2 3" xfId="22288"/>
    <cellStyle name="Normal 43 4 3 2 4" xfId="13991"/>
    <cellStyle name="Normal 43 4 3 3" xfId="7759"/>
    <cellStyle name="Normal 43 4 3 3 2" xfId="24356"/>
    <cellStyle name="Normal 43 4 3 3 3" xfId="16059"/>
    <cellStyle name="Normal 43 4 3 4" xfId="20216"/>
    <cellStyle name="Normal 43 4 3 5" xfId="11919"/>
    <cellStyle name="Normal 43 4 4" xfId="4627"/>
    <cellStyle name="Normal 43 4 4 2" xfId="8795"/>
    <cellStyle name="Normal 43 4 4 2 2" xfId="25392"/>
    <cellStyle name="Normal 43 4 4 2 3" xfId="17095"/>
    <cellStyle name="Normal 43 4 4 3" xfId="21252"/>
    <cellStyle name="Normal 43 4 4 4" xfId="12955"/>
    <cellStyle name="Normal 43 4 5" xfId="6718"/>
    <cellStyle name="Normal 43 4 5 2" xfId="23322"/>
    <cellStyle name="Normal 43 4 5 3" xfId="15025"/>
    <cellStyle name="Normal 43 4 6" xfId="19179"/>
    <cellStyle name="Normal 43 4 7" xfId="10882"/>
    <cellStyle name="Normal 43 5" xfId="3014"/>
    <cellStyle name="Normal 43 5 2" xfId="4060"/>
    <cellStyle name="Normal 43 5 2 2" xfId="6185"/>
    <cellStyle name="Normal 43 5 2 2 2" xfId="10341"/>
    <cellStyle name="Normal 43 5 2 2 2 2" xfId="26938"/>
    <cellStyle name="Normal 43 5 2 2 2 3" xfId="18641"/>
    <cellStyle name="Normal 43 5 2 2 3" xfId="22798"/>
    <cellStyle name="Normal 43 5 2 2 4" xfId="14501"/>
    <cellStyle name="Normal 43 5 2 3" xfId="8269"/>
    <cellStyle name="Normal 43 5 2 3 2" xfId="24866"/>
    <cellStyle name="Normal 43 5 2 3 3" xfId="16569"/>
    <cellStyle name="Normal 43 5 2 4" xfId="20726"/>
    <cellStyle name="Normal 43 5 2 5" xfId="12429"/>
    <cellStyle name="Normal 43 5 3" xfId="5151"/>
    <cellStyle name="Normal 43 5 3 2" xfId="9307"/>
    <cellStyle name="Normal 43 5 3 2 2" xfId="25904"/>
    <cellStyle name="Normal 43 5 3 2 3" xfId="17607"/>
    <cellStyle name="Normal 43 5 3 3" xfId="21764"/>
    <cellStyle name="Normal 43 5 3 4" xfId="13467"/>
    <cellStyle name="Normal 43 5 4" xfId="7235"/>
    <cellStyle name="Normal 43 5 4 2" xfId="23832"/>
    <cellStyle name="Normal 43 5 4 3" xfId="15535"/>
    <cellStyle name="Normal 43 5 5" xfId="19692"/>
    <cellStyle name="Normal 43 5 6" xfId="11395"/>
    <cellStyle name="Normal 43 6" xfId="3542"/>
    <cellStyle name="Normal 43 6 2" xfId="5670"/>
    <cellStyle name="Normal 43 6 2 2" xfId="9826"/>
    <cellStyle name="Normal 43 6 2 2 2" xfId="26423"/>
    <cellStyle name="Normal 43 6 2 2 3" xfId="18126"/>
    <cellStyle name="Normal 43 6 2 3" xfId="22283"/>
    <cellStyle name="Normal 43 6 2 4" xfId="13986"/>
    <cellStyle name="Normal 43 6 3" xfId="7754"/>
    <cellStyle name="Normal 43 6 3 2" xfId="24351"/>
    <cellStyle name="Normal 43 6 3 3" xfId="16054"/>
    <cellStyle name="Normal 43 6 4" xfId="20211"/>
    <cellStyle name="Normal 43 6 5" xfId="11914"/>
    <cellStyle name="Normal 43 7" xfId="4622"/>
    <cellStyle name="Normal 43 7 2" xfId="8790"/>
    <cellStyle name="Normal 43 7 2 2" xfId="25387"/>
    <cellStyle name="Normal 43 7 2 3" xfId="17090"/>
    <cellStyle name="Normal 43 7 3" xfId="21247"/>
    <cellStyle name="Normal 43 7 4" xfId="12950"/>
    <cellStyle name="Normal 43 8" xfId="6713"/>
    <cellStyle name="Normal 43 8 2" xfId="23317"/>
    <cellStyle name="Normal 43 8 3" xfId="15020"/>
    <cellStyle name="Normal 43 9" xfId="19174"/>
    <cellStyle name="Normal 44" xfId="1686"/>
    <cellStyle name="Normal 44 10" xfId="10883"/>
    <cellStyle name="Normal 44 2" xfId="1687"/>
    <cellStyle name="Normal 44 2 2" xfId="1688"/>
    <cellStyle name="Normal 44 2 2 2" xfId="3022"/>
    <cellStyle name="Normal 44 2 2 2 2" xfId="4068"/>
    <cellStyle name="Normal 44 2 2 2 2 2" xfId="6193"/>
    <cellStyle name="Normal 44 2 2 2 2 2 2" xfId="10349"/>
    <cellStyle name="Normal 44 2 2 2 2 2 2 2" xfId="26946"/>
    <cellStyle name="Normal 44 2 2 2 2 2 2 3" xfId="18649"/>
    <cellStyle name="Normal 44 2 2 2 2 2 3" xfId="22806"/>
    <cellStyle name="Normal 44 2 2 2 2 2 4" xfId="14509"/>
    <cellStyle name="Normal 44 2 2 2 2 3" xfId="8277"/>
    <cellStyle name="Normal 44 2 2 2 2 3 2" xfId="24874"/>
    <cellStyle name="Normal 44 2 2 2 2 3 3" xfId="16577"/>
    <cellStyle name="Normal 44 2 2 2 2 4" xfId="20734"/>
    <cellStyle name="Normal 44 2 2 2 2 5" xfId="12437"/>
    <cellStyle name="Normal 44 2 2 2 3" xfId="5159"/>
    <cellStyle name="Normal 44 2 2 2 3 2" xfId="9315"/>
    <cellStyle name="Normal 44 2 2 2 3 2 2" xfId="25912"/>
    <cellStyle name="Normal 44 2 2 2 3 2 3" xfId="17615"/>
    <cellStyle name="Normal 44 2 2 2 3 3" xfId="21772"/>
    <cellStyle name="Normal 44 2 2 2 3 4" xfId="13475"/>
    <cellStyle name="Normal 44 2 2 2 4" xfId="7243"/>
    <cellStyle name="Normal 44 2 2 2 4 2" xfId="23840"/>
    <cellStyle name="Normal 44 2 2 2 4 3" xfId="15543"/>
    <cellStyle name="Normal 44 2 2 2 5" xfId="19700"/>
    <cellStyle name="Normal 44 2 2 2 6" xfId="11403"/>
    <cellStyle name="Normal 44 2 2 3" xfId="3550"/>
    <cellStyle name="Normal 44 2 2 3 2" xfId="5678"/>
    <cellStyle name="Normal 44 2 2 3 2 2" xfId="9834"/>
    <cellStyle name="Normal 44 2 2 3 2 2 2" xfId="26431"/>
    <cellStyle name="Normal 44 2 2 3 2 2 3" xfId="18134"/>
    <cellStyle name="Normal 44 2 2 3 2 3" xfId="22291"/>
    <cellStyle name="Normal 44 2 2 3 2 4" xfId="13994"/>
    <cellStyle name="Normal 44 2 2 3 3" xfId="7762"/>
    <cellStyle name="Normal 44 2 2 3 3 2" xfId="24359"/>
    <cellStyle name="Normal 44 2 2 3 3 3" xfId="16062"/>
    <cellStyle name="Normal 44 2 2 3 4" xfId="20219"/>
    <cellStyle name="Normal 44 2 2 3 5" xfId="11922"/>
    <cellStyle name="Normal 44 2 2 4" xfId="4630"/>
    <cellStyle name="Normal 44 2 2 4 2" xfId="8798"/>
    <cellStyle name="Normal 44 2 2 4 2 2" xfId="25395"/>
    <cellStyle name="Normal 44 2 2 4 2 3" xfId="17098"/>
    <cellStyle name="Normal 44 2 2 4 3" xfId="21255"/>
    <cellStyle name="Normal 44 2 2 4 4" xfId="12958"/>
    <cellStyle name="Normal 44 2 2 5" xfId="6721"/>
    <cellStyle name="Normal 44 2 2 5 2" xfId="23325"/>
    <cellStyle name="Normal 44 2 2 5 3" xfId="15028"/>
    <cellStyle name="Normal 44 2 2 6" xfId="19182"/>
    <cellStyle name="Normal 44 2 2 7" xfId="10885"/>
    <cellStyle name="Normal 44 2 3" xfId="3021"/>
    <cellStyle name="Normal 44 2 3 2" xfId="4067"/>
    <cellStyle name="Normal 44 2 3 2 2" xfId="6192"/>
    <cellStyle name="Normal 44 2 3 2 2 2" xfId="10348"/>
    <cellStyle name="Normal 44 2 3 2 2 2 2" xfId="26945"/>
    <cellStyle name="Normal 44 2 3 2 2 2 3" xfId="18648"/>
    <cellStyle name="Normal 44 2 3 2 2 3" xfId="22805"/>
    <cellStyle name="Normal 44 2 3 2 2 4" xfId="14508"/>
    <cellStyle name="Normal 44 2 3 2 3" xfId="8276"/>
    <cellStyle name="Normal 44 2 3 2 3 2" xfId="24873"/>
    <cellStyle name="Normal 44 2 3 2 3 3" xfId="16576"/>
    <cellStyle name="Normal 44 2 3 2 4" xfId="20733"/>
    <cellStyle name="Normal 44 2 3 2 5" xfId="12436"/>
    <cellStyle name="Normal 44 2 3 3" xfId="5158"/>
    <cellStyle name="Normal 44 2 3 3 2" xfId="9314"/>
    <cellStyle name="Normal 44 2 3 3 2 2" xfId="25911"/>
    <cellStyle name="Normal 44 2 3 3 2 3" xfId="17614"/>
    <cellStyle name="Normal 44 2 3 3 3" xfId="21771"/>
    <cellStyle name="Normal 44 2 3 3 4" xfId="13474"/>
    <cellStyle name="Normal 44 2 3 4" xfId="7242"/>
    <cellStyle name="Normal 44 2 3 4 2" xfId="23839"/>
    <cellStyle name="Normal 44 2 3 4 3" xfId="15542"/>
    <cellStyle name="Normal 44 2 3 5" xfId="19699"/>
    <cellStyle name="Normal 44 2 3 6" xfId="11402"/>
    <cellStyle name="Normal 44 2 4" xfId="3549"/>
    <cellStyle name="Normal 44 2 4 2" xfId="5677"/>
    <cellStyle name="Normal 44 2 4 2 2" xfId="9833"/>
    <cellStyle name="Normal 44 2 4 2 2 2" xfId="26430"/>
    <cellStyle name="Normal 44 2 4 2 2 3" xfId="18133"/>
    <cellStyle name="Normal 44 2 4 2 3" xfId="22290"/>
    <cellStyle name="Normal 44 2 4 2 4" xfId="13993"/>
    <cellStyle name="Normal 44 2 4 3" xfId="7761"/>
    <cellStyle name="Normal 44 2 4 3 2" xfId="24358"/>
    <cellStyle name="Normal 44 2 4 3 3" xfId="16061"/>
    <cellStyle name="Normal 44 2 4 4" xfId="20218"/>
    <cellStyle name="Normal 44 2 4 5" xfId="11921"/>
    <cellStyle name="Normal 44 2 5" xfId="4629"/>
    <cellStyle name="Normal 44 2 5 2" xfId="8797"/>
    <cellStyle name="Normal 44 2 5 2 2" xfId="25394"/>
    <cellStyle name="Normal 44 2 5 2 3" xfId="17097"/>
    <cellStyle name="Normal 44 2 5 3" xfId="21254"/>
    <cellStyle name="Normal 44 2 5 4" xfId="12957"/>
    <cellStyle name="Normal 44 2 6" xfId="6720"/>
    <cellStyle name="Normal 44 2 6 2" xfId="23324"/>
    <cellStyle name="Normal 44 2 6 3" xfId="15027"/>
    <cellStyle name="Normal 44 2 7" xfId="19181"/>
    <cellStyle name="Normal 44 2 8" xfId="10884"/>
    <cellStyle name="Normal 44 3" xfId="1689"/>
    <cellStyle name="Normal 44 3 2" xfId="1690"/>
    <cellStyle name="Normal 44 3 2 2" xfId="3024"/>
    <cellStyle name="Normal 44 3 2 2 2" xfId="4070"/>
    <cellStyle name="Normal 44 3 2 2 2 2" xfId="6195"/>
    <cellStyle name="Normal 44 3 2 2 2 2 2" xfId="10351"/>
    <cellStyle name="Normal 44 3 2 2 2 2 2 2" xfId="26948"/>
    <cellStyle name="Normal 44 3 2 2 2 2 2 3" xfId="18651"/>
    <cellStyle name="Normal 44 3 2 2 2 2 3" xfId="22808"/>
    <cellStyle name="Normal 44 3 2 2 2 2 4" xfId="14511"/>
    <cellStyle name="Normal 44 3 2 2 2 3" xfId="8279"/>
    <cellStyle name="Normal 44 3 2 2 2 3 2" xfId="24876"/>
    <cellStyle name="Normal 44 3 2 2 2 3 3" xfId="16579"/>
    <cellStyle name="Normal 44 3 2 2 2 4" xfId="20736"/>
    <cellStyle name="Normal 44 3 2 2 2 5" xfId="12439"/>
    <cellStyle name="Normal 44 3 2 2 3" xfId="5161"/>
    <cellStyle name="Normal 44 3 2 2 3 2" xfId="9317"/>
    <cellStyle name="Normal 44 3 2 2 3 2 2" xfId="25914"/>
    <cellStyle name="Normal 44 3 2 2 3 2 3" xfId="17617"/>
    <cellStyle name="Normal 44 3 2 2 3 3" xfId="21774"/>
    <cellStyle name="Normal 44 3 2 2 3 4" xfId="13477"/>
    <cellStyle name="Normal 44 3 2 2 4" xfId="7245"/>
    <cellStyle name="Normal 44 3 2 2 4 2" xfId="23842"/>
    <cellStyle name="Normal 44 3 2 2 4 3" xfId="15545"/>
    <cellStyle name="Normal 44 3 2 2 5" xfId="19702"/>
    <cellStyle name="Normal 44 3 2 2 6" xfId="11405"/>
    <cellStyle name="Normal 44 3 2 3" xfId="3552"/>
    <cellStyle name="Normal 44 3 2 3 2" xfId="5680"/>
    <cellStyle name="Normal 44 3 2 3 2 2" xfId="9836"/>
    <cellStyle name="Normal 44 3 2 3 2 2 2" xfId="26433"/>
    <cellStyle name="Normal 44 3 2 3 2 2 3" xfId="18136"/>
    <cellStyle name="Normal 44 3 2 3 2 3" xfId="22293"/>
    <cellStyle name="Normal 44 3 2 3 2 4" xfId="13996"/>
    <cellStyle name="Normal 44 3 2 3 3" xfId="7764"/>
    <cellStyle name="Normal 44 3 2 3 3 2" xfId="24361"/>
    <cellStyle name="Normal 44 3 2 3 3 3" xfId="16064"/>
    <cellStyle name="Normal 44 3 2 3 4" xfId="20221"/>
    <cellStyle name="Normal 44 3 2 3 5" xfId="11924"/>
    <cellStyle name="Normal 44 3 2 4" xfId="4632"/>
    <cellStyle name="Normal 44 3 2 4 2" xfId="8800"/>
    <cellStyle name="Normal 44 3 2 4 2 2" xfId="25397"/>
    <cellStyle name="Normal 44 3 2 4 2 3" xfId="17100"/>
    <cellStyle name="Normal 44 3 2 4 3" xfId="21257"/>
    <cellStyle name="Normal 44 3 2 4 4" xfId="12960"/>
    <cellStyle name="Normal 44 3 2 5" xfId="6723"/>
    <cellStyle name="Normal 44 3 2 5 2" xfId="23327"/>
    <cellStyle name="Normal 44 3 2 5 3" xfId="15030"/>
    <cellStyle name="Normal 44 3 2 6" xfId="19184"/>
    <cellStyle name="Normal 44 3 2 7" xfId="10887"/>
    <cellStyle name="Normal 44 3 3" xfId="3023"/>
    <cellStyle name="Normal 44 3 3 2" xfId="4069"/>
    <cellStyle name="Normal 44 3 3 2 2" xfId="6194"/>
    <cellStyle name="Normal 44 3 3 2 2 2" xfId="10350"/>
    <cellStyle name="Normal 44 3 3 2 2 2 2" xfId="26947"/>
    <cellStyle name="Normal 44 3 3 2 2 2 3" xfId="18650"/>
    <cellStyle name="Normal 44 3 3 2 2 3" xfId="22807"/>
    <cellStyle name="Normal 44 3 3 2 2 4" xfId="14510"/>
    <cellStyle name="Normal 44 3 3 2 3" xfId="8278"/>
    <cellStyle name="Normal 44 3 3 2 3 2" xfId="24875"/>
    <cellStyle name="Normal 44 3 3 2 3 3" xfId="16578"/>
    <cellStyle name="Normal 44 3 3 2 4" xfId="20735"/>
    <cellStyle name="Normal 44 3 3 2 5" xfId="12438"/>
    <cellStyle name="Normal 44 3 3 3" xfId="5160"/>
    <cellStyle name="Normal 44 3 3 3 2" xfId="9316"/>
    <cellStyle name="Normal 44 3 3 3 2 2" xfId="25913"/>
    <cellStyle name="Normal 44 3 3 3 2 3" xfId="17616"/>
    <cellStyle name="Normal 44 3 3 3 3" xfId="21773"/>
    <cellStyle name="Normal 44 3 3 3 4" xfId="13476"/>
    <cellStyle name="Normal 44 3 3 4" xfId="7244"/>
    <cellStyle name="Normal 44 3 3 4 2" xfId="23841"/>
    <cellStyle name="Normal 44 3 3 4 3" xfId="15544"/>
    <cellStyle name="Normal 44 3 3 5" xfId="19701"/>
    <cellStyle name="Normal 44 3 3 6" xfId="11404"/>
    <cellStyle name="Normal 44 3 4" xfId="3551"/>
    <cellStyle name="Normal 44 3 4 2" xfId="5679"/>
    <cellStyle name="Normal 44 3 4 2 2" xfId="9835"/>
    <cellStyle name="Normal 44 3 4 2 2 2" xfId="26432"/>
    <cellStyle name="Normal 44 3 4 2 2 3" xfId="18135"/>
    <cellStyle name="Normal 44 3 4 2 3" xfId="22292"/>
    <cellStyle name="Normal 44 3 4 2 4" xfId="13995"/>
    <cellStyle name="Normal 44 3 4 3" xfId="7763"/>
    <cellStyle name="Normal 44 3 4 3 2" xfId="24360"/>
    <cellStyle name="Normal 44 3 4 3 3" xfId="16063"/>
    <cellStyle name="Normal 44 3 4 4" xfId="20220"/>
    <cellStyle name="Normal 44 3 4 5" xfId="11923"/>
    <cellStyle name="Normal 44 3 5" xfId="4631"/>
    <cellStyle name="Normal 44 3 5 2" xfId="8799"/>
    <cellStyle name="Normal 44 3 5 2 2" xfId="25396"/>
    <cellStyle name="Normal 44 3 5 2 3" xfId="17099"/>
    <cellStyle name="Normal 44 3 5 3" xfId="21256"/>
    <cellStyle name="Normal 44 3 5 4" xfId="12959"/>
    <cellStyle name="Normal 44 3 6" xfId="6722"/>
    <cellStyle name="Normal 44 3 6 2" xfId="23326"/>
    <cellStyle name="Normal 44 3 6 3" xfId="15029"/>
    <cellStyle name="Normal 44 3 7" xfId="19183"/>
    <cellStyle name="Normal 44 3 8" xfId="10886"/>
    <cellStyle name="Normal 44 4" xfId="1691"/>
    <cellStyle name="Normal 44 4 2" xfId="3025"/>
    <cellStyle name="Normal 44 4 2 2" xfId="4071"/>
    <cellStyle name="Normal 44 4 2 2 2" xfId="6196"/>
    <cellStyle name="Normal 44 4 2 2 2 2" xfId="10352"/>
    <cellStyle name="Normal 44 4 2 2 2 2 2" xfId="26949"/>
    <cellStyle name="Normal 44 4 2 2 2 2 3" xfId="18652"/>
    <cellStyle name="Normal 44 4 2 2 2 3" xfId="22809"/>
    <cellStyle name="Normal 44 4 2 2 2 4" xfId="14512"/>
    <cellStyle name="Normal 44 4 2 2 3" xfId="8280"/>
    <cellStyle name="Normal 44 4 2 2 3 2" xfId="24877"/>
    <cellStyle name="Normal 44 4 2 2 3 3" xfId="16580"/>
    <cellStyle name="Normal 44 4 2 2 4" xfId="20737"/>
    <cellStyle name="Normal 44 4 2 2 5" xfId="12440"/>
    <cellStyle name="Normal 44 4 2 3" xfId="5162"/>
    <cellStyle name="Normal 44 4 2 3 2" xfId="9318"/>
    <cellStyle name="Normal 44 4 2 3 2 2" xfId="25915"/>
    <cellStyle name="Normal 44 4 2 3 2 3" xfId="17618"/>
    <cellStyle name="Normal 44 4 2 3 3" xfId="21775"/>
    <cellStyle name="Normal 44 4 2 3 4" xfId="13478"/>
    <cellStyle name="Normal 44 4 2 4" xfId="7246"/>
    <cellStyle name="Normal 44 4 2 4 2" xfId="23843"/>
    <cellStyle name="Normal 44 4 2 4 3" xfId="15546"/>
    <cellStyle name="Normal 44 4 2 5" xfId="19703"/>
    <cellStyle name="Normal 44 4 2 6" xfId="11406"/>
    <cellStyle name="Normal 44 4 3" xfId="3553"/>
    <cellStyle name="Normal 44 4 3 2" xfId="5681"/>
    <cellStyle name="Normal 44 4 3 2 2" xfId="9837"/>
    <cellStyle name="Normal 44 4 3 2 2 2" xfId="26434"/>
    <cellStyle name="Normal 44 4 3 2 2 3" xfId="18137"/>
    <cellStyle name="Normal 44 4 3 2 3" xfId="22294"/>
    <cellStyle name="Normal 44 4 3 2 4" xfId="13997"/>
    <cellStyle name="Normal 44 4 3 3" xfId="7765"/>
    <cellStyle name="Normal 44 4 3 3 2" xfId="24362"/>
    <cellStyle name="Normal 44 4 3 3 3" xfId="16065"/>
    <cellStyle name="Normal 44 4 3 4" xfId="20222"/>
    <cellStyle name="Normal 44 4 3 5" xfId="11925"/>
    <cellStyle name="Normal 44 4 4" xfId="4633"/>
    <cellStyle name="Normal 44 4 4 2" xfId="8801"/>
    <cellStyle name="Normal 44 4 4 2 2" xfId="25398"/>
    <cellStyle name="Normal 44 4 4 2 3" xfId="17101"/>
    <cellStyle name="Normal 44 4 4 3" xfId="21258"/>
    <cellStyle name="Normal 44 4 4 4" xfId="12961"/>
    <cellStyle name="Normal 44 4 5" xfId="6724"/>
    <cellStyle name="Normal 44 4 5 2" xfId="23328"/>
    <cellStyle name="Normal 44 4 5 3" xfId="15031"/>
    <cellStyle name="Normal 44 4 6" xfId="19185"/>
    <cellStyle name="Normal 44 4 7" xfId="10888"/>
    <cellStyle name="Normal 44 5" xfId="3020"/>
    <cellStyle name="Normal 44 5 2" xfId="4066"/>
    <cellStyle name="Normal 44 5 2 2" xfId="6191"/>
    <cellStyle name="Normal 44 5 2 2 2" xfId="10347"/>
    <cellStyle name="Normal 44 5 2 2 2 2" xfId="26944"/>
    <cellStyle name="Normal 44 5 2 2 2 3" xfId="18647"/>
    <cellStyle name="Normal 44 5 2 2 3" xfId="22804"/>
    <cellStyle name="Normal 44 5 2 2 4" xfId="14507"/>
    <cellStyle name="Normal 44 5 2 3" xfId="8275"/>
    <cellStyle name="Normal 44 5 2 3 2" xfId="24872"/>
    <cellStyle name="Normal 44 5 2 3 3" xfId="16575"/>
    <cellStyle name="Normal 44 5 2 4" xfId="20732"/>
    <cellStyle name="Normal 44 5 2 5" xfId="12435"/>
    <cellStyle name="Normal 44 5 3" xfId="5157"/>
    <cellStyle name="Normal 44 5 3 2" xfId="9313"/>
    <cellStyle name="Normal 44 5 3 2 2" xfId="25910"/>
    <cellStyle name="Normal 44 5 3 2 3" xfId="17613"/>
    <cellStyle name="Normal 44 5 3 3" xfId="21770"/>
    <cellStyle name="Normal 44 5 3 4" xfId="13473"/>
    <cellStyle name="Normal 44 5 4" xfId="7241"/>
    <cellStyle name="Normal 44 5 4 2" xfId="23838"/>
    <cellStyle name="Normal 44 5 4 3" xfId="15541"/>
    <cellStyle name="Normal 44 5 5" xfId="19698"/>
    <cellStyle name="Normal 44 5 6" xfId="11401"/>
    <cellStyle name="Normal 44 6" xfId="3548"/>
    <cellStyle name="Normal 44 6 2" xfId="5676"/>
    <cellStyle name="Normal 44 6 2 2" xfId="9832"/>
    <cellStyle name="Normal 44 6 2 2 2" xfId="26429"/>
    <cellStyle name="Normal 44 6 2 2 3" xfId="18132"/>
    <cellStyle name="Normal 44 6 2 3" xfId="22289"/>
    <cellStyle name="Normal 44 6 2 4" xfId="13992"/>
    <cellStyle name="Normal 44 6 3" xfId="7760"/>
    <cellStyle name="Normal 44 6 3 2" xfId="24357"/>
    <cellStyle name="Normal 44 6 3 3" xfId="16060"/>
    <cellStyle name="Normal 44 6 4" xfId="20217"/>
    <cellStyle name="Normal 44 6 5" xfId="11920"/>
    <cellStyle name="Normal 44 7" xfId="4628"/>
    <cellStyle name="Normal 44 7 2" xfId="8796"/>
    <cellStyle name="Normal 44 7 2 2" xfId="25393"/>
    <cellStyle name="Normal 44 7 2 3" xfId="17096"/>
    <cellStyle name="Normal 44 7 3" xfId="21253"/>
    <cellStyle name="Normal 44 7 4" xfId="12956"/>
    <cellStyle name="Normal 44 8" xfId="6719"/>
    <cellStyle name="Normal 44 8 2" xfId="23323"/>
    <cellStyle name="Normal 44 8 3" xfId="15026"/>
    <cellStyle name="Normal 44 9" xfId="19180"/>
    <cellStyle name="Normal 45" xfId="1692"/>
    <cellStyle name="Normal 45 10" xfId="10889"/>
    <cellStyle name="Normal 45 2" xfId="1693"/>
    <cellStyle name="Normal 45 2 2" xfId="1694"/>
    <cellStyle name="Normal 45 2 2 2" xfId="3028"/>
    <cellStyle name="Normal 45 2 2 2 2" xfId="4074"/>
    <cellStyle name="Normal 45 2 2 2 2 2" xfId="6199"/>
    <cellStyle name="Normal 45 2 2 2 2 2 2" xfId="10355"/>
    <cellStyle name="Normal 45 2 2 2 2 2 2 2" xfId="26952"/>
    <cellStyle name="Normal 45 2 2 2 2 2 2 3" xfId="18655"/>
    <cellStyle name="Normal 45 2 2 2 2 2 3" xfId="22812"/>
    <cellStyle name="Normal 45 2 2 2 2 2 4" xfId="14515"/>
    <cellStyle name="Normal 45 2 2 2 2 3" xfId="8283"/>
    <cellStyle name="Normal 45 2 2 2 2 3 2" xfId="24880"/>
    <cellStyle name="Normal 45 2 2 2 2 3 3" xfId="16583"/>
    <cellStyle name="Normal 45 2 2 2 2 4" xfId="20740"/>
    <cellStyle name="Normal 45 2 2 2 2 5" xfId="12443"/>
    <cellStyle name="Normal 45 2 2 2 3" xfId="5165"/>
    <cellStyle name="Normal 45 2 2 2 3 2" xfId="9321"/>
    <cellStyle name="Normal 45 2 2 2 3 2 2" xfId="25918"/>
    <cellStyle name="Normal 45 2 2 2 3 2 3" xfId="17621"/>
    <cellStyle name="Normal 45 2 2 2 3 3" xfId="21778"/>
    <cellStyle name="Normal 45 2 2 2 3 4" xfId="13481"/>
    <cellStyle name="Normal 45 2 2 2 4" xfId="7249"/>
    <cellStyle name="Normal 45 2 2 2 4 2" xfId="23846"/>
    <cellStyle name="Normal 45 2 2 2 4 3" xfId="15549"/>
    <cellStyle name="Normal 45 2 2 2 5" xfId="19706"/>
    <cellStyle name="Normal 45 2 2 2 6" xfId="11409"/>
    <cellStyle name="Normal 45 2 2 3" xfId="3556"/>
    <cellStyle name="Normal 45 2 2 3 2" xfId="5684"/>
    <cellStyle name="Normal 45 2 2 3 2 2" xfId="9840"/>
    <cellStyle name="Normal 45 2 2 3 2 2 2" xfId="26437"/>
    <cellStyle name="Normal 45 2 2 3 2 2 3" xfId="18140"/>
    <cellStyle name="Normal 45 2 2 3 2 3" xfId="22297"/>
    <cellStyle name="Normal 45 2 2 3 2 4" xfId="14000"/>
    <cellStyle name="Normal 45 2 2 3 3" xfId="7768"/>
    <cellStyle name="Normal 45 2 2 3 3 2" xfId="24365"/>
    <cellStyle name="Normal 45 2 2 3 3 3" xfId="16068"/>
    <cellStyle name="Normal 45 2 2 3 4" xfId="20225"/>
    <cellStyle name="Normal 45 2 2 3 5" xfId="11928"/>
    <cellStyle name="Normal 45 2 2 4" xfId="4636"/>
    <cellStyle name="Normal 45 2 2 4 2" xfId="8804"/>
    <cellStyle name="Normal 45 2 2 4 2 2" xfId="25401"/>
    <cellStyle name="Normal 45 2 2 4 2 3" xfId="17104"/>
    <cellStyle name="Normal 45 2 2 4 3" xfId="21261"/>
    <cellStyle name="Normal 45 2 2 4 4" xfId="12964"/>
    <cellStyle name="Normal 45 2 2 5" xfId="6727"/>
    <cellStyle name="Normal 45 2 2 5 2" xfId="23331"/>
    <cellStyle name="Normal 45 2 2 5 3" xfId="15034"/>
    <cellStyle name="Normal 45 2 2 6" xfId="19188"/>
    <cellStyle name="Normal 45 2 2 7" xfId="10891"/>
    <cellStyle name="Normal 45 2 3" xfId="3027"/>
    <cellStyle name="Normal 45 2 3 2" xfId="4073"/>
    <cellStyle name="Normal 45 2 3 2 2" xfId="6198"/>
    <cellStyle name="Normal 45 2 3 2 2 2" xfId="10354"/>
    <cellStyle name="Normal 45 2 3 2 2 2 2" xfId="26951"/>
    <cellStyle name="Normal 45 2 3 2 2 2 3" xfId="18654"/>
    <cellStyle name="Normal 45 2 3 2 2 3" xfId="22811"/>
    <cellStyle name="Normal 45 2 3 2 2 4" xfId="14514"/>
    <cellStyle name="Normal 45 2 3 2 3" xfId="8282"/>
    <cellStyle name="Normal 45 2 3 2 3 2" xfId="24879"/>
    <cellStyle name="Normal 45 2 3 2 3 3" xfId="16582"/>
    <cellStyle name="Normal 45 2 3 2 4" xfId="20739"/>
    <cellStyle name="Normal 45 2 3 2 5" xfId="12442"/>
    <cellStyle name="Normal 45 2 3 3" xfId="5164"/>
    <cellStyle name="Normal 45 2 3 3 2" xfId="9320"/>
    <cellStyle name="Normal 45 2 3 3 2 2" xfId="25917"/>
    <cellStyle name="Normal 45 2 3 3 2 3" xfId="17620"/>
    <cellStyle name="Normal 45 2 3 3 3" xfId="21777"/>
    <cellStyle name="Normal 45 2 3 3 4" xfId="13480"/>
    <cellStyle name="Normal 45 2 3 4" xfId="7248"/>
    <cellStyle name="Normal 45 2 3 4 2" xfId="23845"/>
    <cellStyle name="Normal 45 2 3 4 3" xfId="15548"/>
    <cellStyle name="Normal 45 2 3 5" xfId="19705"/>
    <cellStyle name="Normal 45 2 3 6" xfId="11408"/>
    <cellStyle name="Normal 45 2 4" xfId="3555"/>
    <cellStyle name="Normal 45 2 4 2" xfId="5683"/>
    <cellStyle name="Normal 45 2 4 2 2" xfId="9839"/>
    <cellStyle name="Normal 45 2 4 2 2 2" xfId="26436"/>
    <cellStyle name="Normal 45 2 4 2 2 3" xfId="18139"/>
    <cellStyle name="Normal 45 2 4 2 3" xfId="22296"/>
    <cellStyle name="Normal 45 2 4 2 4" xfId="13999"/>
    <cellStyle name="Normal 45 2 4 3" xfId="7767"/>
    <cellStyle name="Normal 45 2 4 3 2" xfId="24364"/>
    <cellStyle name="Normal 45 2 4 3 3" xfId="16067"/>
    <cellStyle name="Normal 45 2 4 4" xfId="20224"/>
    <cellStyle name="Normal 45 2 4 5" xfId="11927"/>
    <cellStyle name="Normal 45 2 5" xfId="4635"/>
    <cellStyle name="Normal 45 2 5 2" xfId="8803"/>
    <cellStyle name="Normal 45 2 5 2 2" xfId="25400"/>
    <cellStyle name="Normal 45 2 5 2 3" xfId="17103"/>
    <cellStyle name="Normal 45 2 5 3" xfId="21260"/>
    <cellStyle name="Normal 45 2 5 4" xfId="12963"/>
    <cellStyle name="Normal 45 2 6" xfId="6726"/>
    <cellStyle name="Normal 45 2 6 2" xfId="23330"/>
    <cellStyle name="Normal 45 2 6 3" xfId="15033"/>
    <cellStyle name="Normal 45 2 7" xfId="19187"/>
    <cellStyle name="Normal 45 2 8" xfId="10890"/>
    <cellStyle name="Normal 45 3" xfId="1695"/>
    <cellStyle name="Normal 45 3 2" xfId="1696"/>
    <cellStyle name="Normal 45 3 2 2" xfId="3030"/>
    <cellStyle name="Normal 45 3 2 2 2" xfId="4076"/>
    <cellStyle name="Normal 45 3 2 2 2 2" xfId="6201"/>
    <cellStyle name="Normal 45 3 2 2 2 2 2" xfId="10357"/>
    <cellStyle name="Normal 45 3 2 2 2 2 2 2" xfId="26954"/>
    <cellStyle name="Normal 45 3 2 2 2 2 2 3" xfId="18657"/>
    <cellStyle name="Normal 45 3 2 2 2 2 3" xfId="22814"/>
    <cellStyle name="Normal 45 3 2 2 2 2 4" xfId="14517"/>
    <cellStyle name="Normal 45 3 2 2 2 3" xfId="8285"/>
    <cellStyle name="Normal 45 3 2 2 2 3 2" xfId="24882"/>
    <cellStyle name="Normal 45 3 2 2 2 3 3" xfId="16585"/>
    <cellStyle name="Normal 45 3 2 2 2 4" xfId="20742"/>
    <cellStyle name="Normal 45 3 2 2 2 5" xfId="12445"/>
    <cellStyle name="Normal 45 3 2 2 3" xfId="5167"/>
    <cellStyle name="Normal 45 3 2 2 3 2" xfId="9323"/>
    <cellStyle name="Normal 45 3 2 2 3 2 2" xfId="25920"/>
    <cellStyle name="Normal 45 3 2 2 3 2 3" xfId="17623"/>
    <cellStyle name="Normal 45 3 2 2 3 3" xfId="21780"/>
    <cellStyle name="Normal 45 3 2 2 3 4" xfId="13483"/>
    <cellStyle name="Normal 45 3 2 2 4" xfId="7251"/>
    <cellStyle name="Normal 45 3 2 2 4 2" xfId="23848"/>
    <cellStyle name="Normal 45 3 2 2 4 3" xfId="15551"/>
    <cellStyle name="Normal 45 3 2 2 5" xfId="19708"/>
    <cellStyle name="Normal 45 3 2 2 6" xfId="11411"/>
    <cellStyle name="Normal 45 3 2 3" xfId="3558"/>
    <cellStyle name="Normal 45 3 2 3 2" xfId="5686"/>
    <cellStyle name="Normal 45 3 2 3 2 2" xfId="9842"/>
    <cellStyle name="Normal 45 3 2 3 2 2 2" xfId="26439"/>
    <cellStyle name="Normal 45 3 2 3 2 2 3" xfId="18142"/>
    <cellStyle name="Normal 45 3 2 3 2 3" xfId="22299"/>
    <cellStyle name="Normal 45 3 2 3 2 4" xfId="14002"/>
    <cellStyle name="Normal 45 3 2 3 3" xfId="7770"/>
    <cellStyle name="Normal 45 3 2 3 3 2" xfId="24367"/>
    <cellStyle name="Normal 45 3 2 3 3 3" xfId="16070"/>
    <cellStyle name="Normal 45 3 2 3 4" xfId="20227"/>
    <cellStyle name="Normal 45 3 2 3 5" xfId="11930"/>
    <cellStyle name="Normal 45 3 2 4" xfId="4638"/>
    <cellStyle name="Normal 45 3 2 4 2" xfId="8806"/>
    <cellStyle name="Normal 45 3 2 4 2 2" xfId="25403"/>
    <cellStyle name="Normal 45 3 2 4 2 3" xfId="17106"/>
    <cellStyle name="Normal 45 3 2 4 3" xfId="21263"/>
    <cellStyle name="Normal 45 3 2 4 4" xfId="12966"/>
    <cellStyle name="Normal 45 3 2 5" xfId="6729"/>
    <cellStyle name="Normal 45 3 2 5 2" xfId="23333"/>
    <cellStyle name="Normal 45 3 2 5 3" xfId="15036"/>
    <cellStyle name="Normal 45 3 2 6" xfId="19190"/>
    <cellStyle name="Normal 45 3 2 7" xfId="10893"/>
    <cellStyle name="Normal 45 3 3" xfId="3029"/>
    <cellStyle name="Normal 45 3 3 2" xfId="4075"/>
    <cellStyle name="Normal 45 3 3 2 2" xfId="6200"/>
    <cellStyle name="Normal 45 3 3 2 2 2" xfId="10356"/>
    <cellStyle name="Normal 45 3 3 2 2 2 2" xfId="26953"/>
    <cellStyle name="Normal 45 3 3 2 2 2 3" xfId="18656"/>
    <cellStyle name="Normal 45 3 3 2 2 3" xfId="22813"/>
    <cellStyle name="Normal 45 3 3 2 2 4" xfId="14516"/>
    <cellStyle name="Normal 45 3 3 2 3" xfId="8284"/>
    <cellStyle name="Normal 45 3 3 2 3 2" xfId="24881"/>
    <cellStyle name="Normal 45 3 3 2 3 3" xfId="16584"/>
    <cellStyle name="Normal 45 3 3 2 4" xfId="20741"/>
    <cellStyle name="Normal 45 3 3 2 5" xfId="12444"/>
    <cellStyle name="Normal 45 3 3 3" xfId="5166"/>
    <cellStyle name="Normal 45 3 3 3 2" xfId="9322"/>
    <cellStyle name="Normal 45 3 3 3 2 2" xfId="25919"/>
    <cellStyle name="Normal 45 3 3 3 2 3" xfId="17622"/>
    <cellStyle name="Normal 45 3 3 3 3" xfId="21779"/>
    <cellStyle name="Normal 45 3 3 3 4" xfId="13482"/>
    <cellStyle name="Normal 45 3 3 4" xfId="7250"/>
    <cellStyle name="Normal 45 3 3 4 2" xfId="23847"/>
    <cellStyle name="Normal 45 3 3 4 3" xfId="15550"/>
    <cellStyle name="Normal 45 3 3 5" xfId="19707"/>
    <cellStyle name="Normal 45 3 3 6" xfId="11410"/>
    <cellStyle name="Normal 45 3 4" xfId="3557"/>
    <cellStyle name="Normal 45 3 4 2" xfId="5685"/>
    <cellStyle name="Normal 45 3 4 2 2" xfId="9841"/>
    <cellStyle name="Normal 45 3 4 2 2 2" xfId="26438"/>
    <cellStyle name="Normal 45 3 4 2 2 3" xfId="18141"/>
    <cellStyle name="Normal 45 3 4 2 3" xfId="22298"/>
    <cellStyle name="Normal 45 3 4 2 4" xfId="14001"/>
    <cellStyle name="Normal 45 3 4 3" xfId="7769"/>
    <cellStyle name="Normal 45 3 4 3 2" xfId="24366"/>
    <cellStyle name="Normal 45 3 4 3 3" xfId="16069"/>
    <cellStyle name="Normal 45 3 4 4" xfId="20226"/>
    <cellStyle name="Normal 45 3 4 5" xfId="11929"/>
    <cellStyle name="Normal 45 3 5" xfId="4637"/>
    <cellStyle name="Normal 45 3 5 2" xfId="8805"/>
    <cellStyle name="Normal 45 3 5 2 2" xfId="25402"/>
    <cellStyle name="Normal 45 3 5 2 3" xfId="17105"/>
    <cellStyle name="Normal 45 3 5 3" xfId="21262"/>
    <cellStyle name="Normal 45 3 5 4" xfId="12965"/>
    <cellStyle name="Normal 45 3 6" xfId="6728"/>
    <cellStyle name="Normal 45 3 6 2" xfId="23332"/>
    <cellStyle name="Normal 45 3 6 3" xfId="15035"/>
    <cellStyle name="Normal 45 3 7" xfId="19189"/>
    <cellStyle name="Normal 45 3 8" xfId="10892"/>
    <cellStyle name="Normal 45 4" xfId="1697"/>
    <cellStyle name="Normal 45 4 2" xfId="3031"/>
    <cellStyle name="Normal 45 4 2 2" xfId="4077"/>
    <cellStyle name="Normal 45 4 2 2 2" xfId="6202"/>
    <cellStyle name="Normal 45 4 2 2 2 2" xfId="10358"/>
    <cellStyle name="Normal 45 4 2 2 2 2 2" xfId="26955"/>
    <cellStyle name="Normal 45 4 2 2 2 2 3" xfId="18658"/>
    <cellStyle name="Normal 45 4 2 2 2 3" xfId="22815"/>
    <cellStyle name="Normal 45 4 2 2 2 4" xfId="14518"/>
    <cellStyle name="Normal 45 4 2 2 3" xfId="8286"/>
    <cellStyle name="Normal 45 4 2 2 3 2" xfId="24883"/>
    <cellStyle name="Normal 45 4 2 2 3 3" xfId="16586"/>
    <cellStyle name="Normal 45 4 2 2 4" xfId="20743"/>
    <cellStyle name="Normal 45 4 2 2 5" xfId="12446"/>
    <cellStyle name="Normal 45 4 2 3" xfId="5168"/>
    <cellStyle name="Normal 45 4 2 3 2" xfId="9324"/>
    <cellStyle name="Normal 45 4 2 3 2 2" xfId="25921"/>
    <cellStyle name="Normal 45 4 2 3 2 3" xfId="17624"/>
    <cellStyle name="Normal 45 4 2 3 3" xfId="21781"/>
    <cellStyle name="Normal 45 4 2 3 4" xfId="13484"/>
    <cellStyle name="Normal 45 4 2 4" xfId="7252"/>
    <cellStyle name="Normal 45 4 2 4 2" xfId="23849"/>
    <cellStyle name="Normal 45 4 2 4 3" xfId="15552"/>
    <cellStyle name="Normal 45 4 2 5" xfId="19709"/>
    <cellStyle name="Normal 45 4 2 6" xfId="11412"/>
    <cellStyle name="Normal 45 4 3" xfId="3559"/>
    <cellStyle name="Normal 45 4 3 2" xfId="5687"/>
    <cellStyle name="Normal 45 4 3 2 2" xfId="9843"/>
    <cellStyle name="Normal 45 4 3 2 2 2" xfId="26440"/>
    <cellStyle name="Normal 45 4 3 2 2 3" xfId="18143"/>
    <cellStyle name="Normal 45 4 3 2 3" xfId="22300"/>
    <cellStyle name="Normal 45 4 3 2 4" xfId="14003"/>
    <cellStyle name="Normal 45 4 3 3" xfId="7771"/>
    <cellStyle name="Normal 45 4 3 3 2" xfId="24368"/>
    <cellStyle name="Normal 45 4 3 3 3" xfId="16071"/>
    <cellStyle name="Normal 45 4 3 4" xfId="20228"/>
    <cellStyle name="Normal 45 4 3 5" xfId="11931"/>
    <cellStyle name="Normal 45 4 4" xfId="4639"/>
    <cellStyle name="Normal 45 4 4 2" xfId="8807"/>
    <cellStyle name="Normal 45 4 4 2 2" xfId="25404"/>
    <cellStyle name="Normal 45 4 4 2 3" xfId="17107"/>
    <cellStyle name="Normal 45 4 4 3" xfId="21264"/>
    <cellStyle name="Normal 45 4 4 4" xfId="12967"/>
    <cellStyle name="Normal 45 4 5" xfId="6730"/>
    <cellStyle name="Normal 45 4 5 2" xfId="23334"/>
    <cellStyle name="Normal 45 4 5 3" xfId="15037"/>
    <cellStyle name="Normal 45 4 6" xfId="19191"/>
    <cellStyle name="Normal 45 4 7" xfId="10894"/>
    <cellStyle name="Normal 45 5" xfId="3026"/>
    <cellStyle name="Normal 45 5 2" xfId="4072"/>
    <cellStyle name="Normal 45 5 2 2" xfId="6197"/>
    <cellStyle name="Normal 45 5 2 2 2" xfId="10353"/>
    <cellStyle name="Normal 45 5 2 2 2 2" xfId="26950"/>
    <cellStyle name="Normal 45 5 2 2 2 3" xfId="18653"/>
    <cellStyle name="Normal 45 5 2 2 3" xfId="22810"/>
    <cellStyle name="Normal 45 5 2 2 4" xfId="14513"/>
    <cellStyle name="Normal 45 5 2 3" xfId="8281"/>
    <cellStyle name="Normal 45 5 2 3 2" xfId="24878"/>
    <cellStyle name="Normal 45 5 2 3 3" xfId="16581"/>
    <cellStyle name="Normal 45 5 2 4" xfId="20738"/>
    <cellStyle name="Normal 45 5 2 5" xfId="12441"/>
    <cellStyle name="Normal 45 5 3" xfId="5163"/>
    <cellStyle name="Normal 45 5 3 2" xfId="9319"/>
    <cellStyle name="Normal 45 5 3 2 2" xfId="25916"/>
    <cellStyle name="Normal 45 5 3 2 3" xfId="17619"/>
    <cellStyle name="Normal 45 5 3 3" xfId="21776"/>
    <cellStyle name="Normal 45 5 3 4" xfId="13479"/>
    <cellStyle name="Normal 45 5 4" xfId="7247"/>
    <cellStyle name="Normal 45 5 4 2" xfId="23844"/>
    <cellStyle name="Normal 45 5 4 3" xfId="15547"/>
    <cellStyle name="Normal 45 5 5" xfId="19704"/>
    <cellStyle name="Normal 45 5 6" xfId="11407"/>
    <cellStyle name="Normal 45 6" xfId="3554"/>
    <cellStyle name="Normal 45 6 2" xfId="5682"/>
    <cellStyle name="Normal 45 6 2 2" xfId="9838"/>
    <cellStyle name="Normal 45 6 2 2 2" xfId="26435"/>
    <cellStyle name="Normal 45 6 2 2 3" xfId="18138"/>
    <cellStyle name="Normal 45 6 2 3" xfId="22295"/>
    <cellStyle name="Normal 45 6 2 4" xfId="13998"/>
    <cellStyle name="Normal 45 6 3" xfId="7766"/>
    <cellStyle name="Normal 45 6 3 2" xfId="24363"/>
    <cellStyle name="Normal 45 6 3 3" xfId="16066"/>
    <cellStyle name="Normal 45 6 4" xfId="20223"/>
    <cellStyle name="Normal 45 6 5" xfId="11926"/>
    <cellStyle name="Normal 45 7" xfId="4634"/>
    <cellStyle name="Normal 45 7 2" xfId="8802"/>
    <cellStyle name="Normal 45 7 2 2" xfId="25399"/>
    <cellStyle name="Normal 45 7 2 3" xfId="17102"/>
    <cellStyle name="Normal 45 7 3" xfId="21259"/>
    <cellStyle name="Normal 45 7 4" xfId="12962"/>
    <cellStyle name="Normal 45 8" xfId="6725"/>
    <cellStyle name="Normal 45 8 2" xfId="23329"/>
    <cellStyle name="Normal 45 8 3" xfId="15032"/>
    <cellStyle name="Normal 45 9" xfId="19186"/>
    <cellStyle name="Normal 46" xfId="1698"/>
    <cellStyle name="Normal 46 10" xfId="10895"/>
    <cellStyle name="Normal 46 2" xfId="1699"/>
    <cellStyle name="Normal 46 2 2" xfId="1700"/>
    <cellStyle name="Normal 46 2 2 2" xfId="3034"/>
    <cellStyle name="Normal 46 2 2 2 2" xfId="4080"/>
    <cellStyle name="Normal 46 2 2 2 2 2" xfId="6205"/>
    <cellStyle name="Normal 46 2 2 2 2 2 2" xfId="10361"/>
    <cellStyle name="Normal 46 2 2 2 2 2 2 2" xfId="26958"/>
    <cellStyle name="Normal 46 2 2 2 2 2 2 3" xfId="18661"/>
    <cellStyle name="Normal 46 2 2 2 2 2 3" xfId="22818"/>
    <cellStyle name="Normal 46 2 2 2 2 2 4" xfId="14521"/>
    <cellStyle name="Normal 46 2 2 2 2 3" xfId="8289"/>
    <cellStyle name="Normal 46 2 2 2 2 3 2" xfId="24886"/>
    <cellStyle name="Normal 46 2 2 2 2 3 3" xfId="16589"/>
    <cellStyle name="Normal 46 2 2 2 2 4" xfId="20746"/>
    <cellStyle name="Normal 46 2 2 2 2 5" xfId="12449"/>
    <cellStyle name="Normal 46 2 2 2 3" xfId="5171"/>
    <cellStyle name="Normal 46 2 2 2 3 2" xfId="9327"/>
    <cellStyle name="Normal 46 2 2 2 3 2 2" xfId="25924"/>
    <cellStyle name="Normal 46 2 2 2 3 2 3" xfId="17627"/>
    <cellStyle name="Normal 46 2 2 2 3 3" xfId="21784"/>
    <cellStyle name="Normal 46 2 2 2 3 4" xfId="13487"/>
    <cellStyle name="Normal 46 2 2 2 4" xfId="7255"/>
    <cellStyle name="Normal 46 2 2 2 4 2" xfId="23852"/>
    <cellStyle name="Normal 46 2 2 2 4 3" xfId="15555"/>
    <cellStyle name="Normal 46 2 2 2 5" xfId="19712"/>
    <cellStyle name="Normal 46 2 2 2 6" xfId="11415"/>
    <cellStyle name="Normal 46 2 2 3" xfId="3562"/>
    <cellStyle name="Normal 46 2 2 3 2" xfId="5690"/>
    <cellStyle name="Normal 46 2 2 3 2 2" xfId="9846"/>
    <cellStyle name="Normal 46 2 2 3 2 2 2" xfId="26443"/>
    <cellStyle name="Normal 46 2 2 3 2 2 3" xfId="18146"/>
    <cellStyle name="Normal 46 2 2 3 2 3" xfId="22303"/>
    <cellStyle name="Normal 46 2 2 3 2 4" xfId="14006"/>
    <cellStyle name="Normal 46 2 2 3 3" xfId="7774"/>
    <cellStyle name="Normal 46 2 2 3 3 2" xfId="24371"/>
    <cellStyle name="Normal 46 2 2 3 3 3" xfId="16074"/>
    <cellStyle name="Normal 46 2 2 3 4" xfId="20231"/>
    <cellStyle name="Normal 46 2 2 3 5" xfId="11934"/>
    <cellStyle name="Normal 46 2 2 4" xfId="4642"/>
    <cellStyle name="Normal 46 2 2 4 2" xfId="8810"/>
    <cellStyle name="Normal 46 2 2 4 2 2" xfId="25407"/>
    <cellStyle name="Normal 46 2 2 4 2 3" xfId="17110"/>
    <cellStyle name="Normal 46 2 2 4 3" xfId="21267"/>
    <cellStyle name="Normal 46 2 2 4 4" xfId="12970"/>
    <cellStyle name="Normal 46 2 2 5" xfId="6733"/>
    <cellStyle name="Normal 46 2 2 5 2" xfId="23337"/>
    <cellStyle name="Normal 46 2 2 5 3" xfId="15040"/>
    <cellStyle name="Normal 46 2 2 6" xfId="19194"/>
    <cellStyle name="Normal 46 2 2 7" xfId="10897"/>
    <cellStyle name="Normal 46 2 3" xfId="3033"/>
    <cellStyle name="Normal 46 2 3 2" xfId="4079"/>
    <cellStyle name="Normal 46 2 3 2 2" xfId="6204"/>
    <cellStyle name="Normal 46 2 3 2 2 2" xfId="10360"/>
    <cellStyle name="Normal 46 2 3 2 2 2 2" xfId="26957"/>
    <cellStyle name="Normal 46 2 3 2 2 2 3" xfId="18660"/>
    <cellStyle name="Normal 46 2 3 2 2 3" xfId="22817"/>
    <cellStyle name="Normal 46 2 3 2 2 4" xfId="14520"/>
    <cellStyle name="Normal 46 2 3 2 3" xfId="8288"/>
    <cellStyle name="Normal 46 2 3 2 3 2" xfId="24885"/>
    <cellStyle name="Normal 46 2 3 2 3 3" xfId="16588"/>
    <cellStyle name="Normal 46 2 3 2 4" xfId="20745"/>
    <cellStyle name="Normal 46 2 3 2 5" xfId="12448"/>
    <cellStyle name="Normal 46 2 3 3" xfId="5170"/>
    <cellStyle name="Normal 46 2 3 3 2" xfId="9326"/>
    <cellStyle name="Normal 46 2 3 3 2 2" xfId="25923"/>
    <cellStyle name="Normal 46 2 3 3 2 3" xfId="17626"/>
    <cellStyle name="Normal 46 2 3 3 3" xfId="21783"/>
    <cellStyle name="Normal 46 2 3 3 4" xfId="13486"/>
    <cellStyle name="Normal 46 2 3 4" xfId="7254"/>
    <cellStyle name="Normal 46 2 3 4 2" xfId="23851"/>
    <cellStyle name="Normal 46 2 3 4 3" xfId="15554"/>
    <cellStyle name="Normal 46 2 3 5" xfId="19711"/>
    <cellStyle name="Normal 46 2 3 6" xfId="11414"/>
    <cellStyle name="Normal 46 2 4" xfId="3561"/>
    <cellStyle name="Normal 46 2 4 2" xfId="5689"/>
    <cellStyle name="Normal 46 2 4 2 2" xfId="9845"/>
    <cellStyle name="Normal 46 2 4 2 2 2" xfId="26442"/>
    <cellStyle name="Normal 46 2 4 2 2 3" xfId="18145"/>
    <cellStyle name="Normal 46 2 4 2 3" xfId="22302"/>
    <cellStyle name="Normal 46 2 4 2 4" xfId="14005"/>
    <cellStyle name="Normal 46 2 4 3" xfId="7773"/>
    <cellStyle name="Normal 46 2 4 3 2" xfId="24370"/>
    <cellStyle name="Normal 46 2 4 3 3" xfId="16073"/>
    <cellStyle name="Normal 46 2 4 4" xfId="20230"/>
    <cellStyle name="Normal 46 2 4 5" xfId="11933"/>
    <cellStyle name="Normal 46 2 5" xfId="4641"/>
    <cellStyle name="Normal 46 2 5 2" xfId="8809"/>
    <cellStyle name="Normal 46 2 5 2 2" xfId="25406"/>
    <cellStyle name="Normal 46 2 5 2 3" xfId="17109"/>
    <cellStyle name="Normal 46 2 5 3" xfId="21266"/>
    <cellStyle name="Normal 46 2 5 4" xfId="12969"/>
    <cellStyle name="Normal 46 2 6" xfId="6732"/>
    <cellStyle name="Normal 46 2 6 2" xfId="23336"/>
    <cellStyle name="Normal 46 2 6 3" xfId="15039"/>
    <cellStyle name="Normal 46 2 7" xfId="19193"/>
    <cellStyle name="Normal 46 2 8" xfId="10896"/>
    <cellStyle name="Normal 46 3" xfId="1701"/>
    <cellStyle name="Normal 46 3 2" xfId="1702"/>
    <cellStyle name="Normal 46 3 2 2" xfId="3036"/>
    <cellStyle name="Normal 46 3 2 2 2" xfId="4082"/>
    <cellStyle name="Normal 46 3 2 2 2 2" xfId="6207"/>
    <cellStyle name="Normal 46 3 2 2 2 2 2" xfId="10363"/>
    <cellStyle name="Normal 46 3 2 2 2 2 2 2" xfId="26960"/>
    <cellStyle name="Normal 46 3 2 2 2 2 2 3" xfId="18663"/>
    <cellStyle name="Normal 46 3 2 2 2 2 3" xfId="22820"/>
    <cellStyle name="Normal 46 3 2 2 2 2 4" xfId="14523"/>
    <cellStyle name="Normal 46 3 2 2 2 3" xfId="8291"/>
    <cellStyle name="Normal 46 3 2 2 2 3 2" xfId="24888"/>
    <cellStyle name="Normal 46 3 2 2 2 3 3" xfId="16591"/>
    <cellStyle name="Normal 46 3 2 2 2 4" xfId="20748"/>
    <cellStyle name="Normal 46 3 2 2 2 5" xfId="12451"/>
    <cellStyle name="Normal 46 3 2 2 3" xfId="5173"/>
    <cellStyle name="Normal 46 3 2 2 3 2" xfId="9329"/>
    <cellStyle name="Normal 46 3 2 2 3 2 2" xfId="25926"/>
    <cellStyle name="Normal 46 3 2 2 3 2 3" xfId="17629"/>
    <cellStyle name="Normal 46 3 2 2 3 3" xfId="21786"/>
    <cellStyle name="Normal 46 3 2 2 3 4" xfId="13489"/>
    <cellStyle name="Normal 46 3 2 2 4" xfId="7257"/>
    <cellStyle name="Normal 46 3 2 2 4 2" xfId="23854"/>
    <cellStyle name="Normal 46 3 2 2 4 3" xfId="15557"/>
    <cellStyle name="Normal 46 3 2 2 5" xfId="19714"/>
    <cellStyle name="Normal 46 3 2 2 6" xfId="11417"/>
    <cellStyle name="Normal 46 3 2 3" xfId="3564"/>
    <cellStyle name="Normal 46 3 2 3 2" xfId="5692"/>
    <cellStyle name="Normal 46 3 2 3 2 2" xfId="9848"/>
    <cellStyle name="Normal 46 3 2 3 2 2 2" xfId="26445"/>
    <cellStyle name="Normal 46 3 2 3 2 2 3" xfId="18148"/>
    <cellStyle name="Normal 46 3 2 3 2 3" xfId="22305"/>
    <cellStyle name="Normal 46 3 2 3 2 4" xfId="14008"/>
    <cellStyle name="Normal 46 3 2 3 3" xfId="7776"/>
    <cellStyle name="Normal 46 3 2 3 3 2" xfId="24373"/>
    <cellStyle name="Normal 46 3 2 3 3 3" xfId="16076"/>
    <cellStyle name="Normal 46 3 2 3 4" xfId="20233"/>
    <cellStyle name="Normal 46 3 2 3 5" xfId="11936"/>
    <cellStyle name="Normal 46 3 2 4" xfId="4644"/>
    <cellStyle name="Normal 46 3 2 4 2" xfId="8812"/>
    <cellStyle name="Normal 46 3 2 4 2 2" xfId="25409"/>
    <cellStyle name="Normal 46 3 2 4 2 3" xfId="17112"/>
    <cellStyle name="Normal 46 3 2 4 3" xfId="21269"/>
    <cellStyle name="Normal 46 3 2 4 4" xfId="12972"/>
    <cellStyle name="Normal 46 3 2 5" xfId="6735"/>
    <cellStyle name="Normal 46 3 2 5 2" xfId="23339"/>
    <cellStyle name="Normal 46 3 2 5 3" xfId="15042"/>
    <cellStyle name="Normal 46 3 2 6" xfId="19196"/>
    <cellStyle name="Normal 46 3 2 7" xfId="10899"/>
    <cellStyle name="Normal 46 3 3" xfId="3035"/>
    <cellStyle name="Normal 46 3 3 2" xfId="4081"/>
    <cellStyle name="Normal 46 3 3 2 2" xfId="6206"/>
    <cellStyle name="Normal 46 3 3 2 2 2" xfId="10362"/>
    <cellStyle name="Normal 46 3 3 2 2 2 2" xfId="26959"/>
    <cellStyle name="Normal 46 3 3 2 2 2 3" xfId="18662"/>
    <cellStyle name="Normal 46 3 3 2 2 3" xfId="22819"/>
    <cellStyle name="Normal 46 3 3 2 2 4" xfId="14522"/>
    <cellStyle name="Normal 46 3 3 2 3" xfId="8290"/>
    <cellStyle name="Normal 46 3 3 2 3 2" xfId="24887"/>
    <cellStyle name="Normal 46 3 3 2 3 3" xfId="16590"/>
    <cellStyle name="Normal 46 3 3 2 4" xfId="20747"/>
    <cellStyle name="Normal 46 3 3 2 5" xfId="12450"/>
    <cellStyle name="Normal 46 3 3 3" xfId="5172"/>
    <cellStyle name="Normal 46 3 3 3 2" xfId="9328"/>
    <cellStyle name="Normal 46 3 3 3 2 2" xfId="25925"/>
    <cellStyle name="Normal 46 3 3 3 2 3" xfId="17628"/>
    <cellStyle name="Normal 46 3 3 3 3" xfId="21785"/>
    <cellStyle name="Normal 46 3 3 3 4" xfId="13488"/>
    <cellStyle name="Normal 46 3 3 4" xfId="7256"/>
    <cellStyle name="Normal 46 3 3 4 2" xfId="23853"/>
    <cellStyle name="Normal 46 3 3 4 3" xfId="15556"/>
    <cellStyle name="Normal 46 3 3 5" xfId="19713"/>
    <cellStyle name="Normal 46 3 3 6" xfId="11416"/>
    <cellStyle name="Normal 46 3 4" xfId="3563"/>
    <cellStyle name="Normal 46 3 4 2" xfId="5691"/>
    <cellStyle name="Normal 46 3 4 2 2" xfId="9847"/>
    <cellStyle name="Normal 46 3 4 2 2 2" xfId="26444"/>
    <cellStyle name="Normal 46 3 4 2 2 3" xfId="18147"/>
    <cellStyle name="Normal 46 3 4 2 3" xfId="22304"/>
    <cellStyle name="Normal 46 3 4 2 4" xfId="14007"/>
    <cellStyle name="Normal 46 3 4 3" xfId="7775"/>
    <cellStyle name="Normal 46 3 4 3 2" xfId="24372"/>
    <cellStyle name="Normal 46 3 4 3 3" xfId="16075"/>
    <cellStyle name="Normal 46 3 4 4" xfId="20232"/>
    <cellStyle name="Normal 46 3 4 5" xfId="11935"/>
    <cellStyle name="Normal 46 3 5" xfId="4643"/>
    <cellStyle name="Normal 46 3 5 2" xfId="8811"/>
    <cellStyle name="Normal 46 3 5 2 2" xfId="25408"/>
    <cellStyle name="Normal 46 3 5 2 3" xfId="17111"/>
    <cellStyle name="Normal 46 3 5 3" xfId="21268"/>
    <cellStyle name="Normal 46 3 5 4" xfId="12971"/>
    <cellStyle name="Normal 46 3 6" xfId="6734"/>
    <cellStyle name="Normal 46 3 6 2" xfId="23338"/>
    <cellStyle name="Normal 46 3 6 3" xfId="15041"/>
    <cellStyle name="Normal 46 3 7" xfId="19195"/>
    <cellStyle name="Normal 46 3 8" xfId="10898"/>
    <cellStyle name="Normal 46 4" xfId="1703"/>
    <cellStyle name="Normal 46 4 2" xfId="3037"/>
    <cellStyle name="Normal 46 4 2 2" xfId="4083"/>
    <cellStyle name="Normal 46 4 2 2 2" xfId="6208"/>
    <cellStyle name="Normal 46 4 2 2 2 2" xfId="10364"/>
    <cellStyle name="Normal 46 4 2 2 2 2 2" xfId="26961"/>
    <cellStyle name="Normal 46 4 2 2 2 2 3" xfId="18664"/>
    <cellStyle name="Normal 46 4 2 2 2 3" xfId="22821"/>
    <cellStyle name="Normal 46 4 2 2 2 4" xfId="14524"/>
    <cellStyle name="Normal 46 4 2 2 3" xfId="8292"/>
    <cellStyle name="Normal 46 4 2 2 3 2" xfId="24889"/>
    <cellStyle name="Normal 46 4 2 2 3 3" xfId="16592"/>
    <cellStyle name="Normal 46 4 2 2 4" xfId="20749"/>
    <cellStyle name="Normal 46 4 2 2 5" xfId="12452"/>
    <cellStyle name="Normal 46 4 2 3" xfId="5174"/>
    <cellStyle name="Normal 46 4 2 3 2" xfId="9330"/>
    <cellStyle name="Normal 46 4 2 3 2 2" xfId="25927"/>
    <cellStyle name="Normal 46 4 2 3 2 3" xfId="17630"/>
    <cellStyle name="Normal 46 4 2 3 3" xfId="21787"/>
    <cellStyle name="Normal 46 4 2 3 4" xfId="13490"/>
    <cellStyle name="Normal 46 4 2 4" xfId="7258"/>
    <cellStyle name="Normal 46 4 2 4 2" xfId="23855"/>
    <cellStyle name="Normal 46 4 2 4 3" xfId="15558"/>
    <cellStyle name="Normal 46 4 2 5" xfId="19715"/>
    <cellStyle name="Normal 46 4 2 6" xfId="11418"/>
    <cellStyle name="Normal 46 4 3" xfId="3565"/>
    <cellStyle name="Normal 46 4 3 2" xfId="5693"/>
    <cellStyle name="Normal 46 4 3 2 2" xfId="9849"/>
    <cellStyle name="Normal 46 4 3 2 2 2" xfId="26446"/>
    <cellStyle name="Normal 46 4 3 2 2 3" xfId="18149"/>
    <cellStyle name="Normal 46 4 3 2 3" xfId="22306"/>
    <cellStyle name="Normal 46 4 3 2 4" xfId="14009"/>
    <cellStyle name="Normal 46 4 3 3" xfId="7777"/>
    <cellStyle name="Normal 46 4 3 3 2" xfId="24374"/>
    <cellStyle name="Normal 46 4 3 3 3" xfId="16077"/>
    <cellStyle name="Normal 46 4 3 4" xfId="20234"/>
    <cellStyle name="Normal 46 4 3 5" xfId="11937"/>
    <cellStyle name="Normal 46 4 4" xfId="4645"/>
    <cellStyle name="Normal 46 4 4 2" xfId="8813"/>
    <cellStyle name="Normal 46 4 4 2 2" xfId="25410"/>
    <cellStyle name="Normal 46 4 4 2 3" xfId="17113"/>
    <cellStyle name="Normal 46 4 4 3" xfId="21270"/>
    <cellStyle name="Normal 46 4 4 4" xfId="12973"/>
    <cellStyle name="Normal 46 4 5" xfId="6736"/>
    <cellStyle name="Normal 46 4 5 2" xfId="23340"/>
    <cellStyle name="Normal 46 4 5 3" xfId="15043"/>
    <cellStyle name="Normal 46 4 6" xfId="19197"/>
    <cellStyle name="Normal 46 4 7" xfId="10900"/>
    <cellStyle name="Normal 46 5" xfId="3032"/>
    <cellStyle name="Normal 46 5 2" xfId="4078"/>
    <cellStyle name="Normal 46 5 2 2" xfId="6203"/>
    <cellStyle name="Normal 46 5 2 2 2" xfId="10359"/>
    <cellStyle name="Normal 46 5 2 2 2 2" xfId="26956"/>
    <cellStyle name="Normal 46 5 2 2 2 3" xfId="18659"/>
    <cellStyle name="Normal 46 5 2 2 3" xfId="22816"/>
    <cellStyle name="Normal 46 5 2 2 4" xfId="14519"/>
    <cellStyle name="Normal 46 5 2 3" xfId="8287"/>
    <cellStyle name="Normal 46 5 2 3 2" xfId="24884"/>
    <cellStyle name="Normal 46 5 2 3 3" xfId="16587"/>
    <cellStyle name="Normal 46 5 2 4" xfId="20744"/>
    <cellStyle name="Normal 46 5 2 5" xfId="12447"/>
    <cellStyle name="Normal 46 5 3" xfId="5169"/>
    <cellStyle name="Normal 46 5 3 2" xfId="9325"/>
    <cellStyle name="Normal 46 5 3 2 2" xfId="25922"/>
    <cellStyle name="Normal 46 5 3 2 3" xfId="17625"/>
    <cellStyle name="Normal 46 5 3 3" xfId="21782"/>
    <cellStyle name="Normal 46 5 3 4" xfId="13485"/>
    <cellStyle name="Normal 46 5 4" xfId="7253"/>
    <cellStyle name="Normal 46 5 4 2" xfId="23850"/>
    <cellStyle name="Normal 46 5 4 3" xfId="15553"/>
    <cellStyle name="Normal 46 5 5" xfId="19710"/>
    <cellStyle name="Normal 46 5 6" xfId="11413"/>
    <cellStyle name="Normal 46 6" xfId="3560"/>
    <cellStyle name="Normal 46 6 2" xfId="5688"/>
    <cellStyle name="Normal 46 6 2 2" xfId="9844"/>
    <cellStyle name="Normal 46 6 2 2 2" xfId="26441"/>
    <cellStyle name="Normal 46 6 2 2 3" xfId="18144"/>
    <cellStyle name="Normal 46 6 2 3" xfId="22301"/>
    <cellStyle name="Normal 46 6 2 4" xfId="14004"/>
    <cellStyle name="Normal 46 6 3" xfId="7772"/>
    <cellStyle name="Normal 46 6 3 2" xfId="24369"/>
    <cellStyle name="Normal 46 6 3 3" xfId="16072"/>
    <cellStyle name="Normal 46 6 4" xfId="20229"/>
    <cellStyle name="Normal 46 6 5" xfId="11932"/>
    <cellStyle name="Normal 46 7" xfId="4640"/>
    <cellStyle name="Normal 46 7 2" xfId="8808"/>
    <cellStyle name="Normal 46 7 2 2" xfId="25405"/>
    <cellStyle name="Normal 46 7 2 3" xfId="17108"/>
    <cellStyle name="Normal 46 7 3" xfId="21265"/>
    <cellStyle name="Normal 46 7 4" xfId="12968"/>
    <cellStyle name="Normal 46 8" xfId="6731"/>
    <cellStyle name="Normal 46 8 2" xfId="23335"/>
    <cellStyle name="Normal 46 8 3" xfId="15038"/>
    <cellStyle name="Normal 46 9" xfId="19192"/>
    <cellStyle name="Normal 47" xfId="1704"/>
    <cellStyle name="Normal 47 10" xfId="10901"/>
    <cellStyle name="Normal 47 2" xfId="1705"/>
    <cellStyle name="Normal 47 2 2" xfId="1706"/>
    <cellStyle name="Normal 47 2 2 2" xfId="3040"/>
    <cellStyle name="Normal 47 2 2 2 2" xfId="4086"/>
    <cellStyle name="Normal 47 2 2 2 2 2" xfId="6211"/>
    <cellStyle name="Normal 47 2 2 2 2 2 2" xfId="10367"/>
    <cellStyle name="Normal 47 2 2 2 2 2 2 2" xfId="26964"/>
    <cellStyle name="Normal 47 2 2 2 2 2 2 3" xfId="18667"/>
    <cellStyle name="Normal 47 2 2 2 2 2 3" xfId="22824"/>
    <cellStyle name="Normal 47 2 2 2 2 2 4" xfId="14527"/>
    <cellStyle name="Normal 47 2 2 2 2 3" xfId="8295"/>
    <cellStyle name="Normal 47 2 2 2 2 3 2" xfId="24892"/>
    <cellStyle name="Normal 47 2 2 2 2 3 3" xfId="16595"/>
    <cellStyle name="Normal 47 2 2 2 2 4" xfId="20752"/>
    <cellStyle name="Normal 47 2 2 2 2 5" xfId="12455"/>
    <cellStyle name="Normal 47 2 2 2 3" xfId="5177"/>
    <cellStyle name="Normal 47 2 2 2 3 2" xfId="9333"/>
    <cellStyle name="Normal 47 2 2 2 3 2 2" xfId="25930"/>
    <cellStyle name="Normal 47 2 2 2 3 2 3" xfId="17633"/>
    <cellStyle name="Normal 47 2 2 2 3 3" xfId="21790"/>
    <cellStyle name="Normal 47 2 2 2 3 4" xfId="13493"/>
    <cellStyle name="Normal 47 2 2 2 4" xfId="7261"/>
    <cellStyle name="Normal 47 2 2 2 4 2" xfId="23858"/>
    <cellStyle name="Normal 47 2 2 2 4 3" xfId="15561"/>
    <cellStyle name="Normal 47 2 2 2 5" xfId="19718"/>
    <cellStyle name="Normal 47 2 2 2 6" xfId="11421"/>
    <cellStyle name="Normal 47 2 2 3" xfId="3568"/>
    <cellStyle name="Normal 47 2 2 3 2" xfId="5696"/>
    <cellStyle name="Normal 47 2 2 3 2 2" xfId="9852"/>
    <cellStyle name="Normal 47 2 2 3 2 2 2" xfId="26449"/>
    <cellStyle name="Normal 47 2 2 3 2 2 3" xfId="18152"/>
    <cellStyle name="Normal 47 2 2 3 2 3" xfId="22309"/>
    <cellStyle name="Normal 47 2 2 3 2 4" xfId="14012"/>
    <cellStyle name="Normal 47 2 2 3 3" xfId="7780"/>
    <cellStyle name="Normal 47 2 2 3 3 2" xfId="24377"/>
    <cellStyle name="Normal 47 2 2 3 3 3" xfId="16080"/>
    <cellStyle name="Normal 47 2 2 3 4" xfId="20237"/>
    <cellStyle name="Normal 47 2 2 3 5" xfId="11940"/>
    <cellStyle name="Normal 47 2 2 4" xfId="4648"/>
    <cellStyle name="Normal 47 2 2 4 2" xfId="8816"/>
    <cellStyle name="Normal 47 2 2 4 2 2" xfId="25413"/>
    <cellStyle name="Normal 47 2 2 4 2 3" xfId="17116"/>
    <cellStyle name="Normal 47 2 2 4 3" xfId="21273"/>
    <cellStyle name="Normal 47 2 2 4 4" xfId="12976"/>
    <cellStyle name="Normal 47 2 2 5" xfId="6739"/>
    <cellStyle name="Normal 47 2 2 5 2" xfId="23343"/>
    <cellStyle name="Normal 47 2 2 5 3" xfId="15046"/>
    <cellStyle name="Normal 47 2 2 6" xfId="19200"/>
    <cellStyle name="Normal 47 2 2 7" xfId="10903"/>
    <cellStyle name="Normal 47 2 3" xfId="3039"/>
    <cellStyle name="Normal 47 2 3 2" xfId="4085"/>
    <cellStyle name="Normal 47 2 3 2 2" xfId="6210"/>
    <cellStyle name="Normal 47 2 3 2 2 2" xfId="10366"/>
    <cellStyle name="Normal 47 2 3 2 2 2 2" xfId="26963"/>
    <cellStyle name="Normal 47 2 3 2 2 2 3" xfId="18666"/>
    <cellStyle name="Normal 47 2 3 2 2 3" xfId="22823"/>
    <cellStyle name="Normal 47 2 3 2 2 4" xfId="14526"/>
    <cellStyle name="Normal 47 2 3 2 3" xfId="8294"/>
    <cellStyle name="Normal 47 2 3 2 3 2" xfId="24891"/>
    <cellStyle name="Normal 47 2 3 2 3 3" xfId="16594"/>
    <cellStyle name="Normal 47 2 3 2 4" xfId="20751"/>
    <cellStyle name="Normal 47 2 3 2 5" xfId="12454"/>
    <cellStyle name="Normal 47 2 3 3" xfId="5176"/>
    <cellStyle name="Normal 47 2 3 3 2" xfId="9332"/>
    <cellStyle name="Normal 47 2 3 3 2 2" xfId="25929"/>
    <cellStyle name="Normal 47 2 3 3 2 3" xfId="17632"/>
    <cellStyle name="Normal 47 2 3 3 3" xfId="21789"/>
    <cellStyle name="Normal 47 2 3 3 4" xfId="13492"/>
    <cellStyle name="Normal 47 2 3 4" xfId="7260"/>
    <cellStyle name="Normal 47 2 3 4 2" xfId="23857"/>
    <cellStyle name="Normal 47 2 3 4 3" xfId="15560"/>
    <cellStyle name="Normal 47 2 3 5" xfId="19717"/>
    <cellStyle name="Normal 47 2 3 6" xfId="11420"/>
    <cellStyle name="Normal 47 2 4" xfId="3567"/>
    <cellStyle name="Normal 47 2 4 2" xfId="5695"/>
    <cellStyle name="Normal 47 2 4 2 2" xfId="9851"/>
    <cellStyle name="Normal 47 2 4 2 2 2" xfId="26448"/>
    <cellStyle name="Normal 47 2 4 2 2 3" xfId="18151"/>
    <cellStyle name="Normal 47 2 4 2 3" xfId="22308"/>
    <cellStyle name="Normal 47 2 4 2 4" xfId="14011"/>
    <cellStyle name="Normal 47 2 4 3" xfId="7779"/>
    <cellStyle name="Normal 47 2 4 3 2" xfId="24376"/>
    <cellStyle name="Normal 47 2 4 3 3" xfId="16079"/>
    <cellStyle name="Normal 47 2 4 4" xfId="20236"/>
    <cellStyle name="Normal 47 2 4 5" xfId="11939"/>
    <cellStyle name="Normal 47 2 5" xfId="4647"/>
    <cellStyle name="Normal 47 2 5 2" xfId="8815"/>
    <cellStyle name="Normal 47 2 5 2 2" xfId="25412"/>
    <cellStyle name="Normal 47 2 5 2 3" xfId="17115"/>
    <cellStyle name="Normal 47 2 5 3" xfId="21272"/>
    <cellStyle name="Normal 47 2 5 4" xfId="12975"/>
    <cellStyle name="Normal 47 2 6" xfId="6738"/>
    <cellStyle name="Normal 47 2 6 2" xfId="23342"/>
    <cellStyle name="Normal 47 2 6 3" xfId="15045"/>
    <cellStyle name="Normal 47 2 7" xfId="19199"/>
    <cellStyle name="Normal 47 2 8" xfId="10902"/>
    <cellStyle name="Normal 47 3" xfId="1707"/>
    <cellStyle name="Normal 47 3 2" xfId="1708"/>
    <cellStyle name="Normal 47 3 2 2" xfId="3042"/>
    <cellStyle name="Normal 47 3 2 2 2" xfId="4088"/>
    <cellStyle name="Normal 47 3 2 2 2 2" xfId="6213"/>
    <cellStyle name="Normal 47 3 2 2 2 2 2" xfId="10369"/>
    <cellStyle name="Normal 47 3 2 2 2 2 2 2" xfId="26966"/>
    <cellStyle name="Normal 47 3 2 2 2 2 2 3" xfId="18669"/>
    <cellStyle name="Normal 47 3 2 2 2 2 3" xfId="22826"/>
    <cellStyle name="Normal 47 3 2 2 2 2 4" xfId="14529"/>
    <cellStyle name="Normal 47 3 2 2 2 3" xfId="8297"/>
    <cellStyle name="Normal 47 3 2 2 2 3 2" xfId="24894"/>
    <cellStyle name="Normal 47 3 2 2 2 3 3" xfId="16597"/>
    <cellStyle name="Normal 47 3 2 2 2 4" xfId="20754"/>
    <cellStyle name="Normal 47 3 2 2 2 5" xfId="12457"/>
    <cellStyle name="Normal 47 3 2 2 3" xfId="5179"/>
    <cellStyle name="Normal 47 3 2 2 3 2" xfId="9335"/>
    <cellStyle name="Normal 47 3 2 2 3 2 2" xfId="25932"/>
    <cellStyle name="Normal 47 3 2 2 3 2 3" xfId="17635"/>
    <cellStyle name="Normal 47 3 2 2 3 3" xfId="21792"/>
    <cellStyle name="Normal 47 3 2 2 3 4" xfId="13495"/>
    <cellStyle name="Normal 47 3 2 2 4" xfId="7263"/>
    <cellStyle name="Normal 47 3 2 2 4 2" xfId="23860"/>
    <cellStyle name="Normal 47 3 2 2 4 3" xfId="15563"/>
    <cellStyle name="Normal 47 3 2 2 5" xfId="19720"/>
    <cellStyle name="Normal 47 3 2 2 6" xfId="11423"/>
    <cellStyle name="Normal 47 3 2 3" xfId="3570"/>
    <cellStyle name="Normal 47 3 2 3 2" xfId="5698"/>
    <cellStyle name="Normal 47 3 2 3 2 2" xfId="9854"/>
    <cellStyle name="Normal 47 3 2 3 2 2 2" xfId="26451"/>
    <cellStyle name="Normal 47 3 2 3 2 2 3" xfId="18154"/>
    <cellStyle name="Normal 47 3 2 3 2 3" xfId="22311"/>
    <cellStyle name="Normal 47 3 2 3 2 4" xfId="14014"/>
    <cellStyle name="Normal 47 3 2 3 3" xfId="7782"/>
    <cellStyle name="Normal 47 3 2 3 3 2" xfId="24379"/>
    <cellStyle name="Normal 47 3 2 3 3 3" xfId="16082"/>
    <cellStyle name="Normal 47 3 2 3 4" xfId="20239"/>
    <cellStyle name="Normal 47 3 2 3 5" xfId="11942"/>
    <cellStyle name="Normal 47 3 2 4" xfId="4650"/>
    <cellStyle name="Normal 47 3 2 4 2" xfId="8818"/>
    <cellStyle name="Normal 47 3 2 4 2 2" xfId="25415"/>
    <cellStyle name="Normal 47 3 2 4 2 3" xfId="17118"/>
    <cellStyle name="Normal 47 3 2 4 3" xfId="21275"/>
    <cellStyle name="Normal 47 3 2 4 4" xfId="12978"/>
    <cellStyle name="Normal 47 3 2 5" xfId="6741"/>
    <cellStyle name="Normal 47 3 2 5 2" xfId="23345"/>
    <cellStyle name="Normal 47 3 2 5 3" xfId="15048"/>
    <cellStyle name="Normal 47 3 2 6" xfId="19202"/>
    <cellStyle name="Normal 47 3 2 7" xfId="10905"/>
    <cellStyle name="Normal 47 3 3" xfId="3041"/>
    <cellStyle name="Normal 47 3 3 2" xfId="4087"/>
    <cellStyle name="Normal 47 3 3 2 2" xfId="6212"/>
    <cellStyle name="Normal 47 3 3 2 2 2" xfId="10368"/>
    <cellStyle name="Normal 47 3 3 2 2 2 2" xfId="26965"/>
    <cellStyle name="Normal 47 3 3 2 2 2 3" xfId="18668"/>
    <cellStyle name="Normal 47 3 3 2 2 3" xfId="22825"/>
    <cellStyle name="Normal 47 3 3 2 2 4" xfId="14528"/>
    <cellStyle name="Normal 47 3 3 2 3" xfId="8296"/>
    <cellStyle name="Normal 47 3 3 2 3 2" xfId="24893"/>
    <cellStyle name="Normal 47 3 3 2 3 3" xfId="16596"/>
    <cellStyle name="Normal 47 3 3 2 4" xfId="20753"/>
    <cellStyle name="Normal 47 3 3 2 5" xfId="12456"/>
    <cellStyle name="Normal 47 3 3 3" xfId="5178"/>
    <cellStyle name="Normal 47 3 3 3 2" xfId="9334"/>
    <cellStyle name="Normal 47 3 3 3 2 2" xfId="25931"/>
    <cellStyle name="Normal 47 3 3 3 2 3" xfId="17634"/>
    <cellStyle name="Normal 47 3 3 3 3" xfId="21791"/>
    <cellStyle name="Normal 47 3 3 3 4" xfId="13494"/>
    <cellStyle name="Normal 47 3 3 4" xfId="7262"/>
    <cellStyle name="Normal 47 3 3 4 2" xfId="23859"/>
    <cellStyle name="Normal 47 3 3 4 3" xfId="15562"/>
    <cellStyle name="Normal 47 3 3 5" xfId="19719"/>
    <cellStyle name="Normal 47 3 3 6" xfId="11422"/>
    <cellStyle name="Normal 47 3 4" xfId="3569"/>
    <cellStyle name="Normal 47 3 4 2" xfId="5697"/>
    <cellStyle name="Normal 47 3 4 2 2" xfId="9853"/>
    <cellStyle name="Normal 47 3 4 2 2 2" xfId="26450"/>
    <cellStyle name="Normal 47 3 4 2 2 3" xfId="18153"/>
    <cellStyle name="Normal 47 3 4 2 3" xfId="22310"/>
    <cellStyle name="Normal 47 3 4 2 4" xfId="14013"/>
    <cellStyle name="Normal 47 3 4 3" xfId="7781"/>
    <cellStyle name="Normal 47 3 4 3 2" xfId="24378"/>
    <cellStyle name="Normal 47 3 4 3 3" xfId="16081"/>
    <cellStyle name="Normal 47 3 4 4" xfId="20238"/>
    <cellStyle name="Normal 47 3 4 5" xfId="11941"/>
    <cellStyle name="Normal 47 3 5" xfId="4649"/>
    <cellStyle name="Normal 47 3 5 2" xfId="8817"/>
    <cellStyle name="Normal 47 3 5 2 2" xfId="25414"/>
    <cellStyle name="Normal 47 3 5 2 3" xfId="17117"/>
    <cellStyle name="Normal 47 3 5 3" xfId="21274"/>
    <cellStyle name="Normal 47 3 5 4" xfId="12977"/>
    <cellStyle name="Normal 47 3 6" xfId="6740"/>
    <cellStyle name="Normal 47 3 6 2" xfId="23344"/>
    <cellStyle name="Normal 47 3 6 3" xfId="15047"/>
    <cellStyle name="Normal 47 3 7" xfId="19201"/>
    <cellStyle name="Normal 47 3 8" xfId="10904"/>
    <cellStyle name="Normal 47 4" xfId="1709"/>
    <cellStyle name="Normal 47 4 2" xfId="3043"/>
    <cellStyle name="Normal 47 4 2 2" xfId="4089"/>
    <cellStyle name="Normal 47 4 2 2 2" xfId="6214"/>
    <cellStyle name="Normal 47 4 2 2 2 2" xfId="10370"/>
    <cellStyle name="Normal 47 4 2 2 2 2 2" xfId="26967"/>
    <cellStyle name="Normal 47 4 2 2 2 2 3" xfId="18670"/>
    <cellStyle name="Normal 47 4 2 2 2 3" xfId="22827"/>
    <cellStyle name="Normal 47 4 2 2 2 4" xfId="14530"/>
    <cellStyle name="Normal 47 4 2 2 3" xfId="8298"/>
    <cellStyle name="Normal 47 4 2 2 3 2" xfId="24895"/>
    <cellStyle name="Normal 47 4 2 2 3 3" xfId="16598"/>
    <cellStyle name="Normal 47 4 2 2 4" xfId="20755"/>
    <cellStyle name="Normal 47 4 2 2 5" xfId="12458"/>
    <cellStyle name="Normal 47 4 2 3" xfId="5180"/>
    <cellStyle name="Normal 47 4 2 3 2" xfId="9336"/>
    <cellStyle name="Normal 47 4 2 3 2 2" xfId="25933"/>
    <cellStyle name="Normal 47 4 2 3 2 3" xfId="17636"/>
    <cellStyle name="Normal 47 4 2 3 3" xfId="21793"/>
    <cellStyle name="Normal 47 4 2 3 4" xfId="13496"/>
    <cellStyle name="Normal 47 4 2 4" xfId="7264"/>
    <cellStyle name="Normal 47 4 2 4 2" xfId="23861"/>
    <cellStyle name="Normal 47 4 2 4 3" xfId="15564"/>
    <cellStyle name="Normal 47 4 2 5" xfId="19721"/>
    <cellStyle name="Normal 47 4 2 6" xfId="11424"/>
    <cellStyle name="Normal 47 4 3" xfId="3571"/>
    <cellStyle name="Normal 47 4 3 2" xfId="5699"/>
    <cellStyle name="Normal 47 4 3 2 2" xfId="9855"/>
    <cellStyle name="Normal 47 4 3 2 2 2" xfId="26452"/>
    <cellStyle name="Normal 47 4 3 2 2 3" xfId="18155"/>
    <cellStyle name="Normal 47 4 3 2 3" xfId="22312"/>
    <cellStyle name="Normal 47 4 3 2 4" xfId="14015"/>
    <cellStyle name="Normal 47 4 3 3" xfId="7783"/>
    <cellStyle name="Normal 47 4 3 3 2" xfId="24380"/>
    <cellStyle name="Normal 47 4 3 3 3" xfId="16083"/>
    <cellStyle name="Normal 47 4 3 4" xfId="20240"/>
    <cellStyle name="Normal 47 4 3 5" xfId="11943"/>
    <cellStyle name="Normal 47 4 4" xfId="4651"/>
    <cellStyle name="Normal 47 4 4 2" xfId="8819"/>
    <cellStyle name="Normal 47 4 4 2 2" xfId="25416"/>
    <cellStyle name="Normal 47 4 4 2 3" xfId="17119"/>
    <cellStyle name="Normal 47 4 4 3" xfId="21276"/>
    <cellStyle name="Normal 47 4 4 4" xfId="12979"/>
    <cellStyle name="Normal 47 4 5" xfId="6742"/>
    <cellStyle name="Normal 47 4 5 2" xfId="23346"/>
    <cellStyle name="Normal 47 4 5 3" xfId="15049"/>
    <cellStyle name="Normal 47 4 6" xfId="19203"/>
    <cellStyle name="Normal 47 4 7" xfId="10906"/>
    <cellStyle name="Normal 47 5" xfId="3038"/>
    <cellStyle name="Normal 47 5 2" xfId="4084"/>
    <cellStyle name="Normal 47 5 2 2" xfId="6209"/>
    <cellStyle name="Normal 47 5 2 2 2" xfId="10365"/>
    <cellStyle name="Normal 47 5 2 2 2 2" xfId="26962"/>
    <cellStyle name="Normal 47 5 2 2 2 3" xfId="18665"/>
    <cellStyle name="Normal 47 5 2 2 3" xfId="22822"/>
    <cellStyle name="Normal 47 5 2 2 4" xfId="14525"/>
    <cellStyle name="Normal 47 5 2 3" xfId="8293"/>
    <cellStyle name="Normal 47 5 2 3 2" xfId="24890"/>
    <cellStyle name="Normal 47 5 2 3 3" xfId="16593"/>
    <cellStyle name="Normal 47 5 2 4" xfId="20750"/>
    <cellStyle name="Normal 47 5 2 5" xfId="12453"/>
    <cellStyle name="Normal 47 5 3" xfId="5175"/>
    <cellStyle name="Normal 47 5 3 2" xfId="9331"/>
    <cellStyle name="Normal 47 5 3 2 2" xfId="25928"/>
    <cellStyle name="Normal 47 5 3 2 3" xfId="17631"/>
    <cellStyle name="Normal 47 5 3 3" xfId="21788"/>
    <cellStyle name="Normal 47 5 3 4" xfId="13491"/>
    <cellStyle name="Normal 47 5 4" xfId="7259"/>
    <cellStyle name="Normal 47 5 4 2" xfId="23856"/>
    <cellStyle name="Normal 47 5 4 3" xfId="15559"/>
    <cellStyle name="Normal 47 5 5" xfId="19716"/>
    <cellStyle name="Normal 47 5 6" xfId="11419"/>
    <cellStyle name="Normal 47 6" xfId="3566"/>
    <cellStyle name="Normal 47 6 2" xfId="5694"/>
    <cellStyle name="Normal 47 6 2 2" xfId="9850"/>
    <cellStyle name="Normal 47 6 2 2 2" xfId="26447"/>
    <cellStyle name="Normal 47 6 2 2 3" xfId="18150"/>
    <cellStyle name="Normal 47 6 2 3" xfId="22307"/>
    <cellStyle name="Normal 47 6 2 4" xfId="14010"/>
    <cellStyle name="Normal 47 6 3" xfId="7778"/>
    <cellStyle name="Normal 47 6 3 2" xfId="24375"/>
    <cellStyle name="Normal 47 6 3 3" xfId="16078"/>
    <cellStyle name="Normal 47 6 4" xfId="20235"/>
    <cellStyle name="Normal 47 6 5" xfId="11938"/>
    <cellStyle name="Normal 47 7" xfId="4646"/>
    <cellStyle name="Normal 47 7 2" xfId="8814"/>
    <cellStyle name="Normal 47 7 2 2" xfId="25411"/>
    <cellStyle name="Normal 47 7 2 3" xfId="17114"/>
    <cellStyle name="Normal 47 7 3" xfId="21271"/>
    <cellStyle name="Normal 47 7 4" xfId="12974"/>
    <cellStyle name="Normal 47 8" xfId="6737"/>
    <cellStyle name="Normal 47 8 2" xfId="23341"/>
    <cellStyle name="Normal 47 8 3" xfId="15044"/>
    <cellStyle name="Normal 47 9" xfId="19198"/>
    <cellStyle name="Normal 48" xfId="1710"/>
    <cellStyle name="Normal 48 10" xfId="10907"/>
    <cellStyle name="Normal 48 2" xfId="1711"/>
    <cellStyle name="Normal 48 2 2" xfId="1712"/>
    <cellStyle name="Normal 48 2 2 2" xfId="3046"/>
    <cellStyle name="Normal 48 2 2 2 2" xfId="4092"/>
    <cellStyle name="Normal 48 2 2 2 2 2" xfId="6217"/>
    <cellStyle name="Normal 48 2 2 2 2 2 2" xfId="10373"/>
    <cellStyle name="Normal 48 2 2 2 2 2 2 2" xfId="26970"/>
    <cellStyle name="Normal 48 2 2 2 2 2 2 3" xfId="18673"/>
    <cellStyle name="Normal 48 2 2 2 2 2 3" xfId="22830"/>
    <cellStyle name="Normal 48 2 2 2 2 2 4" xfId="14533"/>
    <cellStyle name="Normal 48 2 2 2 2 3" xfId="8301"/>
    <cellStyle name="Normal 48 2 2 2 2 3 2" xfId="24898"/>
    <cellStyle name="Normal 48 2 2 2 2 3 3" xfId="16601"/>
    <cellStyle name="Normal 48 2 2 2 2 4" xfId="20758"/>
    <cellStyle name="Normal 48 2 2 2 2 5" xfId="12461"/>
    <cellStyle name="Normal 48 2 2 2 3" xfId="5183"/>
    <cellStyle name="Normal 48 2 2 2 3 2" xfId="9339"/>
    <cellStyle name="Normal 48 2 2 2 3 2 2" xfId="25936"/>
    <cellStyle name="Normal 48 2 2 2 3 2 3" xfId="17639"/>
    <cellStyle name="Normal 48 2 2 2 3 3" xfId="21796"/>
    <cellStyle name="Normal 48 2 2 2 3 4" xfId="13499"/>
    <cellStyle name="Normal 48 2 2 2 4" xfId="7267"/>
    <cellStyle name="Normal 48 2 2 2 4 2" xfId="23864"/>
    <cellStyle name="Normal 48 2 2 2 4 3" xfId="15567"/>
    <cellStyle name="Normal 48 2 2 2 5" xfId="19724"/>
    <cellStyle name="Normal 48 2 2 2 6" xfId="11427"/>
    <cellStyle name="Normal 48 2 2 3" xfId="3574"/>
    <cellStyle name="Normal 48 2 2 3 2" xfId="5702"/>
    <cellStyle name="Normal 48 2 2 3 2 2" xfId="9858"/>
    <cellStyle name="Normal 48 2 2 3 2 2 2" xfId="26455"/>
    <cellStyle name="Normal 48 2 2 3 2 2 3" xfId="18158"/>
    <cellStyle name="Normal 48 2 2 3 2 3" xfId="22315"/>
    <cellStyle name="Normal 48 2 2 3 2 4" xfId="14018"/>
    <cellStyle name="Normal 48 2 2 3 3" xfId="7786"/>
    <cellStyle name="Normal 48 2 2 3 3 2" xfId="24383"/>
    <cellStyle name="Normal 48 2 2 3 3 3" xfId="16086"/>
    <cellStyle name="Normal 48 2 2 3 4" xfId="20243"/>
    <cellStyle name="Normal 48 2 2 3 5" xfId="11946"/>
    <cellStyle name="Normal 48 2 2 4" xfId="4654"/>
    <cellStyle name="Normal 48 2 2 4 2" xfId="8822"/>
    <cellStyle name="Normal 48 2 2 4 2 2" xfId="25419"/>
    <cellStyle name="Normal 48 2 2 4 2 3" xfId="17122"/>
    <cellStyle name="Normal 48 2 2 4 3" xfId="21279"/>
    <cellStyle name="Normal 48 2 2 4 4" xfId="12982"/>
    <cellStyle name="Normal 48 2 2 5" xfId="6745"/>
    <cellStyle name="Normal 48 2 2 5 2" xfId="23349"/>
    <cellStyle name="Normal 48 2 2 5 3" xfId="15052"/>
    <cellStyle name="Normal 48 2 2 6" xfId="19206"/>
    <cellStyle name="Normal 48 2 2 7" xfId="10909"/>
    <cellStyle name="Normal 48 2 3" xfId="3045"/>
    <cellStyle name="Normal 48 2 3 2" xfId="4091"/>
    <cellStyle name="Normal 48 2 3 2 2" xfId="6216"/>
    <cellStyle name="Normal 48 2 3 2 2 2" xfId="10372"/>
    <cellStyle name="Normal 48 2 3 2 2 2 2" xfId="26969"/>
    <cellStyle name="Normal 48 2 3 2 2 2 3" xfId="18672"/>
    <cellStyle name="Normal 48 2 3 2 2 3" xfId="22829"/>
    <cellStyle name="Normal 48 2 3 2 2 4" xfId="14532"/>
    <cellStyle name="Normal 48 2 3 2 3" xfId="8300"/>
    <cellStyle name="Normal 48 2 3 2 3 2" xfId="24897"/>
    <cellStyle name="Normal 48 2 3 2 3 3" xfId="16600"/>
    <cellStyle name="Normal 48 2 3 2 4" xfId="20757"/>
    <cellStyle name="Normal 48 2 3 2 5" xfId="12460"/>
    <cellStyle name="Normal 48 2 3 3" xfId="5182"/>
    <cellStyle name="Normal 48 2 3 3 2" xfId="9338"/>
    <cellStyle name="Normal 48 2 3 3 2 2" xfId="25935"/>
    <cellStyle name="Normal 48 2 3 3 2 3" xfId="17638"/>
    <cellStyle name="Normal 48 2 3 3 3" xfId="21795"/>
    <cellStyle name="Normal 48 2 3 3 4" xfId="13498"/>
    <cellStyle name="Normal 48 2 3 4" xfId="7266"/>
    <cellStyle name="Normal 48 2 3 4 2" xfId="23863"/>
    <cellStyle name="Normal 48 2 3 4 3" xfId="15566"/>
    <cellStyle name="Normal 48 2 3 5" xfId="19723"/>
    <cellStyle name="Normal 48 2 3 6" xfId="11426"/>
    <cellStyle name="Normal 48 2 4" xfId="3573"/>
    <cellStyle name="Normal 48 2 4 2" xfId="5701"/>
    <cellStyle name="Normal 48 2 4 2 2" xfId="9857"/>
    <cellStyle name="Normal 48 2 4 2 2 2" xfId="26454"/>
    <cellStyle name="Normal 48 2 4 2 2 3" xfId="18157"/>
    <cellStyle name="Normal 48 2 4 2 3" xfId="22314"/>
    <cellStyle name="Normal 48 2 4 2 4" xfId="14017"/>
    <cellStyle name="Normal 48 2 4 3" xfId="7785"/>
    <cellStyle name="Normal 48 2 4 3 2" xfId="24382"/>
    <cellStyle name="Normal 48 2 4 3 3" xfId="16085"/>
    <cellStyle name="Normal 48 2 4 4" xfId="20242"/>
    <cellStyle name="Normal 48 2 4 5" xfId="11945"/>
    <cellStyle name="Normal 48 2 5" xfId="4653"/>
    <cellStyle name="Normal 48 2 5 2" xfId="8821"/>
    <cellStyle name="Normal 48 2 5 2 2" xfId="25418"/>
    <cellStyle name="Normal 48 2 5 2 3" xfId="17121"/>
    <cellStyle name="Normal 48 2 5 3" xfId="21278"/>
    <cellStyle name="Normal 48 2 5 4" xfId="12981"/>
    <cellStyle name="Normal 48 2 6" xfId="6744"/>
    <cellStyle name="Normal 48 2 6 2" xfId="23348"/>
    <cellStyle name="Normal 48 2 6 3" xfId="15051"/>
    <cellStyle name="Normal 48 2 7" xfId="19205"/>
    <cellStyle name="Normal 48 2 8" xfId="10908"/>
    <cellStyle name="Normal 48 3" xfId="1713"/>
    <cellStyle name="Normal 48 3 2" xfId="1714"/>
    <cellStyle name="Normal 48 3 2 2" xfId="3048"/>
    <cellStyle name="Normal 48 3 2 2 2" xfId="4094"/>
    <cellStyle name="Normal 48 3 2 2 2 2" xfId="6219"/>
    <cellStyle name="Normal 48 3 2 2 2 2 2" xfId="10375"/>
    <cellStyle name="Normal 48 3 2 2 2 2 2 2" xfId="26972"/>
    <cellStyle name="Normal 48 3 2 2 2 2 2 3" xfId="18675"/>
    <cellStyle name="Normal 48 3 2 2 2 2 3" xfId="22832"/>
    <cellStyle name="Normal 48 3 2 2 2 2 4" xfId="14535"/>
    <cellStyle name="Normal 48 3 2 2 2 3" xfId="8303"/>
    <cellStyle name="Normal 48 3 2 2 2 3 2" xfId="24900"/>
    <cellStyle name="Normal 48 3 2 2 2 3 3" xfId="16603"/>
    <cellStyle name="Normal 48 3 2 2 2 4" xfId="20760"/>
    <cellStyle name="Normal 48 3 2 2 2 5" xfId="12463"/>
    <cellStyle name="Normal 48 3 2 2 3" xfId="5185"/>
    <cellStyle name="Normal 48 3 2 2 3 2" xfId="9341"/>
    <cellStyle name="Normal 48 3 2 2 3 2 2" xfId="25938"/>
    <cellStyle name="Normal 48 3 2 2 3 2 3" xfId="17641"/>
    <cellStyle name="Normal 48 3 2 2 3 3" xfId="21798"/>
    <cellStyle name="Normal 48 3 2 2 3 4" xfId="13501"/>
    <cellStyle name="Normal 48 3 2 2 4" xfId="7269"/>
    <cellStyle name="Normal 48 3 2 2 4 2" xfId="23866"/>
    <cellStyle name="Normal 48 3 2 2 4 3" xfId="15569"/>
    <cellStyle name="Normal 48 3 2 2 5" xfId="19726"/>
    <cellStyle name="Normal 48 3 2 2 6" xfId="11429"/>
    <cellStyle name="Normal 48 3 2 3" xfId="3576"/>
    <cellStyle name="Normal 48 3 2 3 2" xfId="5704"/>
    <cellStyle name="Normal 48 3 2 3 2 2" xfId="9860"/>
    <cellStyle name="Normal 48 3 2 3 2 2 2" xfId="26457"/>
    <cellStyle name="Normal 48 3 2 3 2 2 3" xfId="18160"/>
    <cellStyle name="Normal 48 3 2 3 2 3" xfId="22317"/>
    <cellStyle name="Normal 48 3 2 3 2 4" xfId="14020"/>
    <cellStyle name="Normal 48 3 2 3 3" xfId="7788"/>
    <cellStyle name="Normal 48 3 2 3 3 2" xfId="24385"/>
    <cellStyle name="Normal 48 3 2 3 3 3" xfId="16088"/>
    <cellStyle name="Normal 48 3 2 3 4" xfId="20245"/>
    <cellStyle name="Normal 48 3 2 3 5" xfId="11948"/>
    <cellStyle name="Normal 48 3 2 4" xfId="4656"/>
    <cellStyle name="Normal 48 3 2 4 2" xfId="8824"/>
    <cellStyle name="Normal 48 3 2 4 2 2" xfId="25421"/>
    <cellStyle name="Normal 48 3 2 4 2 3" xfId="17124"/>
    <cellStyle name="Normal 48 3 2 4 3" xfId="21281"/>
    <cellStyle name="Normal 48 3 2 4 4" xfId="12984"/>
    <cellStyle name="Normal 48 3 2 5" xfId="6747"/>
    <cellStyle name="Normal 48 3 2 5 2" xfId="23351"/>
    <cellStyle name="Normal 48 3 2 5 3" xfId="15054"/>
    <cellStyle name="Normal 48 3 2 6" xfId="19208"/>
    <cellStyle name="Normal 48 3 2 7" xfId="10911"/>
    <cellStyle name="Normal 48 3 3" xfId="3047"/>
    <cellStyle name="Normal 48 3 3 2" xfId="4093"/>
    <cellStyle name="Normal 48 3 3 2 2" xfId="6218"/>
    <cellStyle name="Normal 48 3 3 2 2 2" xfId="10374"/>
    <cellStyle name="Normal 48 3 3 2 2 2 2" xfId="26971"/>
    <cellStyle name="Normal 48 3 3 2 2 2 3" xfId="18674"/>
    <cellStyle name="Normal 48 3 3 2 2 3" xfId="22831"/>
    <cellStyle name="Normal 48 3 3 2 2 4" xfId="14534"/>
    <cellStyle name="Normal 48 3 3 2 3" xfId="8302"/>
    <cellStyle name="Normal 48 3 3 2 3 2" xfId="24899"/>
    <cellStyle name="Normal 48 3 3 2 3 3" xfId="16602"/>
    <cellStyle name="Normal 48 3 3 2 4" xfId="20759"/>
    <cellStyle name="Normal 48 3 3 2 5" xfId="12462"/>
    <cellStyle name="Normal 48 3 3 3" xfId="5184"/>
    <cellStyle name="Normal 48 3 3 3 2" xfId="9340"/>
    <cellStyle name="Normal 48 3 3 3 2 2" xfId="25937"/>
    <cellStyle name="Normal 48 3 3 3 2 3" xfId="17640"/>
    <cellStyle name="Normal 48 3 3 3 3" xfId="21797"/>
    <cellStyle name="Normal 48 3 3 3 4" xfId="13500"/>
    <cellStyle name="Normal 48 3 3 4" xfId="7268"/>
    <cellStyle name="Normal 48 3 3 4 2" xfId="23865"/>
    <cellStyle name="Normal 48 3 3 4 3" xfId="15568"/>
    <cellStyle name="Normal 48 3 3 5" xfId="19725"/>
    <cellStyle name="Normal 48 3 3 6" xfId="11428"/>
    <cellStyle name="Normal 48 3 4" xfId="3575"/>
    <cellStyle name="Normal 48 3 4 2" xfId="5703"/>
    <cellStyle name="Normal 48 3 4 2 2" xfId="9859"/>
    <cellStyle name="Normal 48 3 4 2 2 2" xfId="26456"/>
    <cellStyle name="Normal 48 3 4 2 2 3" xfId="18159"/>
    <cellStyle name="Normal 48 3 4 2 3" xfId="22316"/>
    <cellStyle name="Normal 48 3 4 2 4" xfId="14019"/>
    <cellStyle name="Normal 48 3 4 3" xfId="7787"/>
    <cellStyle name="Normal 48 3 4 3 2" xfId="24384"/>
    <cellStyle name="Normal 48 3 4 3 3" xfId="16087"/>
    <cellStyle name="Normal 48 3 4 4" xfId="20244"/>
    <cellStyle name="Normal 48 3 4 5" xfId="11947"/>
    <cellStyle name="Normal 48 3 5" xfId="4655"/>
    <cellStyle name="Normal 48 3 5 2" xfId="8823"/>
    <cellStyle name="Normal 48 3 5 2 2" xfId="25420"/>
    <cellStyle name="Normal 48 3 5 2 3" xfId="17123"/>
    <cellStyle name="Normal 48 3 5 3" xfId="21280"/>
    <cellStyle name="Normal 48 3 5 4" xfId="12983"/>
    <cellStyle name="Normal 48 3 6" xfId="6746"/>
    <cellStyle name="Normal 48 3 6 2" xfId="23350"/>
    <cellStyle name="Normal 48 3 6 3" xfId="15053"/>
    <cellStyle name="Normal 48 3 7" xfId="19207"/>
    <cellStyle name="Normal 48 3 8" xfId="10910"/>
    <cellStyle name="Normal 48 4" xfId="1715"/>
    <cellStyle name="Normal 48 4 2" xfId="3049"/>
    <cellStyle name="Normal 48 4 2 2" xfId="4095"/>
    <cellStyle name="Normal 48 4 2 2 2" xfId="6220"/>
    <cellStyle name="Normal 48 4 2 2 2 2" xfId="10376"/>
    <cellStyle name="Normal 48 4 2 2 2 2 2" xfId="26973"/>
    <cellStyle name="Normal 48 4 2 2 2 2 3" xfId="18676"/>
    <cellStyle name="Normal 48 4 2 2 2 3" xfId="22833"/>
    <cellStyle name="Normal 48 4 2 2 2 4" xfId="14536"/>
    <cellStyle name="Normal 48 4 2 2 3" xfId="8304"/>
    <cellStyle name="Normal 48 4 2 2 3 2" xfId="24901"/>
    <cellStyle name="Normal 48 4 2 2 3 3" xfId="16604"/>
    <cellStyle name="Normal 48 4 2 2 4" xfId="20761"/>
    <cellStyle name="Normal 48 4 2 2 5" xfId="12464"/>
    <cellStyle name="Normal 48 4 2 3" xfId="5186"/>
    <cellStyle name="Normal 48 4 2 3 2" xfId="9342"/>
    <cellStyle name="Normal 48 4 2 3 2 2" xfId="25939"/>
    <cellStyle name="Normal 48 4 2 3 2 3" xfId="17642"/>
    <cellStyle name="Normal 48 4 2 3 3" xfId="21799"/>
    <cellStyle name="Normal 48 4 2 3 4" xfId="13502"/>
    <cellStyle name="Normal 48 4 2 4" xfId="7270"/>
    <cellStyle name="Normal 48 4 2 4 2" xfId="23867"/>
    <cellStyle name="Normal 48 4 2 4 3" xfId="15570"/>
    <cellStyle name="Normal 48 4 2 5" xfId="19727"/>
    <cellStyle name="Normal 48 4 2 6" xfId="11430"/>
    <cellStyle name="Normal 48 4 3" xfId="3577"/>
    <cellStyle name="Normal 48 4 3 2" xfId="5705"/>
    <cellStyle name="Normal 48 4 3 2 2" xfId="9861"/>
    <cellStyle name="Normal 48 4 3 2 2 2" xfId="26458"/>
    <cellStyle name="Normal 48 4 3 2 2 3" xfId="18161"/>
    <cellStyle name="Normal 48 4 3 2 3" xfId="22318"/>
    <cellStyle name="Normal 48 4 3 2 4" xfId="14021"/>
    <cellStyle name="Normal 48 4 3 3" xfId="7789"/>
    <cellStyle name="Normal 48 4 3 3 2" xfId="24386"/>
    <cellStyle name="Normal 48 4 3 3 3" xfId="16089"/>
    <cellStyle name="Normal 48 4 3 4" xfId="20246"/>
    <cellStyle name="Normal 48 4 3 5" xfId="11949"/>
    <cellStyle name="Normal 48 4 4" xfId="4657"/>
    <cellStyle name="Normal 48 4 4 2" xfId="8825"/>
    <cellStyle name="Normal 48 4 4 2 2" xfId="25422"/>
    <cellStyle name="Normal 48 4 4 2 3" xfId="17125"/>
    <cellStyle name="Normal 48 4 4 3" xfId="21282"/>
    <cellStyle name="Normal 48 4 4 4" xfId="12985"/>
    <cellStyle name="Normal 48 4 5" xfId="6748"/>
    <cellStyle name="Normal 48 4 5 2" xfId="23352"/>
    <cellStyle name="Normal 48 4 5 3" xfId="15055"/>
    <cellStyle name="Normal 48 4 6" xfId="19209"/>
    <cellStyle name="Normal 48 4 7" xfId="10912"/>
    <cellStyle name="Normal 48 5" xfId="3044"/>
    <cellStyle name="Normal 48 5 2" xfId="4090"/>
    <cellStyle name="Normal 48 5 2 2" xfId="6215"/>
    <cellStyle name="Normal 48 5 2 2 2" xfId="10371"/>
    <cellStyle name="Normal 48 5 2 2 2 2" xfId="26968"/>
    <cellStyle name="Normal 48 5 2 2 2 3" xfId="18671"/>
    <cellStyle name="Normal 48 5 2 2 3" xfId="22828"/>
    <cellStyle name="Normal 48 5 2 2 4" xfId="14531"/>
    <cellStyle name="Normal 48 5 2 3" xfId="8299"/>
    <cellStyle name="Normal 48 5 2 3 2" xfId="24896"/>
    <cellStyle name="Normal 48 5 2 3 3" xfId="16599"/>
    <cellStyle name="Normal 48 5 2 4" xfId="20756"/>
    <cellStyle name="Normal 48 5 2 5" xfId="12459"/>
    <cellStyle name="Normal 48 5 3" xfId="5181"/>
    <cellStyle name="Normal 48 5 3 2" xfId="9337"/>
    <cellStyle name="Normal 48 5 3 2 2" xfId="25934"/>
    <cellStyle name="Normal 48 5 3 2 3" xfId="17637"/>
    <cellStyle name="Normal 48 5 3 3" xfId="21794"/>
    <cellStyle name="Normal 48 5 3 4" xfId="13497"/>
    <cellStyle name="Normal 48 5 4" xfId="7265"/>
    <cellStyle name="Normal 48 5 4 2" xfId="23862"/>
    <cellStyle name="Normal 48 5 4 3" xfId="15565"/>
    <cellStyle name="Normal 48 5 5" xfId="19722"/>
    <cellStyle name="Normal 48 5 6" xfId="11425"/>
    <cellStyle name="Normal 48 6" xfId="3572"/>
    <cellStyle name="Normal 48 6 2" xfId="5700"/>
    <cellStyle name="Normal 48 6 2 2" xfId="9856"/>
    <cellStyle name="Normal 48 6 2 2 2" xfId="26453"/>
    <cellStyle name="Normal 48 6 2 2 3" xfId="18156"/>
    <cellStyle name="Normal 48 6 2 3" xfId="22313"/>
    <cellStyle name="Normal 48 6 2 4" xfId="14016"/>
    <cellStyle name="Normal 48 6 3" xfId="7784"/>
    <cellStyle name="Normal 48 6 3 2" xfId="24381"/>
    <cellStyle name="Normal 48 6 3 3" xfId="16084"/>
    <cellStyle name="Normal 48 6 4" xfId="20241"/>
    <cellStyle name="Normal 48 6 5" xfId="11944"/>
    <cellStyle name="Normal 48 7" xfId="4652"/>
    <cellStyle name="Normal 48 7 2" xfId="8820"/>
    <cellStyle name="Normal 48 7 2 2" xfId="25417"/>
    <cellStyle name="Normal 48 7 2 3" xfId="17120"/>
    <cellStyle name="Normal 48 7 3" xfId="21277"/>
    <cellStyle name="Normal 48 7 4" xfId="12980"/>
    <cellStyle name="Normal 48 8" xfId="6743"/>
    <cellStyle name="Normal 48 8 2" xfId="23347"/>
    <cellStyle name="Normal 48 8 3" xfId="15050"/>
    <cellStyle name="Normal 48 9" xfId="19204"/>
    <cellStyle name="Normal 49" xfId="1716"/>
    <cellStyle name="Normal 49 10" xfId="10913"/>
    <cellStyle name="Normal 49 2" xfId="1717"/>
    <cellStyle name="Normal 49 2 2" xfId="1718"/>
    <cellStyle name="Normal 49 2 2 2" xfId="3052"/>
    <cellStyle name="Normal 49 2 2 2 2" xfId="4098"/>
    <cellStyle name="Normal 49 2 2 2 2 2" xfId="6223"/>
    <cellStyle name="Normal 49 2 2 2 2 2 2" xfId="10379"/>
    <cellStyle name="Normal 49 2 2 2 2 2 2 2" xfId="26976"/>
    <cellStyle name="Normal 49 2 2 2 2 2 2 3" xfId="18679"/>
    <cellStyle name="Normal 49 2 2 2 2 2 3" xfId="22836"/>
    <cellStyle name="Normal 49 2 2 2 2 2 4" xfId="14539"/>
    <cellStyle name="Normal 49 2 2 2 2 3" xfId="8307"/>
    <cellStyle name="Normal 49 2 2 2 2 3 2" xfId="24904"/>
    <cellStyle name="Normal 49 2 2 2 2 3 3" xfId="16607"/>
    <cellStyle name="Normal 49 2 2 2 2 4" xfId="20764"/>
    <cellStyle name="Normal 49 2 2 2 2 5" xfId="12467"/>
    <cellStyle name="Normal 49 2 2 2 3" xfId="5189"/>
    <cellStyle name="Normal 49 2 2 2 3 2" xfId="9345"/>
    <cellStyle name="Normal 49 2 2 2 3 2 2" xfId="25942"/>
    <cellStyle name="Normal 49 2 2 2 3 2 3" xfId="17645"/>
    <cellStyle name="Normal 49 2 2 2 3 3" xfId="21802"/>
    <cellStyle name="Normal 49 2 2 2 3 4" xfId="13505"/>
    <cellStyle name="Normal 49 2 2 2 4" xfId="7273"/>
    <cellStyle name="Normal 49 2 2 2 4 2" xfId="23870"/>
    <cellStyle name="Normal 49 2 2 2 4 3" xfId="15573"/>
    <cellStyle name="Normal 49 2 2 2 5" xfId="19730"/>
    <cellStyle name="Normal 49 2 2 2 6" xfId="11433"/>
    <cellStyle name="Normal 49 2 2 3" xfId="3580"/>
    <cellStyle name="Normal 49 2 2 3 2" xfId="5708"/>
    <cellStyle name="Normal 49 2 2 3 2 2" xfId="9864"/>
    <cellStyle name="Normal 49 2 2 3 2 2 2" xfId="26461"/>
    <cellStyle name="Normal 49 2 2 3 2 2 3" xfId="18164"/>
    <cellStyle name="Normal 49 2 2 3 2 3" xfId="22321"/>
    <cellStyle name="Normal 49 2 2 3 2 4" xfId="14024"/>
    <cellStyle name="Normal 49 2 2 3 3" xfId="7792"/>
    <cellStyle name="Normal 49 2 2 3 3 2" xfId="24389"/>
    <cellStyle name="Normal 49 2 2 3 3 3" xfId="16092"/>
    <cellStyle name="Normal 49 2 2 3 4" xfId="20249"/>
    <cellStyle name="Normal 49 2 2 3 5" xfId="11952"/>
    <cellStyle name="Normal 49 2 2 4" xfId="4660"/>
    <cellStyle name="Normal 49 2 2 4 2" xfId="8828"/>
    <cellStyle name="Normal 49 2 2 4 2 2" xfId="25425"/>
    <cellStyle name="Normal 49 2 2 4 2 3" xfId="17128"/>
    <cellStyle name="Normal 49 2 2 4 3" xfId="21285"/>
    <cellStyle name="Normal 49 2 2 4 4" xfId="12988"/>
    <cellStyle name="Normal 49 2 2 5" xfId="6751"/>
    <cellStyle name="Normal 49 2 2 5 2" xfId="23355"/>
    <cellStyle name="Normal 49 2 2 5 3" xfId="15058"/>
    <cellStyle name="Normal 49 2 2 6" xfId="19212"/>
    <cellStyle name="Normal 49 2 2 7" xfId="10915"/>
    <cellStyle name="Normal 49 2 3" xfId="3051"/>
    <cellStyle name="Normal 49 2 3 2" xfId="4097"/>
    <cellStyle name="Normal 49 2 3 2 2" xfId="6222"/>
    <cellStyle name="Normal 49 2 3 2 2 2" xfId="10378"/>
    <cellStyle name="Normal 49 2 3 2 2 2 2" xfId="26975"/>
    <cellStyle name="Normal 49 2 3 2 2 2 3" xfId="18678"/>
    <cellStyle name="Normal 49 2 3 2 2 3" xfId="22835"/>
    <cellStyle name="Normal 49 2 3 2 2 4" xfId="14538"/>
    <cellStyle name="Normal 49 2 3 2 3" xfId="8306"/>
    <cellStyle name="Normal 49 2 3 2 3 2" xfId="24903"/>
    <cellStyle name="Normal 49 2 3 2 3 3" xfId="16606"/>
    <cellStyle name="Normal 49 2 3 2 4" xfId="20763"/>
    <cellStyle name="Normal 49 2 3 2 5" xfId="12466"/>
    <cellStyle name="Normal 49 2 3 3" xfId="5188"/>
    <cellStyle name="Normal 49 2 3 3 2" xfId="9344"/>
    <cellStyle name="Normal 49 2 3 3 2 2" xfId="25941"/>
    <cellStyle name="Normal 49 2 3 3 2 3" xfId="17644"/>
    <cellStyle name="Normal 49 2 3 3 3" xfId="21801"/>
    <cellStyle name="Normal 49 2 3 3 4" xfId="13504"/>
    <cellStyle name="Normal 49 2 3 4" xfId="7272"/>
    <cellStyle name="Normal 49 2 3 4 2" xfId="23869"/>
    <cellStyle name="Normal 49 2 3 4 3" xfId="15572"/>
    <cellStyle name="Normal 49 2 3 5" xfId="19729"/>
    <cellStyle name="Normal 49 2 3 6" xfId="11432"/>
    <cellStyle name="Normal 49 2 4" xfId="3579"/>
    <cellStyle name="Normal 49 2 4 2" xfId="5707"/>
    <cellStyle name="Normal 49 2 4 2 2" xfId="9863"/>
    <cellStyle name="Normal 49 2 4 2 2 2" xfId="26460"/>
    <cellStyle name="Normal 49 2 4 2 2 3" xfId="18163"/>
    <cellStyle name="Normal 49 2 4 2 3" xfId="22320"/>
    <cellStyle name="Normal 49 2 4 2 4" xfId="14023"/>
    <cellStyle name="Normal 49 2 4 3" xfId="7791"/>
    <cellStyle name="Normal 49 2 4 3 2" xfId="24388"/>
    <cellStyle name="Normal 49 2 4 3 3" xfId="16091"/>
    <cellStyle name="Normal 49 2 4 4" xfId="20248"/>
    <cellStyle name="Normal 49 2 4 5" xfId="11951"/>
    <cellStyle name="Normal 49 2 5" xfId="4659"/>
    <cellStyle name="Normal 49 2 5 2" xfId="8827"/>
    <cellStyle name="Normal 49 2 5 2 2" xfId="25424"/>
    <cellStyle name="Normal 49 2 5 2 3" xfId="17127"/>
    <cellStyle name="Normal 49 2 5 3" xfId="21284"/>
    <cellStyle name="Normal 49 2 5 4" xfId="12987"/>
    <cellStyle name="Normal 49 2 6" xfId="6750"/>
    <cellStyle name="Normal 49 2 6 2" xfId="23354"/>
    <cellStyle name="Normal 49 2 6 3" xfId="15057"/>
    <cellStyle name="Normal 49 2 7" xfId="19211"/>
    <cellStyle name="Normal 49 2 8" xfId="10914"/>
    <cellStyle name="Normal 49 3" xfId="1719"/>
    <cellStyle name="Normal 49 3 2" xfId="1720"/>
    <cellStyle name="Normal 49 3 2 2" xfId="3054"/>
    <cellStyle name="Normal 49 3 2 2 2" xfId="4100"/>
    <cellStyle name="Normal 49 3 2 2 2 2" xfId="6225"/>
    <cellStyle name="Normal 49 3 2 2 2 2 2" xfId="10381"/>
    <cellStyle name="Normal 49 3 2 2 2 2 2 2" xfId="26978"/>
    <cellStyle name="Normal 49 3 2 2 2 2 2 3" xfId="18681"/>
    <cellStyle name="Normal 49 3 2 2 2 2 3" xfId="22838"/>
    <cellStyle name="Normal 49 3 2 2 2 2 4" xfId="14541"/>
    <cellStyle name="Normal 49 3 2 2 2 3" xfId="8309"/>
    <cellStyle name="Normal 49 3 2 2 2 3 2" xfId="24906"/>
    <cellStyle name="Normal 49 3 2 2 2 3 3" xfId="16609"/>
    <cellStyle name="Normal 49 3 2 2 2 4" xfId="20766"/>
    <cellStyle name="Normal 49 3 2 2 2 5" xfId="12469"/>
    <cellStyle name="Normal 49 3 2 2 3" xfId="5191"/>
    <cellStyle name="Normal 49 3 2 2 3 2" xfId="9347"/>
    <cellStyle name="Normal 49 3 2 2 3 2 2" xfId="25944"/>
    <cellStyle name="Normal 49 3 2 2 3 2 3" xfId="17647"/>
    <cellStyle name="Normal 49 3 2 2 3 3" xfId="21804"/>
    <cellStyle name="Normal 49 3 2 2 3 4" xfId="13507"/>
    <cellStyle name="Normal 49 3 2 2 4" xfId="7275"/>
    <cellStyle name="Normal 49 3 2 2 4 2" xfId="23872"/>
    <cellStyle name="Normal 49 3 2 2 4 3" xfId="15575"/>
    <cellStyle name="Normal 49 3 2 2 5" xfId="19732"/>
    <cellStyle name="Normal 49 3 2 2 6" xfId="11435"/>
    <cellStyle name="Normal 49 3 2 3" xfId="3582"/>
    <cellStyle name="Normal 49 3 2 3 2" xfId="5710"/>
    <cellStyle name="Normal 49 3 2 3 2 2" xfId="9866"/>
    <cellStyle name="Normal 49 3 2 3 2 2 2" xfId="26463"/>
    <cellStyle name="Normal 49 3 2 3 2 2 3" xfId="18166"/>
    <cellStyle name="Normal 49 3 2 3 2 3" xfId="22323"/>
    <cellStyle name="Normal 49 3 2 3 2 4" xfId="14026"/>
    <cellStyle name="Normal 49 3 2 3 3" xfId="7794"/>
    <cellStyle name="Normal 49 3 2 3 3 2" xfId="24391"/>
    <cellStyle name="Normal 49 3 2 3 3 3" xfId="16094"/>
    <cellStyle name="Normal 49 3 2 3 4" xfId="20251"/>
    <cellStyle name="Normal 49 3 2 3 5" xfId="11954"/>
    <cellStyle name="Normal 49 3 2 4" xfId="4662"/>
    <cellStyle name="Normal 49 3 2 4 2" xfId="8830"/>
    <cellStyle name="Normal 49 3 2 4 2 2" xfId="25427"/>
    <cellStyle name="Normal 49 3 2 4 2 3" xfId="17130"/>
    <cellStyle name="Normal 49 3 2 4 3" xfId="21287"/>
    <cellStyle name="Normal 49 3 2 4 4" xfId="12990"/>
    <cellStyle name="Normal 49 3 2 5" xfId="6753"/>
    <cellStyle name="Normal 49 3 2 5 2" xfId="23357"/>
    <cellStyle name="Normal 49 3 2 5 3" xfId="15060"/>
    <cellStyle name="Normal 49 3 2 6" xfId="19214"/>
    <cellStyle name="Normal 49 3 2 7" xfId="10917"/>
    <cellStyle name="Normal 49 3 3" xfId="3053"/>
    <cellStyle name="Normal 49 3 3 2" xfId="4099"/>
    <cellStyle name="Normal 49 3 3 2 2" xfId="6224"/>
    <cellStyle name="Normal 49 3 3 2 2 2" xfId="10380"/>
    <cellStyle name="Normal 49 3 3 2 2 2 2" xfId="26977"/>
    <cellStyle name="Normal 49 3 3 2 2 2 3" xfId="18680"/>
    <cellStyle name="Normal 49 3 3 2 2 3" xfId="22837"/>
    <cellStyle name="Normal 49 3 3 2 2 4" xfId="14540"/>
    <cellStyle name="Normal 49 3 3 2 3" xfId="8308"/>
    <cellStyle name="Normal 49 3 3 2 3 2" xfId="24905"/>
    <cellStyle name="Normal 49 3 3 2 3 3" xfId="16608"/>
    <cellStyle name="Normal 49 3 3 2 4" xfId="20765"/>
    <cellStyle name="Normal 49 3 3 2 5" xfId="12468"/>
    <cellStyle name="Normal 49 3 3 3" xfId="5190"/>
    <cellStyle name="Normal 49 3 3 3 2" xfId="9346"/>
    <cellStyle name="Normal 49 3 3 3 2 2" xfId="25943"/>
    <cellStyle name="Normal 49 3 3 3 2 3" xfId="17646"/>
    <cellStyle name="Normal 49 3 3 3 3" xfId="21803"/>
    <cellStyle name="Normal 49 3 3 3 4" xfId="13506"/>
    <cellStyle name="Normal 49 3 3 4" xfId="7274"/>
    <cellStyle name="Normal 49 3 3 4 2" xfId="23871"/>
    <cellStyle name="Normal 49 3 3 4 3" xfId="15574"/>
    <cellStyle name="Normal 49 3 3 5" xfId="19731"/>
    <cellStyle name="Normal 49 3 3 6" xfId="11434"/>
    <cellStyle name="Normal 49 3 4" xfId="3581"/>
    <cellStyle name="Normal 49 3 4 2" xfId="5709"/>
    <cellStyle name="Normal 49 3 4 2 2" xfId="9865"/>
    <cellStyle name="Normal 49 3 4 2 2 2" xfId="26462"/>
    <cellStyle name="Normal 49 3 4 2 2 3" xfId="18165"/>
    <cellStyle name="Normal 49 3 4 2 3" xfId="22322"/>
    <cellStyle name="Normal 49 3 4 2 4" xfId="14025"/>
    <cellStyle name="Normal 49 3 4 3" xfId="7793"/>
    <cellStyle name="Normal 49 3 4 3 2" xfId="24390"/>
    <cellStyle name="Normal 49 3 4 3 3" xfId="16093"/>
    <cellStyle name="Normal 49 3 4 4" xfId="20250"/>
    <cellStyle name="Normal 49 3 4 5" xfId="11953"/>
    <cellStyle name="Normal 49 3 5" xfId="4661"/>
    <cellStyle name="Normal 49 3 5 2" xfId="8829"/>
    <cellStyle name="Normal 49 3 5 2 2" xfId="25426"/>
    <cellStyle name="Normal 49 3 5 2 3" xfId="17129"/>
    <cellStyle name="Normal 49 3 5 3" xfId="21286"/>
    <cellStyle name="Normal 49 3 5 4" xfId="12989"/>
    <cellStyle name="Normal 49 3 6" xfId="6752"/>
    <cellStyle name="Normal 49 3 6 2" xfId="23356"/>
    <cellStyle name="Normal 49 3 6 3" xfId="15059"/>
    <cellStyle name="Normal 49 3 7" xfId="19213"/>
    <cellStyle name="Normal 49 3 8" xfId="10916"/>
    <cellStyle name="Normal 49 4" xfId="1721"/>
    <cellStyle name="Normal 49 4 2" xfId="3055"/>
    <cellStyle name="Normal 49 4 2 2" xfId="4101"/>
    <cellStyle name="Normal 49 4 2 2 2" xfId="6226"/>
    <cellStyle name="Normal 49 4 2 2 2 2" xfId="10382"/>
    <cellStyle name="Normal 49 4 2 2 2 2 2" xfId="26979"/>
    <cellStyle name="Normal 49 4 2 2 2 2 3" xfId="18682"/>
    <cellStyle name="Normal 49 4 2 2 2 3" xfId="22839"/>
    <cellStyle name="Normal 49 4 2 2 2 4" xfId="14542"/>
    <cellStyle name="Normal 49 4 2 2 3" xfId="8310"/>
    <cellStyle name="Normal 49 4 2 2 3 2" xfId="24907"/>
    <cellStyle name="Normal 49 4 2 2 3 3" xfId="16610"/>
    <cellStyle name="Normal 49 4 2 2 4" xfId="20767"/>
    <cellStyle name="Normal 49 4 2 2 5" xfId="12470"/>
    <cellStyle name="Normal 49 4 2 3" xfId="5192"/>
    <cellStyle name="Normal 49 4 2 3 2" xfId="9348"/>
    <cellStyle name="Normal 49 4 2 3 2 2" xfId="25945"/>
    <cellStyle name="Normal 49 4 2 3 2 3" xfId="17648"/>
    <cellStyle name="Normal 49 4 2 3 3" xfId="21805"/>
    <cellStyle name="Normal 49 4 2 3 4" xfId="13508"/>
    <cellStyle name="Normal 49 4 2 4" xfId="7276"/>
    <cellStyle name="Normal 49 4 2 4 2" xfId="23873"/>
    <cellStyle name="Normal 49 4 2 4 3" xfId="15576"/>
    <cellStyle name="Normal 49 4 2 5" xfId="19733"/>
    <cellStyle name="Normal 49 4 2 6" xfId="11436"/>
    <cellStyle name="Normal 49 4 3" xfId="3583"/>
    <cellStyle name="Normal 49 4 3 2" xfId="5711"/>
    <cellStyle name="Normal 49 4 3 2 2" xfId="9867"/>
    <cellStyle name="Normal 49 4 3 2 2 2" xfId="26464"/>
    <cellStyle name="Normal 49 4 3 2 2 3" xfId="18167"/>
    <cellStyle name="Normal 49 4 3 2 3" xfId="22324"/>
    <cellStyle name="Normal 49 4 3 2 4" xfId="14027"/>
    <cellStyle name="Normal 49 4 3 3" xfId="7795"/>
    <cellStyle name="Normal 49 4 3 3 2" xfId="24392"/>
    <cellStyle name="Normal 49 4 3 3 3" xfId="16095"/>
    <cellStyle name="Normal 49 4 3 4" xfId="20252"/>
    <cellStyle name="Normal 49 4 3 5" xfId="11955"/>
    <cellStyle name="Normal 49 4 4" xfId="4663"/>
    <cellStyle name="Normal 49 4 4 2" xfId="8831"/>
    <cellStyle name="Normal 49 4 4 2 2" xfId="25428"/>
    <cellStyle name="Normal 49 4 4 2 3" xfId="17131"/>
    <cellStyle name="Normal 49 4 4 3" xfId="21288"/>
    <cellStyle name="Normal 49 4 4 4" xfId="12991"/>
    <cellStyle name="Normal 49 4 5" xfId="6754"/>
    <cellStyle name="Normal 49 4 5 2" xfId="23358"/>
    <cellStyle name="Normal 49 4 5 3" xfId="15061"/>
    <cellStyle name="Normal 49 4 6" xfId="19215"/>
    <cellStyle name="Normal 49 4 7" xfId="10918"/>
    <cellStyle name="Normal 49 5" xfId="3050"/>
    <cellStyle name="Normal 49 5 2" xfId="4096"/>
    <cellStyle name="Normal 49 5 2 2" xfId="6221"/>
    <cellStyle name="Normal 49 5 2 2 2" xfId="10377"/>
    <cellStyle name="Normal 49 5 2 2 2 2" xfId="26974"/>
    <cellStyle name="Normal 49 5 2 2 2 3" xfId="18677"/>
    <cellStyle name="Normal 49 5 2 2 3" xfId="22834"/>
    <cellStyle name="Normal 49 5 2 2 4" xfId="14537"/>
    <cellStyle name="Normal 49 5 2 3" xfId="8305"/>
    <cellStyle name="Normal 49 5 2 3 2" xfId="24902"/>
    <cellStyle name="Normal 49 5 2 3 3" xfId="16605"/>
    <cellStyle name="Normal 49 5 2 4" xfId="20762"/>
    <cellStyle name="Normal 49 5 2 5" xfId="12465"/>
    <cellStyle name="Normal 49 5 3" xfId="5187"/>
    <cellStyle name="Normal 49 5 3 2" xfId="9343"/>
    <cellStyle name="Normal 49 5 3 2 2" xfId="25940"/>
    <cellStyle name="Normal 49 5 3 2 3" xfId="17643"/>
    <cellStyle name="Normal 49 5 3 3" xfId="21800"/>
    <cellStyle name="Normal 49 5 3 4" xfId="13503"/>
    <cellStyle name="Normal 49 5 4" xfId="7271"/>
    <cellStyle name="Normal 49 5 4 2" xfId="23868"/>
    <cellStyle name="Normal 49 5 4 3" xfId="15571"/>
    <cellStyle name="Normal 49 5 5" xfId="19728"/>
    <cellStyle name="Normal 49 5 6" xfId="11431"/>
    <cellStyle name="Normal 49 6" xfId="3578"/>
    <cellStyle name="Normal 49 6 2" xfId="5706"/>
    <cellStyle name="Normal 49 6 2 2" xfId="9862"/>
    <cellStyle name="Normal 49 6 2 2 2" xfId="26459"/>
    <cellStyle name="Normal 49 6 2 2 3" xfId="18162"/>
    <cellStyle name="Normal 49 6 2 3" xfId="22319"/>
    <cellStyle name="Normal 49 6 2 4" xfId="14022"/>
    <cellStyle name="Normal 49 6 3" xfId="7790"/>
    <cellStyle name="Normal 49 6 3 2" xfId="24387"/>
    <cellStyle name="Normal 49 6 3 3" xfId="16090"/>
    <cellStyle name="Normal 49 6 4" xfId="20247"/>
    <cellStyle name="Normal 49 6 5" xfId="11950"/>
    <cellStyle name="Normal 49 7" xfId="4658"/>
    <cellStyle name="Normal 49 7 2" xfId="8826"/>
    <cellStyle name="Normal 49 7 2 2" xfId="25423"/>
    <cellStyle name="Normal 49 7 2 3" xfId="17126"/>
    <cellStyle name="Normal 49 7 3" xfId="21283"/>
    <cellStyle name="Normal 49 7 4" xfId="12986"/>
    <cellStyle name="Normal 49 8" xfId="6749"/>
    <cellStyle name="Normal 49 8 2" xfId="23353"/>
    <cellStyle name="Normal 49 8 3" xfId="15056"/>
    <cellStyle name="Normal 49 9" xfId="19210"/>
    <cellStyle name="Normal 5" xfId="1722"/>
    <cellStyle name="Normal 5 10" xfId="10919"/>
    <cellStyle name="Normal 5 2" xfId="1723"/>
    <cellStyle name="Normal 5 2 10" xfId="10920"/>
    <cellStyle name="Normal 5 2 2" xfId="1724"/>
    <cellStyle name="Normal 5 2 2 2" xfId="1725"/>
    <cellStyle name="Normal 5 2 2 2 2" xfId="3059"/>
    <cellStyle name="Normal 5 2 2 2 2 2" xfId="4105"/>
    <cellStyle name="Normal 5 2 2 2 2 2 2" xfId="6230"/>
    <cellStyle name="Normal 5 2 2 2 2 2 2 2" xfId="10386"/>
    <cellStyle name="Normal 5 2 2 2 2 2 2 2 2" xfId="26983"/>
    <cellStyle name="Normal 5 2 2 2 2 2 2 2 3" xfId="18686"/>
    <cellStyle name="Normal 5 2 2 2 2 2 2 3" xfId="22843"/>
    <cellStyle name="Normal 5 2 2 2 2 2 2 4" xfId="14546"/>
    <cellStyle name="Normal 5 2 2 2 2 2 3" xfId="8314"/>
    <cellStyle name="Normal 5 2 2 2 2 2 3 2" xfId="24911"/>
    <cellStyle name="Normal 5 2 2 2 2 2 3 3" xfId="16614"/>
    <cellStyle name="Normal 5 2 2 2 2 2 4" xfId="20771"/>
    <cellStyle name="Normal 5 2 2 2 2 2 5" xfId="12474"/>
    <cellStyle name="Normal 5 2 2 2 2 3" xfId="5196"/>
    <cellStyle name="Normal 5 2 2 2 2 3 2" xfId="9352"/>
    <cellStyle name="Normal 5 2 2 2 2 3 2 2" xfId="25949"/>
    <cellStyle name="Normal 5 2 2 2 2 3 2 3" xfId="17652"/>
    <cellStyle name="Normal 5 2 2 2 2 3 3" xfId="21809"/>
    <cellStyle name="Normal 5 2 2 2 2 3 4" xfId="13512"/>
    <cellStyle name="Normal 5 2 2 2 2 4" xfId="7280"/>
    <cellStyle name="Normal 5 2 2 2 2 4 2" xfId="23877"/>
    <cellStyle name="Normal 5 2 2 2 2 4 3" xfId="15580"/>
    <cellStyle name="Normal 5 2 2 2 2 5" xfId="19737"/>
    <cellStyle name="Normal 5 2 2 2 2 6" xfId="11440"/>
    <cellStyle name="Normal 5 2 2 2 3" xfId="3587"/>
    <cellStyle name="Normal 5 2 2 2 3 2" xfId="5715"/>
    <cellStyle name="Normal 5 2 2 2 3 2 2" xfId="9871"/>
    <cellStyle name="Normal 5 2 2 2 3 2 2 2" xfId="26468"/>
    <cellStyle name="Normal 5 2 2 2 3 2 2 3" xfId="18171"/>
    <cellStyle name="Normal 5 2 2 2 3 2 3" xfId="22328"/>
    <cellStyle name="Normal 5 2 2 2 3 2 4" xfId="14031"/>
    <cellStyle name="Normal 5 2 2 2 3 3" xfId="7799"/>
    <cellStyle name="Normal 5 2 2 2 3 3 2" xfId="24396"/>
    <cellStyle name="Normal 5 2 2 2 3 3 3" xfId="16099"/>
    <cellStyle name="Normal 5 2 2 2 3 4" xfId="20256"/>
    <cellStyle name="Normal 5 2 2 2 3 5" xfId="11959"/>
    <cellStyle name="Normal 5 2 2 2 4" xfId="4667"/>
    <cellStyle name="Normal 5 2 2 2 4 2" xfId="8835"/>
    <cellStyle name="Normal 5 2 2 2 4 2 2" xfId="25432"/>
    <cellStyle name="Normal 5 2 2 2 4 2 3" xfId="17135"/>
    <cellStyle name="Normal 5 2 2 2 4 3" xfId="21292"/>
    <cellStyle name="Normal 5 2 2 2 4 4" xfId="12995"/>
    <cellStyle name="Normal 5 2 2 2 5" xfId="6758"/>
    <cellStyle name="Normal 5 2 2 2 5 2" xfId="23362"/>
    <cellStyle name="Normal 5 2 2 2 5 3" xfId="15065"/>
    <cellStyle name="Normal 5 2 2 2 6" xfId="19219"/>
    <cellStyle name="Normal 5 2 2 2 7" xfId="10922"/>
    <cellStyle name="Normal 5 2 2 3" xfId="3058"/>
    <cellStyle name="Normal 5 2 2 3 2" xfId="4104"/>
    <cellStyle name="Normal 5 2 2 3 2 2" xfId="6229"/>
    <cellStyle name="Normal 5 2 2 3 2 2 2" xfId="10385"/>
    <cellStyle name="Normal 5 2 2 3 2 2 2 2" xfId="26982"/>
    <cellStyle name="Normal 5 2 2 3 2 2 2 3" xfId="18685"/>
    <cellStyle name="Normal 5 2 2 3 2 2 3" xfId="22842"/>
    <cellStyle name="Normal 5 2 2 3 2 2 4" xfId="14545"/>
    <cellStyle name="Normal 5 2 2 3 2 3" xfId="8313"/>
    <cellStyle name="Normal 5 2 2 3 2 3 2" xfId="24910"/>
    <cellStyle name="Normal 5 2 2 3 2 3 3" xfId="16613"/>
    <cellStyle name="Normal 5 2 2 3 2 4" xfId="20770"/>
    <cellStyle name="Normal 5 2 2 3 2 5" xfId="12473"/>
    <cellStyle name="Normal 5 2 2 3 3" xfId="5195"/>
    <cellStyle name="Normal 5 2 2 3 3 2" xfId="9351"/>
    <cellStyle name="Normal 5 2 2 3 3 2 2" xfId="25948"/>
    <cellStyle name="Normal 5 2 2 3 3 2 3" xfId="17651"/>
    <cellStyle name="Normal 5 2 2 3 3 3" xfId="21808"/>
    <cellStyle name="Normal 5 2 2 3 3 4" xfId="13511"/>
    <cellStyle name="Normal 5 2 2 3 4" xfId="7279"/>
    <cellStyle name="Normal 5 2 2 3 4 2" xfId="23876"/>
    <cellStyle name="Normal 5 2 2 3 4 3" xfId="15579"/>
    <cellStyle name="Normal 5 2 2 3 5" xfId="19736"/>
    <cellStyle name="Normal 5 2 2 3 6" xfId="11439"/>
    <cellStyle name="Normal 5 2 2 4" xfId="3586"/>
    <cellStyle name="Normal 5 2 2 4 2" xfId="5714"/>
    <cellStyle name="Normal 5 2 2 4 2 2" xfId="9870"/>
    <cellStyle name="Normal 5 2 2 4 2 2 2" xfId="26467"/>
    <cellStyle name="Normal 5 2 2 4 2 2 3" xfId="18170"/>
    <cellStyle name="Normal 5 2 2 4 2 3" xfId="22327"/>
    <cellStyle name="Normal 5 2 2 4 2 4" xfId="14030"/>
    <cellStyle name="Normal 5 2 2 4 3" xfId="7798"/>
    <cellStyle name="Normal 5 2 2 4 3 2" xfId="24395"/>
    <cellStyle name="Normal 5 2 2 4 3 3" xfId="16098"/>
    <cellStyle name="Normal 5 2 2 4 4" xfId="20255"/>
    <cellStyle name="Normal 5 2 2 4 5" xfId="11958"/>
    <cellStyle name="Normal 5 2 2 5" xfId="4666"/>
    <cellStyle name="Normal 5 2 2 5 2" xfId="8834"/>
    <cellStyle name="Normal 5 2 2 5 2 2" xfId="25431"/>
    <cellStyle name="Normal 5 2 2 5 2 3" xfId="17134"/>
    <cellStyle name="Normal 5 2 2 5 3" xfId="21291"/>
    <cellStyle name="Normal 5 2 2 5 4" xfId="12994"/>
    <cellStyle name="Normal 5 2 2 6" xfId="6757"/>
    <cellStyle name="Normal 5 2 2 6 2" xfId="23361"/>
    <cellStyle name="Normal 5 2 2 6 3" xfId="15064"/>
    <cellStyle name="Normal 5 2 2 7" xfId="19218"/>
    <cellStyle name="Normal 5 2 2 8" xfId="10921"/>
    <cellStyle name="Normal 5 2 3" xfId="1726"/>
    <cellStyle name="Normal 5 2 3 2" xfId="3060"/>
    <cellStyle name="Normal 5 2 3 2 2" xfId="4106"/>
    <cellStyle name="Normal 5 2 3 2 2 2" xfId="6231"/>
    <cellStyle name="Normal 5 2 3 2 2 2 2" xfId="10387"/>
    <cellStyle name="Normal 5 2 3 2 2 2 2 2" xfId="26984"/>
    <cellStyle name="Normal 5 2 3 2 2 2 2 3" xfId="18687"/>
    <cellStyle name="Normal 5 2 3 2 2 2 3" xfId="22844"/>
    <cellStyle name="Normal 5 2 3 2 2 2 4" xfId="14547"/>
    <cellStyle name="Normal 5 2 3 2 2 3" xfId="8315"/>
    <cellStyle name="Normal 5 2 3 2 2 3 2" xfId="24912"/>
    <cellStyle name="Normal 5 2 3 2 2 3 3" xfId="16615"/>
    <cellStyle name="Normal 5 2 3 2 2 4" xfId="20772"/>
    <cellStyle name="Normal 5 2 3 2 2 5" xfId="12475"/>
    <cellStyle name="Normal 5 2 3 2 3" xfId="5197"/>
    <cellStyle name="Normal 5 2 3 2 3 2" xfId="9353"/>
    <cellStyle name="Normal 5 2 3 2 3 2 2" xfId="25950"/>
    <cellStyle name="Normal 5 2 3 2 3 2 3" xfId="17653"/>
    <cellStyle name="Normal 5 2 3 2 3 3" xfId="21810"/>
    <cellStyle name="Normal 5 2 3 2 3 4" xfId="13513"/>
    <cellStyle name="Normal 5 2 3 2 4" xfId="7281"/>
    <cellStyle name="Normal 5 2 3 2 4 2" xfId="23878"/>
    <cellStyle name="Normal 5 2 3 2 4 3" xfId="15581"/>
    <cellStyle name="Normal 5 2 3 2 5" xfId="19738"/>
    <cellStyle name="Normal 5 2 3 2 6" xfId="11441"/>
    <cellStyle name="Normal 5 2 3 3" xfId="3588"/>
    <cellStyle name="Normal 5 2 3 3 2" xfId="5716"/>
    <cellStyle name="Normal 5 2 3 3 2 2" xfId="9872"/>
    <cellStyle name="Normal 5 2 3 3 2 2 2" xfId="26469"/>
    <cellStyle name="Normal 5 2 3 3 2 2 3" xfId="18172"/>
    <cellStyle name="Normal 5 2 3 3 2 3" xfId="22329"/>
    <cellStyle name="Normal 5 2 3 3 2 4" xfId="14032"/>
    <cellStyle name="Normal 5 2 3 3 3" xfId="7800"/>
    <cellStyle name="Normal 5 2 3 3 3 2" xfId="24397"/>
    <cellStyle name="Normal 5 2 3 3 3 3" xfId="16100"/>
    <cellStyle name="Normal 5 2 3 3 4" xfId="20257"/>
    <cellStyle name="Normal 5 2 3 3 5" xfId="11960"/>
    <cellStyle name="Normal 5 2 3 4" xfId="4668"/>
    <cellStyle name="Normal 5 2 3 4 2" xfId="8836"/>
    <cellStyle name="Normal 5 2 3 4 2 2" xfId="25433"/>
    <cellStyle name="Normal 5 2 3 4 2 3" xfId="17136"/>
    <cellStyle name="Normal 5 2 3 4 3" xfId="21293"/>
    <cellStyle name="Normal 5 2 3 4 4" xfId="12996"/>
    <cellStyle name="Normal 5 2 3 5" xfId="6759"/>
    <cellStyle name="Normal 5 2 3 5 2" xfId="23363"/>
    <cellStyle name="Normal 5 2 3 5 3" xfId="15066"/>
    <cellStyle name="Normal 5 2 3 6" xfId="19220"/>
    <cellStyle name="Normal 5 2 3 7" xfId="10923"/>
    <cellStyle name="Normal 5 2 4" xfId="1727"/>
    <cellStyle name="Normal 5 2 4 2" xfId="3061"/>
    <cellStyle name="Normal 5 2 4 2 2" xfId="4107"/>
    <cellStyle name="Normal 5 2 4 2 2 2" xfId="6232"/>
    <cellStyle name="Normal 5 2 4 2 2 2 2" xfId="10388"/>
    <cellStyle name="Normal 5 2 4 2 2 2 2 2" xfId="26985"/>
    <cellStyle name="Normal 5 2 4 2 2 2 2 3" xfId="18688"/>
    <cellStyle name="Normal 5 2 4 2 2 2 3" xfId="22845"/>
    <cellStyle name="Normal 5 2 4 2 2 2 4" xfId="14548"/>
    <cellStyle name="Normal 5 2 4 2 2 3" xfId="8316"/>
    <cellStyle name="Normal 5 2 4 2 2 3 2" xfId="24913"/>
    <cellStyle name="Normal 5 2 4 2 2 3 3" xfId="16616"/>
    <cellStyle name="Normal 5 2 4 2 2 4" xfId="20773"/>
    <cellStyle name="Normal 5 2 4 2 2 5" xfId="12476"/>
    <cellStyle name="Normal 5 2 4 2 3" xfId="5198"/>
    <cellStyle name="Normal 5 2 4 2 3 2" xfId="9354"/>
    <cellStyle name="Normal 5 2 4 2 3 2 2" xfId="25951"/>
    <cellStyle name="Normal 5 2 4 2 3 2 3" xfId="17654"/>
    <cellStyle name="Normal 5 2 4 2 3 3" xfId="21811"/>
    <cellStyle name="Normal 5 2 4 2 3 4" xfId="13514"/>
    <cellStyle name="Normal 5 2 4 2 4" xfId="7282"/>
    <cellStyle name="Normal 5 2 4 2 4 2" xfId="23879"/>
    <cellStyle name="Normal 5 2 4 2 4 3" xfId="15582"/>
    <cellStyle name="Normal 5 2 4 2 5" xfId="19739"/>
    <cellStyle name="Normal 5 2 4 2 6" xfId="11442"/>
    <cellStyle name="Normal 5 2 4 3" xfId="3589"/>
    <cellStyle name="Normal 5 2 4 3 2" xfId="5717"/>
    <cellStyle name="Normal 5 2 4 3 2 2" xfId="9873"/>
    <cellStyle name="Normal 5 2 4 3 2 2 2" xfId="26470"/>
    <cellStyle name="Normal 5 2 4 3 2 2 3" xfId="18173"/>
    <cellStyle name="Normal 5 2 4 3 2 3" xfId="22330"/>
    <cellStyle name="Normal 5 2 4 3 2 4" xfId="14033"/>
    <cellStyle name="Normal 5 2 4 3 3" xfId="7801"/>
    <cellStyle name="Normal 5 2 4 3 3 2" xfId="24398"/>
    <cellStyle name="Normal 5 2 4 3 3 3" xfId="16101"/>
    <cellStyle name="Normal 5 2 4 3 4" xfId="20258"/>
    <cellStyle name="Normal 5 2 4 3 5" xfId="11961"/>
    <cellStyle name="Normal 5 2 4 4" xfId="4669"/>
    <cellStyle name="Normal 5 2 4 4 2" xfId="8837"/>
    <cellStyle name="Normal 5 2 4 4 2 2" xfId="25434"/>
    <cellStyle name="Normal 5 2 4 4 2 3" xfId="17137"/>
    <cellStyle name="Normal 5 2 4 4 3" xfId="21294"/>
    <cellStyle name="Normal 5 2 4 4 4" xfId="12997"/>
    <cellStyle name="Normal 5 2 4 5" xfId="6760"/>
    <cellStyle name="Normal 5 2 4 5 2" xfId="23364"/>
    <cellStyle name="Normal 5 2 4 5 3" xfId="15067"/>
    <cellStyle name="Normal 5 2 4 6" xfId="19221"/>
    <cellStyle name="Normal 5 2 4 7" xfId="10924"/>
    <cellStyle name="Normal 5 2 5" xfId="3057"/>
    <cellStyle name="Normal 5 2 5 2" xfId="4103"/>
    <cellStyle name="Normal 5 2 5 2 2" xfId="6228"/>
    <cellStyle name="Normal 5 2 5 2 2 2" xfId="10384"/>
    <cellStyle name="Normal 5 2 5 2 2 2 2" xfId="26981"/>
    <cellStyle name="Normal 5 2 5 2 2 2 3" xfId="18684"/>
    <cellStyle name="Normal 5 2 5 2 2 3" xfId="22841"/>
    <cellStyle name="Normal 5 2 5 2 2 4" xfId="14544"/>
    <cellStyle name="Normal 5 2 5 2 3" xfId="8312"/>
    <cellStyle name="Normal 5 2 5 2 3 2" xfId="24909"/>
    <cellStyle name="Normal 5 2 5 2 3 3" xfId="16612"/>
    <cellStyle name="Normal 5 2 5 2 4" xfId="20769"/>
    <cellStyle name="Normal 5 2 5 2 5" xfId="12472"/>
    <cellStyle name="Normal 5 2 5 3" xfId="5194"/>
    <cellStyle name="Normal 5 2 5 3 2" xfId="9350"/>
    <cellStyle name="Normal 5 2 5 3 2 2" xfId="25947"/>
    <cellStyle name="Normal 5 2 5 3 2 3" xfId="17650"/>
    <cellStyle name="Normal 5 2 5 3 3" xfId="21807"/>
    <cellStyle name="Normal 5 2 5 3 4" xfId="13510"/>
    <cellStyle name="Normal 5 2 5 4" xfId="7278"/>
    <cellStyle name="Normal 5 2 5 4 2" xfId="23875"/>
    <cellStyle name="Normal 5 2 5 4 3" xfId="15578"/>
    <cellStyle name="Normal 5 2 5 5" xfId="19735"/>
    <cellStyle name="Normal 5 2 5 6" xfId="11438"/>
    <cellStyle name="Normal 5 2 6" xfId="3585"/>
    <cellStyle name="Normal 5 2 6 2" xfId="5713"/>
    <cellStyle name="Normal 5 2 6 2 2" xfId="9869"/>
    <cellStyle name="Normal 5 2 6 2 2 2" xfId="26466"/>
    <cellStyle name="Normal 5 2 6 2 2 3" xfId="18169"/>
    <cellStyle name="Normal 5 2 6 2 3" xfId="22326"/>
    <cellStyle name="Normal 5 2 6 2 4" xfId="14029"/>
    <cellStyle name="Normal 5 2 6 3" xfId="7797"/>
    <cellStyle name="Normal 5 2 6 3 2" xfId="24394"/>
    <cellStyle name="Normal 5 2 6 3 3" xfId="16097"/>
    <cellStyle name="Normal 5 2 6 4" xfId="20254"/>
    <cellStyle name="Normal 5 2 6 5" xfId="11957"/>
    <cellStyle name="Normal 5 2 7" xfId="4665"/>
    <cellStyle name="Normal 5 2 7 2" xfId="8833"/>
    <cellStyle name="Normal 5 2 7 2 2" xfId="25430"/>
    <cellStyle name="Normal 5 2 7 2 3" xfId="17133"/>
    <cellStyle name="Normal 5 2 7 3" xfId="21290"/>
    <cellStyle name="Normal 5 2 7 4" xfId="12993"/>
    <cellStyle name="Normal 5 2 8" xfId="6756"/>
    <cellStyle name="Normal 5 2 8 2" xfId="23360"/>
    <cellStyle name="Normal 5 2 8 3" xfId="15063"/>
    <cellStyle name="Normal 5 2 9" xfId="19217"/>
    <cellStyle name="Normal 5 3" xfId="1728"/>
    <cellStyle name="Normal 5 3 2" xfId="1729"/>
    <cellStyle name="Normal 5 3 2 2" xfId="3063"/>
    <cellStyle name="Normal 5 3 2 2 2" xfId="4109"/>
    <cellStyle name="Normal 5 3 2 2 2 2" xfId="6234"/>
    <cellStyle name="Normal 5 3 2 2 2 2 2" xfId="10390"/>
    <cellStyle name="Normal 5 3 2 2 2 2 2 2" xfId="26987"/>
    <cellStyle name="Normal 5 3 2 2 2 2 2 3" xfId="18690"/>
    <cellStyle name="Normal 5 3 2 2 2 2 3" xfId="22847"/>
    <cellStyle name="Normal 5 3 2 2 2 2 4" xfId="14550"/>
    <cellStyle name="Normal 5 3 2 2 2 3" xfId="8318"/>
    <cellStyle name="Normal 5 3 2 2 2 3 2" xfId="24915"/>
    <cellStyle name="Normal 5 3 2 2 2 3 3" xfId="16618"/>
    <cellStyle name="Normal 5 3 2 2 2 4" xfId="20775"/>
    <cellStyle name="Normal 5 3 2 2 2 5" xfId="12478"/>
    <cellStyle name="Normal 5 3 2 2 3" xfId="5200"/>
    <cellStyle name="Normal 5 3 2 2 3 2" xfId="9356"/>
    <cellStyle name="Normal 5 3 2 2 3 2 2" xfId="25953"/>
    <cellStyle name="Normal 5 3 2 2 3 2 3" xfId="17656"/>
    <cellStyle name="Normal 5 3 2 2 3 3" xfId="21813"/>
    <cellStyle name="Normal 5 3 2 2 3 4" xfId="13516"/>
    <cellStyle name="Normal 5 3 2 2 4" xfId="7284"/>
    <cellStyle name="Normal 5 3 2 2 4 2" xfId="23881"/>
    <cellStyle name="Normal 5 3 2 2 4 3" xfId="15584"/>
    <cellStyle name="Normal 5 3 2 2 5" xfId="19741"/>
    <cellStyle name="Normal 5 3 2 2 6" xfId="11444"/>
    <cellStyle name="Normal 5 3 2 3" xfId="3591"/>
    <cellStyle name="Normal 5 3 2 3 2" xfId="5719"/>
    <cellStyle name="Normal 5 3 2 3 2 2" xfId="9875"/>
    <cellStyle name="Normal 5 3 2 3 2 2 2" xfId="26472"/>
    <cellStyle name="Normal 5 3 2 3 2 2 3" xfId="18175"/>
    <cellStyle name="Normal 5 3 2 3 2 3" xfId="22332"/>
    <cellStyle name="Normal 5 3 2 3 2 4" xfId="14035"/>
    <cellStyle name="Normal 5 3 2 3 3" xfId="7803"/>
    <cellStyle name="Normal 5 3 2 3 3 2" xfId="24400"/>
    <cellStyle name="Normal 5 3 2 3 3 3" xfId="16103"/>
    <cellStyle name="Normal 5 3 2 3 4" xfId="20260"/>
    <cellStyle name="Normal 5 3 2 3 5" xfId="11963"/>
    <cellStyle name="Normal 5 3 2 4" xfId="4671"/>
    <cellStyle name="Normal 5 3 2 4 2" xfId="8839"/>
    <cellStyle name="Normal 5 3 2 4 2 2" xfId="25436"/>
    <cellStyle name="Normal 5 3 2 4 2 3" xfId="17139"/>
    <cellStyle name="Normal 5 3 2 4 3" xfId="21296"/>
    <cellStyle name="Normal 5 3 2 4 4" xfId="12999"/>
    <cellStyle name="Normal 5 3 2 5" xfId="6762"/>
    <cellStyle name="Normal 5 3 2 5 2" xfId="23366"/>
    <cellStyle name="Normal 5 3 2 5 3" xfId="15069"/>
    <cellStyle name="Normal 5 3 2 6" xfId="19223"/>
    <cellStyle name="Normal 5 3 2 7" xfId="10926"/>
    <cellStyle name="Normal 5 3 3" xfId="3062"/>
    <cellStyle name="Normal 5 3 3 2" xfId="4108"/>
    <cellStyle name="Normal 5 3 3 2 2" xfId="6233"/>
    <cellStyle name="Normal 5 3 3 2 2 2" xfId="10389"/>
    <cellStyle name="Normal 5 3 3 2 2 2 2" xfId="26986"/>
    <cellStyle name="Normal 5 3 3 2 2 2 3" xfId="18689"/>
    <cellStyle name="Normal 5 3 3 2 2 3" xfId="22846"/>
    <cellStyle name="Normal 5 3 3 2 2 4" xfId="14549"/>
    <cellStyle name="Normal 5 3 3 2 3" xfId="8317"/>
    <cellStyle name="Normal 5 3 3 2 3 2" xfId="24914"/>
    <cellStyle name="Normal 5 3 3 2 3 3" xfId="16617"/>
    <cellStyle name="Normal 5 3 3 2 4" xfId="20774"/>
    <cellStyle name="Normal 5 3 3 2 5" xfId="12477"/>
    <cellStyle name="Normal 5 3 3 3" xfId="5199"/>
    <cellStyle name="Normal 5 3 3 3 2" xfId="9355"/>
    <cellStyle name="Normal 5 3 3 3 2 2" xfId="25952"/>
    <cellStyle name="Normal 5 3 3 3 2 3" xfId="17655"/>
    <cellStyle name="Normal 5 3 3 3 3" xfId="21812"/>
    <cellStyle name="Normal 5 3 3 3 4" xfId="13515"/>
    <cellStyle name="Normal 5 3 3 4" xfId="7283"/>
    <cellStyle name="Normal 5 3 3 4 2" xfId="23880"/>
    <cellStyle name="Normal 5 3 3 4 3" xfId="15583"/>
    <cellStyle name="Normal 5 3 3 5" xfId="19740"/>
    <cellStyle name="Normal 5 3 3 6" xfId="11443"/>
    <cellStyle name="Normal 5 3 4" xfId="3590"/>
    <cellStyle name="Normal 5 3 4 2" xfId="5718"/>
    <cellStyle name="Normal 5 3 4 2 2" xfId="9874"/>
    <cellStyle name="Normal 5 3 4 2 2 2" xfId="26471"/>
    <cellStyle name="Normal 5 3 4 2 2 3" xfId="18174"/>
    <cellStyle name="Normal 5 3 4 2 3" xfId="22331"/>
    <cellStyle name="Normal 5 3 4 2 4" xfId="14034"/>
    <cellStyle name="Normal 5 3 4 3" xfId="7802"/>
    <cellStyle name="Normal 5 3 4 3 2" xfId="24399"/>
    <cellStyle name="Normal 5 3 4 3 3" xfId="16102"/>
    <cellStyle name="Normal 5 3 4 4" xfId="20259"/>
    <cellStyle name="Normal 5 3 4 5" xfId="11962"/>
    <cellStyle name="Normal 5 3 5" xfId="4670"/>
    <cellStyle name="Normal 5 3 5 2" xfId="8838"/>
    <cellStyle name="Normal 5 3 5 2 2" xfId="25435"/>
    <cellStyle name="Normal 5 3 5 2 3" xfId="17138"/>
    <cellStyle name="Normal 5 3 5 3" xfId="21295"/>
    <cellStyle name="Normal 5 3 5 4" xfId="12998"/>
    <cellStyle name="Normal 5 3 6" xfId="6761"/>
    <cellStyle name="Normal 5 3 6 2" xfId="23365"/>
    <cellStyle name="Normal 5 3 6 3" xfId="15068"/>
    <cellStyle name="Normal 5 3 7" xfId="19222"/>
    <cellStyle name="Normal 5 3 8" xfId="10925"/>
    <cellStyle name="Normal 5 4" xfId="1730"/>
    <cellStyle name="Normal 5 5" xfId="3056"/>
    <cellStyle name="Normal 5 5 2" xfId="4102"/>
    <cellStyle name="Normal 5 5 2 2" xfId="6227"/>
    <cellStyle name="Normal 5 5 2 2 2" xfId="10383"/>
    <cellStyle name="Normal 5 5 2 2 2 2" xfId="26980"/>
    <cellStyle name="Normal 5 5 2 2 2 3" xfId="18683"/>
    <cellStyle name="Normal 5 5 2 2 3" xfId="22840"/>
    <cellStyle name="Normal 5 5 2 2 4" xfId="14543"/>
    <cellStyle name="Normal 5 5 2 3" xfId="8311"/>
    <cellStyle name="Normal 5 5 2 3 2" xfId="24908"/>
    <cellStyle name="Normal 5 5 2 3 3" xfId="16611"/>
    <cellStyle name="Normal 5 5 2 4" xfId="20768"/>
    <cellStyle name="Normal 5 5 2 5" xfId="12471"/>
    <cellStyle name="Normal 5 5 3" xfId="5193"/>
    <cellStyle name="Normal 5 5 3 2" xfId="9349"/>
    <cellStyle name="Normal 5 5 3 2 2" xfId="25946"/>
    <cellStyle name="Normal 5 5 3 2 3" xfId="17649"/>
    <cellStyle name="Normal 5 5 3 3" xfId="21806"/>
    <cellStyle name="Normal 5 5 3 4" xfId="13509"/>
    <cellStyle name="Normal 5 5 4" xfId="7277"/>
    <cellStyle name="Normal 5 5 4 2" xfId="23874"/>
    <cellStyle name="Normal 5 5 4 3" xfId="15577"/>
    <cellStyle name="Normal 5 5 5" xfId="19734"/>
    <cellStyle name="Normal 5 5 6" xfId="11437"/>
    <cellStyle name="Normal 5 6" xfId="3584"/>
    <cellStyle name="Normal 5 6 2" xfId="5712"/>
    <cellStyle name="Normal 5 6 2 2" xfId="9868"/>
    <cellStyle name="Normal 5 6 2 2 2" xfId="26465"/>
    <cellStyle name="Normal 5 6 2 2 3" xfId="18168"/>
    <cellStyle name="Normal 5 6 2 3" xfId="22325"/>
    <cellStyle name="Normal 5 6 2 4" xfId="14028"/>
    <cellStyle name="Normal 5 6 3" xfId="7796"/>
    <cellStyle name="Normal 5 6 3 2" xfId="24393"/>
    <cellStyle name="Normal 5 6 3 3" xfId="16096"/>
    <cellStyle name="Normal 5 6 4" xfId="20253"/>
    <cellStyle name="Normal 5 6 5" xfId="11956"/>
    <cellStyle name="Normal 5 7" xfId="4664"/>
    <cellStyle name="Normal 5 7 2" xfId="8832"/>
    <cellStyle name="Normal 5 7 2 2" xfId="25429"/>
    <cellStyle name="Normal 5 7 2 3" xfId="17132"/>
    <cellStyle name="Normal 5 7 3" xfId="21289"/>
    <cellStyle name="Normal 5 7 4" xfId="12992"/>
    <cellStyle name="Normal 5 8" xfId="6755"/>
    <cellStyle name="Normal 5 8 2" xfId="23359"/>
    <cellStyle name="Normal 5 8 3" xfId="15062"/>
    <cellStyle name="Normal 5 9" xfId="19216"/>
    <cellStyle name="Normal 50" xfId="1731"/>
    <cellStyle name="Normal 50 10" xfId="10927"/>
    <cellStyle name="Normal 50 2" xfId="1732"/>
    <cellStyle name="Normal 50 2 2" xfId="1733"/>
    <cellStyle name="Normal 50 2 2 2" xfId="3066"/>
    <cellStyle name="Normal 50 2 2 2 2" xfId="4112"/>
    <cellStyle name="Normal 50 2 2 2 2 2" xfId="6237"/>
    <cellStyle name="Normal 50 2 2 2 2 2 2" xfId="10393"/>
    <cellStyle name="Normal 50 2 2 2 2 2 2 2" xfId="26990"/>
    <cellStyle name="Normal 50 2 2 2 2 2 2 3" xfId="18693"/>
    <cellStyle name="Normal 50 2 2 2 2 2 3" xfId="22850"/>
    <cellStyle name="Normal 50 2 2 2 2 2 4" xfId="14553"/>
    <cellStyle name="Normal 50 2 2 2 2 3" xfId="8321"/>
    <cellStyle name="Normal 50 2 2 2 2 3 2" xfId="24918"/>
    <cellStyle name="Normal 50 2 2 2 2 3 3" xfId="16621"/>
    <cellStyle name="Normal 50 2 2 2 2 4" xfId="20778"/>
    <cellStyle name="Normal 50 2 2 2 2 5" xfId="12481"/>
    <cellStyle name="Normal 50 2 2 2 3" xfId="5203"/>
    <cellStyle name="Normal 50 2 2 2 3 2" xfId="9359"/>
    <cellStyle name="Normal 50 2 2 2 3 2 2" xfId="25956"/>
    <cellStyle name="Normal 50 2 2 2 3 2 3" xfId="17659"/>
    <cellStyle name="Normal 50 2 2 2 3 3" xfId="21816"/>
    <cellStyle name="Normal 50 2 2 2 3 4" xfId="13519"/>
    <cellStyle name="Normal 50 2 2 2 4" xfId="7287"/>
    <cellStyle name="Normal 50 2 2 2 4 2" xfId="23884"/>
    <cellStyle name="Normal 50 2 2 2 4 3" xfId="15587"/>
    <cellStyle name="Normal 50 2 2 2 5" xfId="19744"/>
    <cellStyle name="Normal 50 2 2 2 6" xfId="11447"/>
    <cellStyle name="Normal 50 2 2 3" xfId="3594"/>
    <cellStyle name="Normal 50 2 2 3 2" xfId="5722"/>
    <cellStyle name="Normal 50 2 2 3 2 2" xfId="9878"/>
    <cellStyle name="Normal 50 2 2 3 2 2 2" xfId="26475"/>
    <cellStyle name="Normal 50 2 2 3 2 2 3" xfId="18178"/>
    <cellStyle name="Normal 50 2 2 3 2 3" xfId="22335"/>
    <cellStyle name="Normal 50 2 2 3 2 4" xfId="14038"/>
    <cellStyle name="Normal 50 2 2 3 3" xfId="7806"/>
    <cellStyle name="Normal 50 2 2 3 3 2" xfId="24403"/>
    <cellStyle name="Normal 50 2 2 3 3 3" xfId="16106"/>
    <cellStyle name="Normal 50 2 2 3 4" xfId="20263"/>
    <cellStyle name="Normal 50 2 2 3 5" xfId="11966"/>
    <cellStyle name="Normal 50 2 2 4" xfId="4674"/>
    <cellStyle name="Normal 50 2 2 4 2" xfId="8842"/>
    <cellStyle name="Normal 50 2 2 4 2 2" xfId="25439"/>
    <cellStyle name="Normal 50 2 2 4 2 3" xfId="17142"/>
    <cellStyle name="Normal 50 2 2 4 3" xfId="21299"/>
    <cellStyle name="Normal 50 2 2 4 4" xfId="13002"/>
    <cellStyle name="Normal 50 2 2 5" xfId="6765"/>
    <cellStyle name="Normal 50 2 2 5 2" xfId="23369"/>
    <cellStyle name="Normal 50 2 2 5 3" xfId="15072"/>
    <cellStyle name="Normal 50 2 2 6" xfId="19226"/>
    <cellStyle name="Normal 50 2 2 7" xfId="10929"/>
    <cellStyle name="Normal 50 2 3" xfId="3065"/>
    <cellStyle name="Normal 50 2 3 2" xfId="4111"/>
    <cellStyle name="Normal 50 2 3 2 2" xfId="6236"/>
    <cellStyle name="Normal 50 2 3 2 2 2" xfId="10392"/>
    <cellStyle name="Normal 50 2 3 2 2 2 2" xfId="26989"/>
    <cellStyle name="Normal 50 2 3 2 2 2 3" xfId="18692"/>
    <cellStyle name="Normal 50 2 3 2 2 3" xfId="22849"/>
    <cellStyle name="Normal 50 2 3 2 2 4" xfId="14552"/>
    <cellStyle name="Normal 50 2 3 2 3" xfId="8320"/>
    <cellStyle name="Normal 50 2 3 2 3 2" xfId="24917"/>
    <cellStyle name="Normal 50 2 3 2 3 3" xfId="16620"/>
    <cellStyle name="Normal 50 2 3 2 4" xfId="20777"/>
    <cellStyle name="Normal 50 2 3 2 5" xfId="12480"/>
    <cellStyle name="Normal 50 2 3 3" xfId="5202"/>
    <cellStyle name="Normal 50 2 3 3 2" xfId="9358"/>
    <cellStyle name="Normal 50 2 3 3 2 2" xfId="25955"/>
    <cellStyle name="Normal 50 2 3 3 2 3" xfId="17658"/>
    <cellStyle name="Normal 50 2 3 3 3" xfId="21815"/>
    <cellStyle name="Normal 50 2 3 3 4" xfId="13518"/>
    <cellStyle name="Normal 50 2 3 4" xfId="7286"/>
    <cellStyle name="Normal 50 2 3 4 2" xfId="23883"/>
    <cellStyle name="Normal 50 2 3 4 3" xfId="15586"/>
    <cellStyle name="Normal 50 2 3 5" xfId="19743"/>
    <cellStyle name="Normal 50 2 3 6" xfId="11446"/>
    <cellStyle name="Normal 50 2 4" xfId="3593"/>
    <cellStyle name="Normal 50 2 4 2" xfId="5721"/>
    <cellStyle name="Normal 50 2 4 2 2" xfId="9877"/>
    <cellStyle name="Normal 50 2 4 2 2 2" xfId="26474"/>
    <cellStyle name="Normal 50 2 4 2 2 3" xfId="18177"/>
    <cellStyle name="Normal 50 2 4 2 3" xfId="22334"/>
    <cellStyle name="Normal 50 2 4 2 4" xfId="14037"/>
    <cellStyle name="Normal 50 2 4 3" xfId="7805"/>
    <cellStyle name="Normal 50 2 4 3 2" xfId="24402"/>
    <cellStyle name="Normal 50 2 4 3 3" xfId="16105"/>
    <cellStyle name="Normal 50 2 4 4" xfId="20262"/>
    <cellStyle name="Normal 50 2 4 5" xfId="11965"/>
    <cellStyle name="Normal 50 2 5" xfId="4673"/>
    <cellStyle name="Normal 50 2 5 2" xfId="8841"/>
    <cellStyle name="Normal 50 2 5 2 2" xfId="25438"/>
    <cellStyle name="Normal 50 2 5 2 3" xfId="17141"/>
    <cellStyle name="Normal 50 2 5 3" xfId="21298"/>
    <cellStyle name="Normal 50 2 5 4" xfId="13001"/>
    <cellStyle name="Normal 50 2 6" xfId="6764"/>
    <cellStyle name="Normal 50 2 6 2" xfId="23368"/>
    <cellStyle name="Normal 50 2 6 3" xfId="15071"/>
    <cellStyle name="Normal 50 2 7" xfId="19225"/>
    <cellStyle name="Normal 50 2 8" xfId="10928"/>
    <cellStyle name="Normal 50 3" xfId="1734"/>
    <cellStyle name="Normal 50 3 2" xfId="1735"/>
    <cellStyle name="Normal 50 3 2 2" xfId="3068"/>
    <cellStyle name="Normal 50 3 2 2 2" xfId="4114"/>
    <cellStyle name="Normal 50 3 2 2 2 2" xfId="6239"/>
    <cellStyle name="Normal 50 3 2 2 2 2 2" xfId="10395"/>
    <cellStyle name="Normal 50 3 2 2 2 2 2 2" xfId="26992"/>
    <cellStyle name="Normal 50 3 2 2 2 2 2 3" xfId="18695"/>
    <cellStyle name="Normal 50 3 2 2 2 2 3" xfId="22852"/>
    <cellStyle name="Normal 50 3 2 2 2 2 4" xfId="14555"/>
    <cellStyle name="Normal 50 3 2 2 2 3" xfId="8323"/>
    <cellStyle name="Normal 50 3 2 2 2 3 2" xfId="24920"/>
    <cellStyle name="Normal 50 3 2 2 2 3 3" xfId="16623"/>
    <cellStyle name="Normal 50 3 2 2 2 4" xfId="20780"/>
    <cellStyle name="Normal 50 3 2 2 2 5" xfId="12483"/>
    <cellStyle name="Normal 50 3 2 2 3" xfId="5205"/>
    <cellStyle name="Normal 50 3 2 2 3 2" xfId="9361"/>
    <cellStyle name="Normal 50 3 2 2 3 2 2" xfId="25958"/>
    <cellStyle name="Normal 50 3 2 2 3 2 3" xfId="17661"/>
    <cellStyle name="Normal 50 3 2 2 3 3" xfId="21818"/>
    <cellStyle name="Normal 50 3 2 2 3 4" xfId="13521"/>
    <cellStyle name="Normal 50 3 2 2 4" xfId="7289"/>
    <cellStyle name="Normal 50 3 2 2 4 2" xfId="23886"/>
    <cellStyle name="Normal 50 3 2 2 4 3" xfId="15589"/>
    <cellStyle name="Normal 50 3 2 2 5" xfId="19746"/>
    <cellStyle name="Normal 50 3 2 2 6" xfId="11449"/>
    <cellStyle name="Normal 50 3 2 3" xfId="3596"/>
    <cellStyle name="Normal 50 3 2 3 2" xfId="5724"/>
    <cellStyle name="Normal 50 3 2 3 2 2" xfId="9880"/>
    <cellStyle name="Normal 50 3 2 3 2 2 2" xfId="26477"/>
    <cellStyle name="Normal 50 3 2 3 2 2 3" xfId="18180"/>
    <cellStyle name="Normal 50 3 2 3 2 3" xfId="22337"/>
    <cellStyle name="Normal 50 3 2 3 2 4" xfId="14040"/>
    <cellStyle name="Normal 50 3 2 3 3" xfId="7808"/>
    <cellStyle name="Normal 50 3 2 3 3 2" xfId="24405"/>
    <cellStyle name="Normal 50 3 2 3 3 3" xfId="16108"/>
    <cellStyle name="Normal 50 3 2 3 4" xfId="20265"/>
    <cellStyle name="Normal 50 3 2 3 5" xfId="11968"/>
    <cellStyle name="Normal 50 3 2 4" xfId="4676"/>
    <cellStyle name="Normal 50 3 2 4 2" xfId="8844"/>
    <cellStyle name="Normal 50 3 2 4 2 2" xfId="25441"/>
    <cellStyle name="Normal 50 3 2 4 2 3" xfId="17144"/>
    <cellStyle name="Normal 50 3 2 4 3" xfId="21301"/>
    <cellStyle name="Normal 50 3 2 4 4" xfId="13004"/>
    <cellStyle name="Normal 50 3 2 5" xfId="6767"/>
    <cellStyle name="Normal 50 3 2 5 2" xfId="23371"/>
    <cellStyle name="Normal 50 3 2 5 3" xfId="15074"/>
    <cellStyle name="Normal 50 3 2 6" xfId="19228"/>
    <cellStyle name="Normal 50 3 2 7" xfId="10931"/>
    <cellStyle name="Normal 50 3 3" xfId="3067"/>
    <cellStyle name="Normal 50 3 3 2" xfId="4113"/>
    <cellStyle name="Normal 50 3 3 2 2" xfId="6238"/>
    <cellStyle name="Normal 50 3 3 2 2 2" xfId="10394"/>
    <cellStyle name="Normal 50 3 3 2 2 2 2" xfId="26991"/>
    <cellStyle name="Normal 50 3 3 2 2 2 3" xfId="18694"/>
    <cellStyle name="Normal 50 3 3 2 2 3" xfId="22851"/>
    <cellStyle name="Normal 50 3 3 2 2 4" xfId="14554"/>
    <cellStyle name="Normal 50 3 3 2 3" xfId="8322"/>
    <cellStyle name="Normal 50 3 3 2 3 2" xfId="24919"/>
    <cellStyle name="Normal 50 3 3 2 3 3" xfId="16622"/>
    <cellStyle name="Normal 50 3 3 2 4" xfId="20779"/>
    <cellStyle name="Normal 50 3 3 2 5" xfId="12482"/>
    <cellStyle name="Normal 50 3 3 3" xfId="5204"/>
    <cellStyle name="Normal 50 3 3 3 2" xfId="9360"/>
    <cellStyle name="Normal 50 3 3 3 2 2" xfId="25957"/>
    <cellStyle name="Normal 50 3 3 3 2 3" xfId="17660"/>
    <cellStyle name="Normal 50 3 3 3 3" xfId="21817"/>
    <cellStyle name="Normal 50 3 3 3 4" xfId="13520"/>
    <cellStyle name="Normal 50 3 3 4" xfId="7288"/>
    <cellStyle name="Normal 50 3 3 4 2" xfId="23885"/>
    <cellStyle name="Normal 50 3 3 4 3" xfId="15588"/>
    <cellStyle name="Normal 50 3 3 5" xfId="19745"/>
    <cellStyle name="Normal 50 3 3 6" xfId="11448"/>
    <cellStyle name="Normal 50 3 4" xfId="3595"/>
    <cellStyle name="Normal 50 3 4 2" xfId="5723"/>
    <cellStyle name="Normal 50 3 4 2 2" xfId="9879"/>
    <cellStyle name="Normal 50 3 4 2 2 2" xfId="26476"/>
    <cellStyle name="Normal 50 3 4 2 2 3" xfId="18179"/>
    <cellStyle name="Normal 50 3 4 2 3" xfId="22336"/>
    <cellStyle name="Normal 50 3 4 2 4" xfId="14039"/>
    <cellStyle name="Normal 50 3 4 3" xfId="7807"/>
    <cellStyle name="Normal 50 3 4 3 2" xfId="24404"/>
    <cellStyle name="Normal 50 3 4 3 3" xfId="16107"/>
    <cellStyle name="Normal 50 3 4 4" xfId="20264"/>
    <cellStyle name="Normal 50 3 4 5" xfId="11967"/>
    <cellStyle name="Normal 50 3 5" xfId="4675"/>
    <cellStyle name="Normal 50 3 5 2" xfId="8843"/>
    <cellStyle name="Normal 50 3 5 2 2" xfId="25440"/>
    <cellStyle name="Normal 50 3 5 2 3" xfId="17143"/>
    <cellStyle name="Normal 50 3 5 3" xfId="21300"/>
    <cellStyle name="Normal 50 3 5 4" xfId="13003"/>
    <cellStyle name="Normal 50 3 6" xfId="6766"/>
    <cellStyle name="Normal 50 3 6 2" xfId="23370"/>
    <cellStyle name="Normal 50 3 6 3" xfId="15073"/>
    <cellStyle name="Normal 50 3 7" xfId="19227"/>
    <cellStyle name="Normal 50 3 8" xfId="10930"/>
    <cellStyle name="Normal 50 4" xfId="1736"/>
    <cellStyle name="Normal 50 4 2" xfId="3069"/>
    <cellStyle name="Normal 50 4 2 2" xfId="4115"/>
    <cellStyle name="Normal 50 4 2 2 2" xfId="6240"/>
    <cellStyle name="Normal 50 4 2 2 2 2" xfId="10396"/>
    <cellStyle name="Normal 50 4 2 2 2 2 2" xfId="26993"/>
    <cellStyle name="Normal 50 4 2 2 2 2 3" xfId="18696"/>
    <cellStyle name="Normal 50 4 2 2 2 3" xfId="22853"/>
    <cellStyle name="Normal 50 4 2 2 2 4" xfId="14556"/>
    <cellStyle name="Normal 50 4 2 2 3" xfId="8324"/>
    <cellStyle name="Normal 50 4 2 2 3 2" xfId="24921"/>
    <cellStyle name="Normal 50 4 2 2 3 3" xfId="16624"/>
    <cellStyle name="Normal 50 4 2 2 4" xfId="20781"/>
    <cellStyle name="Normal 50 4 2 2 5" xfId="12484"/>
    <cellStyle name="Normal 50 4 2 3" xfId="5206"/>
    <cellStyle name="Normal 50 4 2 3 2" xfId="9362"/>
    <cellStyle name="Normal 50 4 2 3 2 2" xfId="25959"/>
    <cellStyle name="Normal 50 4 2 3 2 3" xfId="17662"/>
    <cellStyle name="Normal 50 4 2 3 3" xfId="21819"/>
    <cellStyle name="Normal 50 4 2 3 4" xfId="13522"/>
    <cellStyle name="Normal 50 4 2 4" xfId="7290"/>
    <cellStyle name="Normal 50 4 2 4 2" xfId="23887"/>
    <cellStyle name="Normal 50 4 2 4 3" xfId="15590"/>
    <cellStyle name="Normal 50 4 2 5" xfId="19747"/>
    <cellStyle name="Normal 50 4 2 6" xfId="11450"/>
    <cellStyle name="Normal 50 4 3" xfId="3597"/>
    <cellStyle name="Normal 50 4 3 2" xfId="5725"/>
    <cellStyle name="Normal 50 4 3 2 2" xfId="9881"/>
    <cellStyle name="Normal 50 4 3 2 2 2" xfId="26478"/>
    <cellStyle name="Normal 50 4 3 2 2 3" xfId="18181"/>
    <cellStyle name="Normal 50 4 3 2 3" xfId="22338"/>
    <cellStyle name="Normal 50 4 3 2 4" xfId="14041"/>
    <cellStyle name="Normal 50 4 3 3" xfId="7809"/>
    <cellStyle name="Normal 50 4 3 3 2" xfId="24406"/>
    <cellStyle name="Normal 50 4 3 3 3" xfId="16109"/>
    <cellStyle name="Normal 50 4 3 4" xfId="20266"/>
    <cellStyle name="Normal 50 4 3 5" xfId="11969"/>
    <cellStyle name="Normal 50 4 4" xfId="4677"/>
    <cellStyle name="Normal 50 4 4 2" xfId="8845"/>
    <cellStyle name="Normal 50 4 4 2 2" xfId="25442"/>
    <cellStyle name="Normal 50 4 4 2 3" xfId="17145"/>
    <cellStyle name="Normal 50 4 4 3" xfId="21302"/>
    <cellStyle name="Normal 50 4 4 4" xfId="13005"/>
    <cellStyle name="Normal 50 4 5" xfId="6768"/>
    <cellStyle name="Normal 50 4 5 2" xfId="23372"/>
    <cellStyle name="Normal 50 4 5 3" xfId="15075"/>
    <cellStyle name="Normal 50 4 6" xfId="19229"/>
    <cellStyle name="Normal 50 4 7" xfId="10932"/>
    <cellStyle name="Normal 50 5" xfId="3064"/>
    <cellStyle name="Normal 50 5 2" xfId="4110"/>
    <cellStyle name="Normal 50 5 2 2" xfId="6235"/>
    <cellStyle name="Normal 50 5 2 2 2" xfId="10391"/>
    <cellStyle name="Normal 50 5 2 2 2 2" xfId="26988"/>
    <cellStyle name="Normal 50 5 2 2 2 3" xfId="18691"/>
    <cellStyle name="Normal 50 5 2 2 3" xfId="22848"/>
    <cellStyle name="Normal 50 5 2 2 4" xfId="14551"/>
    <cellStyle name="Normal 50 5 2 3" xfId="8319"/>
    <cellStyle name="Normal 50 5 2 3 2" xfId="24916"/>
    <cellStyle name="Normal 50 5 2 3 3" xfId="16619"/>
    <cellStyle name="Normal 50 5 2 4" xfId="20776"/>
    <cellStyle name="Normal 50 5 2 5" xfId="12479"/>
    <cellStyle name="Normal 50 5 3" xfId="5201"/>
    <cellStyle name="Normal 50 5 3 2" xfId="9357"/>
    <cellStyle name="Normal 50 5 3 2 2" xfId="25954"/>
    <cellStyle name="Normal 50 5 3 2 3" xfId="17657"/>
    <cellStyle name="Normal 50 5 3 3" xfId="21814"/>
    <cellStyle name="Normal 50 5 3 4" xfId="13517"/>
    <cellStyle name="Normal 50 5 4" xfId="7285"/>
    <cellStyle name="Normal 50 5 4 2" xfId="23882"/>
    <cellStyle name="Normal 50 5 4 3" xfId="15585"/>
    <cellStyle name="Normal 50 5 5" xfId="19742"/>
    <cellStyle name="Normal 50 5 6" xfId="11445"/>
    <cellStyle name="Normal 50 6" xfId="3592"/>
    <cellStyle name="Normal 50 6 2" xfId="5720"/>
    <cellStyle name="Normal 50 6 2 2" xfId="9876"/>
    <cellStyle name="Normal 50 6 2 2 2" xfId="26473"/>
    <cellStyle name="Normal 50 6 2 2 3" xfId="18176"/>
    <cellStyle name="Normal 50 6 2 3" xfId="22333"/>
    <cellStyle name="Normal 50 6 2 4" xfId="14036"/>
    <cellStyle name="Normal 50 6 3" xfId="7804"/>
    <cellStyle name="Normal 50 6 3 2" xfId="24401"/>
    <cellStyle name="Normal 50 6 3 3" xfId="16104"/>
    <cellStyle name="Normal 50 6 4" xfId="20261"/>
    <cellStyle name="Normal 50 6 5" xfId="11964"/>
    <cellStyle name="Normal 50 7" xfId="4672"/>
    <cellStyle name="Normal 50 7 2" xfId="8840"/>
    <cellStyle name="Normal 50 7 2 2" xfId="25437"/>
    <cellStyle name="Normal 50 7 2 3" xfId="17140"/>
    <cellStyle name="Normal 50 7 3" xfId="21297"/>
    <cellStyle name="Normal 50 7 4" xfId="13000"/>
    <cellStyle name="Normal 50 8" xfId="6763"/>
    <cellStyle name="Normal 50 8 2" xfId="23367"/>
    <cellStyle name="Normal 50 8 3" xfId="15070"/>
    <cellStyle name="Normal 50 9" xfId="19224"/>
    <cellStyle name="Normal 51" xfId="1737"/>
    <cellStyle name="Normal 51 10" xfId="10933"/>
    <cellStyle name="Normal 51 2" xfId="1738"/>
    <cellStyle name="Normal 51 2 2" xfId="1739"/>
    <cellStyle name="Normal 51 2 2 2" xfId="3072"/>
    <cellStyle name="Normal 51 2 2 2 2" xfId="4118"/>
    <cellStyle name="Normal 51 2 2 2 2 2" xfId="6243"/>
    <cellStyle name="Normal 51 2 2 2 2 2 2" xfId="10399"/>
    <cellStyle name="Normal 51 2 2 2 2 2 2 2" xfId="26996"/>
    <cellStyle name="Normal 51 2 2 2 2 2 2 3" xfId="18699"/>
    <cellStyle name="Normal 51 2 2 2 2 2 3" xfId="22856"/>
    <cellStyle name="Normal 51 2 2 2 2 2 4" xfId="14559"/>
    <cellStyle name="Normal 51 2 2 2 2 3" xfId="8327"/>
    <cellStyle name="Normal 51 2 2 2 2 3 2" xfId="24924"/>
    <cellStyle name="Normal 51 2 2 2 2 3 3" xfId="16627"/>
    <cellStyle name="Normal 51 2 2 2 2 4" xfId="20784"/>
    <cellStyle name="Normal 51 2 2 2 2 5" xfId="12487"/>
    <cellStyle name="Normal 51 2 2 2 3" xfId="5209"/>
    <cellStyle name="Normal 51 2 2 2 3 2" xfId="9365"/>
    <cellStyle name="Normal 51 2 2 2 3 2 2" xfId="25962"/>
    <cellStyle name="Normal 51 2 2 2 3 2 3" xfId="17665"/>
    <cellStyle name="Normal 51 2 2 2 3 3" xfId="21822"/>
    <cellStyle name="Normal 51 2 2 2 3 4" xfId="13525"/>
    <cellStyle name="Normal 51 2 2 2 4" xfId="7293"/>
    <cellStyle name="Normal 51 2 2 2 4 2" xfId="23890"/>
    <cellStyle name="Normal 51 2 2 2 4 3" xfId="15593"/>
    <cellStyle name="Normal 51 2 2 2 5" xfId="19750"/>
    <cellStyle name="Normal 51 2 2 2 6" xfId="11453"/>
    <cellStyle name="Normal 51 2 2 3" xfId="3600"/>
    <cellStyle name="Normal 51 2 2 3 2" xfId="5728"/>
    <cellStyle name="Normal 51 2 2 3 2 2" xfId="9884"/>
    <cellStyle name="Normal 51 2 2 3 2 2 2" xfId="26481"/>
    <cellStyle name="Normal 51 2 2 3 2 2 3" xfId="18184"/>
    <cellStyle name="Normal 51 2 2 3 2 3" xfId="22341"/>
    <cellStyle name="Normal 51 2 2 3 2 4" xfId="14044"/>
    <cellStyle name="Normal 51 2 2 3 3" xfId="7812"/>
    <cellStyle name="Normal 51 2 2 3 3 2" xfId="24409"/>
    <cellStyle name="Normal 51 2 2 3 3 3" xfId="16112"/>
    <cellStyle name="Normal 51 2 2 3 4" xfId="20269"/>
    <cellStyle name="Normal 51 2 2 3 5" xfId="11972"/>
    <cellStyle name="Normal 51 2 2 4" xfId="4680"/>
    <cellStyle name="Normal 51 2 2 4 2" xfId="8848"/>
    <cellStyle name="Normal 51 2 2 4 2 2" xfId="25445"/>
    <cellStyle name="Normal 51 2 2 4 2 3" xfId="17148"/>
    <cellStyle name="Normal 51 2 2 4 3" xfId="21305"/>
    <cellStyle name="Normal 51 2 2 4 4" xfId="13008"/>
    <cellStyle name="Normal 51 2 2 5" xfId="6771"/>
    <cellStyle name="Normal 51 2 2 5 2" xfId="23375"/>
    <cellStyle name="Normal 51 2 2 5 3" xfId="15078"/>
    <cellStyle name="Normal 51 2 2 6" xfId="19232"/>
    <cellStyle name="Normal 51 2 2 7" xfId="10935"/>
    <cellStyle name="Normal 51 2 3" xfId="3071"/>
    <cellStyle name="Normal 51 2 3 2" xfId="4117"/>
    <cellStyle name="Normal 51 2 3 2 2" xfId="6242"/>
    <cellStyle name="Normal 51 2 3 2 2 2" xfId="10398"/>
    <cellStyle name="Normal 51 2 3 2 2 2 2" xfId="26995"/>
    <cellStyle name="Normal 51 2 3 2 2 2 3" xfId="18698"/>
    <cellStyle name="Normal 51 2 3 2 2 3" xfId="22855"/>
    <cellStyle name="Normal 51 2 3 2 2 4" xfId="14558"/>
    <cellStyle name="Normal 51 2 3 2 3" xfId="8326"/>
    <cellStyle name="Normal 51 2 3 2 3 2" xfId="24923"/>
    <cellStyle name="Normal 51 2 3 2 3 3" xfId="16626"/>
    <cellStyle name="Normal 51 2 3 2 4" xfId="20783"/>
    <cellStyle name="Normal 51 2 3 2 5" xfId="12486"/>
    <cellStyle name="Normal 51 2 3 3" xfId="5208"/>
    <cellStyle name="Normal 51 2 3 3 2" xfId="9364"/>
    <cellStyle name="Normal 51 2 3 3 2 2" xfId="25961"/>
    <cellStyle name="Normal 51 2 3 3 2 3" xfId="17664"/>
    <cellStyle name="Normal 51 2 3 3 3" xfId="21821"/>
    <cellStyle name="Normal 51 2 3 3 4" xfId="13524"/>
    <cellStyle name="Normal 51 2 3 4" xfId="7292"/>
    <cellStyle name="Normal 51 2 3 4 2" xfId="23889"/>
    <cellStyle name="Normal 51 2 3 4 3" xfId="15592"/>
    <cellStyle name="Normal 51 2 3 5" xfId="19749"/>
    <cellStyle name="Normal 51 2 3 6" xfId="11452"/>
    <cellStyle name="Normal 51 2 4" xfId="3599"/>
    <cellStyle name="Normal 51 2 4 2" xfId="5727"/>
    <cellStyle name="Normal 51 2 4 2 2" xfId="9883"/>
    <cellStyle name="Normal 51 2 4 2 2 2" xfId="26480"/>
    <cellStyle name="Normal 51 2 4 2 2 3" xfId="18183"/>
    <cellStyle name="Normal 51 2 4 2 3" xfId="22340"/>
    <cellStyle name="Normal 51 2 4 2 4" xfId="14043"/>
    <cellStyle name="Normal 51 2 4 3" xfId="7811"/>
    <cellStyle name="Normal 51 2 4 3 2" xfId="24408"/>
    <cellStyle name="Normal 51 2 4 3 3" xfId="16111"/>
    <cellStyle name="Normal 51 2 4 4" xfId="20268"/>
    <cellStyle name="Normal 51 2 4 5" xfId="11971"/>
    <cellStyle name="Normal 51 2 5" xfId="4679"/>
    <cellStyle name="Normal 51 2 5 2" xfId="8847"/>
    <cellStyle name="Normal 51 2 5 2 2" xfId="25444"/>
    <cellStyle name="Normal 51 2 5 2 3" xfId="17147"/>
    <cellStyle name="Normal 51 2 5 3" xfId="21304"/>
    <cellStyle name="Normal 51 2 5 4" xfId="13007"/>
    <cellStyle name="Normal 51 2 6" xfId="6770"/>
    <cellStyle name="Normal 51 2 6 2" xfId="23374"/>
    <cellStyle name="Normal 51 2 6 3" xfId="15077"/>
    <cellStyle name="Normal 51 2 7" xfId="19231"/>
    <cellStyle name="Normal 51 2 8" xfId="10934"/>
    <cellStyle name="Normal 51 3" xfId="1740"/>
    <cellStyle name="Normal 51 3 2" xfId="1741"/>
    <cellStyle name="Normal 51 3 2 2" xfId="3074"/>
    <cellStyle name="Normal 51 3 2 2 2" xfId="4120"/>
    <cellStyle name="Normal 51 3 2 2 2 2" xfId="6245"/>
    <cellStyle name="Normal 51 3 2 2 2 2 2" xfId="10401"/>
    <cellStyle name="Normal 51 3 2 2 2 2 2 2" xfId="26998"/>
    <cellStyle name="Normal 51 3 2 2 2 2 2 3" xfId="18701"/>
    <cellStyle name="Normal 51 3 2 2 2 2 3" xfId="22858"/>
    <cellStyle name="Normal 51 3 2 2 2 2 4" xfId="14561"/>
    <cellStyle name="Normal 51 3 2 2 2 3" xfId="8329"/>
    <cellStyle name="Normal 51 3 2 2 2 3 2" xfId="24926"/>
    <cellStyle name="Normal 51 3 2 2 2 3 3" xfId="16629"/>
    <cellStyle name="Normal 51 3 2 2 2 4" xfId="20786"/>
    <cellStyle name="Normal 51 3 2 2 2 5" xfId="12489"/>
    <cellStyle name="Normal 51 3 2 2 3" xfId="5211"/>
    <cellStyle name="Normal 51 3 2 2 3 2" xfId="9367"/>
    <cellStyle name="Normal 51 3 2 2 3 2 2" xfId="25964"/>
    <cellStyle name="Normal 51 3 2 2 3 2 3" xfId="17667"/>
    <cellStyle name="Normal 51 3 2 2 3 3" xfId="21824"/>
    <cellStyle name="Normal 51 3 2 2 3 4" xfId="13527"/>
    <cellStyle name="Normal 51 3 2 2 4" xfId="7295"/>
    <cellStyle name="Normal 51 3 2 2 4 2" xfId="23892"/>
    <cellStyle name="Normal 51 3 2 2 4 3" xfId="15595"/>
    <cellStyle name="Normal 51 3 2 2 5" xfId="19752"/>
    <cellStyle name="Normal 51 3 2 2 6" xfId="11455"/>
    <cellStyle name="Normal 51 3 2 3" xfId="3602"/>
    <cellStyle name="Normal 51 3 2 3 2" xfId="5730"/>
    <cellStyle name="Normal 51 3 2 3 2 2" xfId="9886"/>
    <cellStyle name="Normal 51 3 2 3 2 2 2" xfId="26483"/>
    <cellStyle name="Normal 51 3 2 3 2 2 3" xfId="18186"/>
    <cellStyle name="Normal 51 3 2 3 2 3" xfId="22343"/>
    <cellStyle name="Normal 51 3 2 3 2 4" xfId="14046"/>
    <cellStyle name="Normal 51 3 2 3 3" xfId="7814"/>
    <cellStyle name="Normal 51 3 2 3 3 2" xfId="24411"/>
    <cellStyle name="Normal 51 3 2 3 3 3" xfId="16114"/>
    <cellStyle name="Normal 51 3 2 3 4" xfId="20271"/>
    <cellStyle name="Normal 51 3 2 3 5" xfId="11974"/>
    <cellStyle name="Normal 51 3 2 4" xfId="4682"/>
    <cellStyle name="Normal 51 3 2 4 2" xfId="8850"/>
    <cellStyle name="Normal 51 3 2 4 2 2" xfId="25447"/>
    <cellStyle name="Normal 51 3 2 4 2 3" xfId="17150"/>
    <cellStyle name="Normal 51 3 2 4 3" xfId="21307"/>
    <cellStyle name="Normal 51 3 2 4 4" xfId="13010"/>
    <cellStyle name="Normal 51 3 2 5" xfId="6773"/>
    <cellStyle name="Normal 51 3 2 5 2" xfId="23377"/>
    <cellStyle name="Normal 51 3 2 5 3" xfId="15080"/>
    <cellStyle name="Normal 51 3 2 6" xfId="19234"/>
    <cellStyle name="Normal 51 3 2 7" xfId="10937"/>
    <cellStyle name="Normal 51 3 3" xfId="3073"/>
    <cellStyle name="Normal 51 3 3 2" xfId="4119"/>
    <cellStyle name="Normal 51 3 3 2 2" xfId="6244"/>
    <cellStyle name="Normal 51 3 3 2 2 2" xfId="10400"/>
    <cellStyle name="Normal 51 3 3 2 2 2 2" xfId="26997"/>
    <cellStyle name="Normal 51 3 3 2 2 2 3" xfId="18700"/>
    <cellStyle name="Normal 51 3 3 2 2 3" xfId="22857"/>
    <cellStyle name="Normal 51 3 3 2 2 4" xfId="14560"/>
    <cellStyle name="Normal 51 3 3 2 3" xfId="8328"/>
    <cellStyle name="Normal 51 3 3 2 3 2" xfId="24925"/>
    <cellStyle name="Normal 51 3 3 2 3 3" xfId="16628"/>
    <cellStyle name="Normal 51 3 3 2 4" xfId="20785"/>
    <cellStyle name="Normal 51 3 3 2 5" xfId="12488"/>
    <cellStyle name="Normal 51 3 3 3" xfId="5210"/>
    <cellStyle name="Normal 51 3 3 3 2" xfId="9366"/>
    <cellStyle name="Normal 51 3 3 3 2 2" xfId="25963"/>
    <cellStyle name="Normal 51 3 3 3 2 3" xfId="17666"/>
    <cellStyle name="Normal 51 3 3 3 3" xfId="21823"/>
    <cellStyle name="Normal 51 3 3 3 4" xfId="13526"/>
    <cellStyle name="Normal 51 3 3 4" xfId="7294"/>
    <cellStyle name="Normal 51 3 3 4 2" xfId="23891"/>
    <cellStyle name="Normal 51 3 3 4 3" xfId="15594"/>
    <cellStyle name="Normal 51 3 3 5" xfId="19751"/>
    <cellStyle name="Normal 51 3 3 6" xfId="11454"/>
    <cellStyle name="Normal 51 3 4" xfId="3601"/>
    <cellStyle name="Normal 51 3 4 2" xfId="5729"/>
    <cellStyle name="Normal 51 3 4 2 2" xfId="9885"/>
    <cellStyle name="Normal 51 3 4 2 2 2" xfId="26482"/>
    <cellStyle name="Normal 51 3 4 2 2 3" xfId="18185"/>
    <cellStyle name="Normal 51 3 4 2 3" xfId="22342"/>
    <cellStyle name="Normal 51 3 4 2 4" xfId="14045"/>
    <cellStyle name="Normal 51 3 4 3" xfId="7813"/>
    <cellStyle name="Normal 51 3 4 3 2" xfId="24410"/>
    <cellStyle name="Normal 51 3 4 3 3" xfId="16113"/>
    <cellStyle name="Normal 51 3 4 4" xfId="20270"/>
    <cellStyle name="Normal 51 3 4 5" xfId="11973"/>
    <cellStyle name="Normal 51 3 5" xfId="4681"/>
    <cellStyle name="Normal 51 3 5 2" xfId="8849"/>
    <cellStyle name="Normal 51 3 5 2 2" xfId="25446"/>
    <cellStyle name="Normal 51 3 5 2 3" xfId="17149"/>
    <cellStyle name="Normal 51 3 5 3" xfId="21306"/>
    <cellStyle name="Normal 51 3 5 4" xfId="13009"/>
    <cellStyle name="Normal 51 3 6" xfId="6772"/>
    <cellStyle name="Normal 51 3 6 2" xfId="23376"/>
    <cellStyle name="Normal 51 3 6 3" xfId="15079"/>
    <cellStyle name="Normal 51 3 7" xfId="19233"/>
    <cellStyle name="Normal 51 3 8" xfId="10936"/>
    <cellStyle name="Normal 51 4" xfId="1742"/>
    <cellStyle name="Normal 51 4 2" xfId="3075"/>
    <cellStyle name="Normal 51 4 2 2" xfId="4121"/>
    <cellStyle name="Normal 51 4 2 2 2" xfId="6246"/>
    <cellStyle name="Normal 51 4 2 2 2 2" xfId="10402"/>
    <cellStyle name="Normal 51 4 2 2 2 2 2" xfId="26999"/>
    <cellStyle name="Normal 51 4 2 2 2 2 3" xfId="18702"/>
    <cellStyle name="Normal 51 4 2 2 2 3" xfId="22859"/>
    <cellStyle name="Normal 51 4 2 2 2 4" xfId="14562"/>
    <cellStyle name="Normal 51 4 2 2 3" xfId="8330"/>
    <cellStyle name="Normal 51 4 2 2 3 2" xfId="24927"/>
    <cellStyle name="Normal 51 4 2 2 3 3" xfId="16630"/>
    <cellStyle name="Normal 51 4 2 2 4" xfId="20787"/>
    <cellStyle name="Normal 51 4 2 2 5" xfId="12490"/>
    <cellStyle name="Normal 51 4 2 3" xfId="5212"/>
    <cellStyle name="Normal 51 4 2 3 2" xfId="9368"/>
    <cellStyle name="Normal 51 4 2 3 2 2" xfId="25965"/>
    <cellStyle name="Normal 51 4 2 3 2 3" xfId="17668"/>
    <cellStyle name="Normal 51 4 2 3 3" xfId="21825"/>
    <cellStyle name="Normal 51 4 2 3 4" xfId="13528"/>
    <cellStyle name="Normal 51 4 2 4" xfId="7296"/>
    <cellStyle name="Normal 51 4 2 4 2" xfId="23893"/>
    <cellStyle name="Normal 51 4 2 4 3" xfId="15596"/>
    <cellStyle name="Normal 51 4 2 5" xfId="19753"/>
    <cellStyle name="Normal 51 4 2 6" xfId="11456"/>
    <cellStyle name="Normal 51 4 3" xfId="3603"/>
    <cellStyle name="Normal 51 4 3 2" xfId="5731"/>
    <cellStyle name="Normal 51 4 3 2 2" xfId="9887"/>
    <cellStyle name="Normal 51 4 3 2 2 2" xfId="26484"/>
    <cellStyle name="Normal 51 4 3 2 2 3" xfId="18187"/>
    <cellStyle name="Normal 51 4 3 2 3" xfId="22344"/>
    <cellStyle name="Normal 51 4 3 2 4" xfId="14047"/>
    <cellStyle name="Normal 51 4 3 3" xfId="7815"/>
    <cellStyle name="Normal 51 4 3 3 2" xfId="24412"/>
    <cellStyle name="Normal 51 4 3 3 3" xfId="16115"/>
    <cellStyle name="Normal 51 4 3 4" xfId="20272"/>
    <cellStyle name="Normal 51 4 3 5" xfId="11975"/>
    <cellStyle name="Normal 51 4 4" xfId="4683"/>
    <cellStyle name="Normal 51 4 4 2" xfId="8851"/>
    <cellStyle name="Normal 51 4 4 2 2" xfId="25448"/>
    <cellStyle name="Normal 51 4 4 2 3" xfId="17151"/>
    <cellStyle name="Normal 51 4 4 3" xfId="21308"/>
    <cellStyle name="Normal 51 4 4 4" xfId="13011"/>
    <cellStyle name="Normal 51 4 5" xfId="6774"/>
    <cellStyle name="Normal 51 4 5 2" xfId="23378"/>
    <cellStyle name="Normal 51 4 5 3" xfId="15081"/>
    <cellStyle name="Normal 51 4 6" xfId="19235"/>
    <cellStyle name="Normal 51 4 7" xfId="10938"/>
    <cellStyle name="Normal 51 5" xfId="3070"/>
    <cellStyle name="Normal 51 5 2" xfId="4116"/>
    <cellStyle name="Normal 51 5 2 2" xfId="6241"/>
    <cellStyle name="Normal 51 5 2 2 2" xfId="10397"/>
    <cellStyle name="Normal 51 5 2 2 2 2" xfId="26994"/>
    <cellStyle name="Normal 51 5 2 2 2 3" xfId="18697"/>
    <cellStyle name="Normal 51 5 2 2 3" xfId="22854"/>
    <cellStyle name="Normal 51 5 2 2 4" xfId="14557"/>
    <cellStyle name="Normal 51 5 2 3" xfId="8325"/>
    <cellStyle name="Normal 51 5 2 3 2" xfId="24922"/>
    <cellStyle name="Normal 51 5 2 3 3" xfId="16625"/>
    <cellStyle name="Normal 51 5 2 4" xfId="20782"/>
    <cellStyle name="Normal 51 5 2 5" xfId="12485"/>
    <cellStyle name="Normal 51 5 3" xfId="5207"/>
    <cellStyle name="Normal 51 5 3 2" xfId="9363"/>
    <cellStyle name="Normal 51 5 3 2 2" xfId="25960"/>
    <cellStyle name="Normal 51 5 3 2 3" xfId="17663"/>
    <cellStyle name="Normal 51 5 3 3" xfId="21820"/>
    <cellStyle name="Normal 51 5 3 4" xfId="13523"/>
    <cellStyle name="Normal 51 5 4" xfId="7291"/>
    <cellStyle name="Normal 51 5 4 2" xfId="23888"/>
    <cellStyle name="Normal 51 5 4 3" xfId="15591"/>
    <cellStyle name="Normal 51 5 5" xfId="19748"/>
    <cellStyle name="Normal 51 5 6" xfId="11451"/>
    <cellStyle name="Normal 51 6" xfId="3598"/>
    <cellStyle name="Normal 51 6 2" xfId="5726"/>
    <cellStyle name="Normal 51 6 2 2" xfId="9882"/>
    <cellStyle name="Normal 51 6 2 2 2" xfId="26479"/>
    <cellStyle name="Normal 51 6 2 2 3" xfId="18182"/>
    <cellStyle name="Normal 51 6 2 3" xfId="22339"/>
    <cellStyle name="Normal 51 6 2 4" xfId="14042"/>
    <cellStyle name="Normal 51 6 3" xfId="7810"/>
    <cellStyle name="Normal 51 6 3 2" xfId="24407"/>
    <cellStyle name="Normal 51 6 3 3" xfId="16110"/>
    <cellStyle name="Normal 51 6 4" xfId="20267"/>
    <cellStyle name="Normal 51 6 5" xfId="11970"/>
    <cellStyle name="Normal 51 7" xfId="4678"/>
    <cellStyle name="Normal 51 7 2" xfId="8846"/>
    <cellStyle name="Normal 51 7 2 2" xfId="25443"/>
    <cellStyle name="Normal 51 7 2 3" xfId="17146"/>
    <cellStyle name="Normal 51 7 3" xfId="21303"/>
    <cellStyle name="Normal 51 7 4" xfId="13006"/>
    <cellStyle name="Normal 51 8" xfId="6769"/>
    <cellStyle name="Normal 51 8 2" xfId="23373"/>
    <cellStyle name="Normal 51 8 3" xfId="15076"/>
    <cellStyle name="Normal 51 9" xfId="19230"/>
    <cellStyle name="Normal 52" xfId="1743"/>
    <cellStyle name="Normal 52 10" xfId="10939"/>
    <cellStyle name="Normal 52 2" xfId="1744"/>
    <cellStyle name="Normal 52 2 2" xfId="1745"/>
    <cellStyle name="Normal 52 2 2 2" xfId="3078"/>
    <cellStyle name="Normal 52 2 2 2 2" xfId="4124"/>
    <cellStyle name="Normal 52 2 2 2 2 2" xfId="6249"/>
    <cellStyle name="Normal 52 2 2 2 2 2 2" xfId="10405"/>
    <cellStyle name="Normal 52 2 2 2 2 2 2 2" xfId="27002"/>
    <cellStyle name="Normal 52 2 2 2 2 2 2 3" xfId="18705"/>
    <cellStyle name="Normal 52 2 2 2 2 2 3" xfId="22862"/>
    <cellStyle name="Normal 52 2 2 2 2 2 4" xfId="14565"/>
    <cellStyle name="Normal 52 2 2 2 2 3" xfId="8333"/>
    <cellStyle name="Normal 52 2 2 2 2 3 2" xfId="24930"/>
    <cellStyle name="Normal 52 2 2 2 2 3 3" xfId="16633"/>
    <cellStyle name="Normal 52 2 2 2 2 4" xfId="20790"/>
    <cellStyle name="Normal 52 2 2 2 2 5" xfId="12493"/>
    <cellStyle name="Normal 52 2 2 2 3" xfId="5215"/>
    <cellStyle name="Normal 52 2 2 2 3 2" xfId="9371"/>
    <cellStyle name="Normal 52 2 2 2 3 2 2" xfId="25968"/>
    <cellStyle name="Normal 52 2 2 2 3 2 3" xfId="17671"/>
    <cellStyle name="Normal 52 2 2 2 3 3" xfId="21828"/>
    <cellStyle name="Normal 52 2 2 2 3 4" xfId="13531"/>
    <cellStyle name="Normal 52 2 2 2 4" xfId="7299"/>
    <cellStyle name="Normal 52 2 2 2 4 2" xfId="23896"/>
    <cellStyle name="Normal 52 2 2 2 4 3" xfId="15599"/>
    <cellStyle name="Normal 52 2 2 2 5" xfId="19756"/>
    <cellStyle name="Normal 52 2 2 2 6" xfId="11459"/>
    <cellStyle name="Normal 52 2 2 3" xfId="3606"/>
    <cellStyle name="Normal 52 2 2 3 2" xfId="5734"/>
    <cellStyle name="Normal 52 2 2 3 2 2" xfId="9890"/>
    <cellStyle name="Normal 52 2 2 3 2 2 2" xfId="26487"/>
    <cellStyle name="Normal 52 2 2 3 2 2 3" xfId="18190"/>
    <cellStyle name="Normal 52 2 2 3 2 3" xfId="22347"/>
    <cellStyle name="Normal 52 2 2 3 2 4" xfId="14050"/>
    <cellStyle name="Normal 52 2 2 3 3" xfId="7818"/>
    <cellStyle name="Normal 52 2 2 3 3 2" xfId="24415"/>
    <cellStyle name="Normal 52 2 2 3 3 3" xfId="16118"/>
    <cellStyle name="Normal 52 2 2 3 4" xfId="20275"/>
    <cellStyle name="Normal 52 2 2 3 5" xfId="11978"/>
    <cellStyle name="Normal 52 2 2 4" xfId="4686"/>
    <cellStyle name="Normal 52 2 2 4 2" xfId="8854"/>
    <cellStyle name="Normal 52 2 2 4 2 2" xfId="25451"/>
    <cellStyle name="Normal 52 2 2 4 2 3" xfId="17154"/>
    <cellStyle name="Normal 52 2 2 4 3" xfId="21311"/>
    <cellStyle name="Normal 52 2 2 4 4" xfId="13014"/>
    <cellStyle name="Normal 52 2 2 5" xfId="6777"/>
    <cellStyle name="Normal 52 2 2 5 2" xfId="23381"/>
    <cellStyle name="Normal 52 2 2 5 3" xfId="15084"/>
    <cellStyle name="Normal 52 2 2 6" xfId="19238"/>
    <cellStyle name="Normal 52 2 2 7" xfId="10941"/>
    <cellStyle name="Normal 52 2 3" xfId="3077"/>
    <cellStyle name="Normal 52 2 3 2" xfId="4123"/>
    <cellStyle name="Normal 52 2 3 2 2" xfId="6248"/>
    <cellStyle name="Normal 52 2 3 2 2 2" xfId="10404"/>
    <cellStyle name="Normal 52 2 3 2 2 2 2" xfId="27001"/>
    <cellStyle name="Normal 52 2 3 2 2 2 3" xfId="18704"/>
    <cellStyle name="Normal 52 2 3 2 2 3" xfId="22861"/>
    <cellStyle name="Normal 52 2 3 2 2 4" xfId="14564"/>
    <cellStyle name="Normal 52 2 3 2 3" xfId="8332"/>
    <cellStyle name="Normal 52 2 3 2 3 2" xfId="24929"/>
    <cellStyle name="Normal 52 2 3 2 3 3" xfId="16632"/>
    <cellStyle name="Normal 52 2 3 2 4" xfId="20789"/>
    <cellStyle name="Normal 52 2 3 2 5" xfId="12492"/>
    <cellStyle name="Normal 52 2 3 3" xfId="5214"/>
    <cellStyle name="Normal 52 2 3 3 2" xfId="9370"/>
    <cellStyle name="Normal 52 2 3 3 2 2" xfId="25967"/>
    <cellStyle name="Normal 52 2 3 3 2 3" xfId="17670"/>
    <cellStyle name="Normal 52 2 3 3 3" xfId="21827"/>
    <cellStyle name="Normal 52 2 3 3 4" xfId="13530"/>
    <cellStyle name="Normal 52 2 3 4" xfId="7298"/>
    <cellStyle name="Normal 52 2 3 4 2" xfId="23895"/>
    <cellStyle name="Normal 52 2 3 4 3" xfId="15598"/>
    <cellStyle name="Normal 52 2 3 5" xfId="19755"/>
    <cellStyle name="Normal 52 2 3 6" xfId="11458"/>
    <cellStyle name="Normal 52 2 4" xfId="3605"/>
    <cellStyle name="Normal 52 2 4 2" xfId="5733"/>
    <cellStyle name="Normal 52 2 4 2 2" xfId="9889"/>
    <cellStyle name="Normal 52 2 4 2 2 2" xfId="26486"/>
    <cellStyle name="Normal 52 2 4 2 2 3" xfId="18189"/>
    <cellStyle name="Normal 52 2 4 2 3" xfId="22346"/>
    <cellStyle name="Normal 52 2 4 2 4" xfId="14049"/>
    <cellStyle name="Normal 52 2 4 3" xfId="7817"/>
    <cellStyle name="Normal 52 2 4 3 2" xfId="24414"/>
    <cellStyle name="Normal 52 2 4 3 3" xfId="16117"/>
    <cellStyle name="Normal 52 2 4 4" xfId="20274"/>
    <cellStyle name="Normal 52 2 4 5" xfId="11977"/>
    <cellStyle name="Normal 52 2 5" xfId="4685"/>
    <cellStyle name="Normal 52 2 5 2" xfId="8853"/>
    <cellStyle name="Normal 52 2 5 2 2" xfId="25450"/>
    <cellStyle name="Normal 52 2 5 2 3" xfId="17153"/>
    <cellStyle name="Normal 52 2 5 3" xfId="21310"/>
    <cellStyle name="Normal 52 2 5 4" xfId="13013"/>
    <cellStyle name="Normal 52 2 6" xfId="6776"/>
    <cellStyle name="Normal 52 2 6 2" xfId="23380"/>
    <cellStyle name="Normal 52 2 6 3" xfId="15083"/>
    <cellStyle name="Normal 52 2 7" xfId="19237"/>
    <cellStyle name="Normal 52 2 8" xfId="10940"/>
    <cellStyle name="Normal 52 3" xfId="1746"/>
    <cellStyle name="Normal 52 3 2" xfId="1747"/>
    <cellStyle name="Normal 52 3 2 2" xfId="3080"/>
    <cellStyle name="Normal 52 3 2 2 2" xfId="4126"/>
    <cellStyle name="Normal 52 3 2 2 2 2" xfId="6251"/>
    <cellStyle name="Normal 52 3 2 2 2 2 2" xfId="10407"/>
    <cellStyle name="Normal 52 3 2 2 2 2 2 2" xfId="27004"/>
    <cellStyle name="Normal 52 3 2 2 2 2 2 3" xfId="18707"/>
    <cellStyle name="Normal 52 3 2 2 2 2 3" xfId="22864"/>
    <cellStyle name="Normal 52 3 2 2 2 2 4" xfId="14567"/>
    <cellStyle name="Normal 52 3 2 2 2 3" xfId="8335"/>
    <cellStyle name="Normal 52 3 2 2 2 3 2" xfId="24932"/>
    <cellStyle name="Normal 52 3 2 2 2 3 3" xfId="16635"/>
    <cellStyle name="Normal 52 3 2 2 2 4" xfId="20792"/>
    <cellStyle name="Normal 52 3 2 2 2 5" xfId="12495"/>
    <cellStyle name="Normal 52 3 2 2 3" xfId="5217"/>
    <cellStyle name="Normal 52 3 2 2 3 2" xfId="9373"/>
    <cellStyle name="Normal 52 3 2 2 3 2 2" xfId="25970"/>
    <cellStyle name="Normal 52 3 2 2 3 2 3" xfId="17673"/>
    <cellStyle name="Normal 52 3 2 2 3 3" xfId="21830"/>
    <cellStyle name="Normal 52 3 2 2 3 4" xfId="13533"/>
    <cellStyle name="Normal 52 3 2 2 4" xfId="7301"/>
    <cellStyle name="Normal 52 3 2 2 4 2" xfId="23898"/>
    <cellStyle name="Normal 52 3 2 2 4 3" xfId="15601"/>
    <cellStyle name="Normal 52 3 2 2 5" xfId="19758"/>
    <cellStyle name="Normal 52 3 2 2 6" xfId="11461"/>
    <cellStyle name="Normal 52 3 2 3" xfId="3608"/>
    <cellStyle name="Normal 52 3 2 3 2" xfId="5736"/>
    <cellStyle name="Normal 52 3 2 3 2 2" xfId="9892"/>
    <cellStyle name="Normal 52 3 2 3 2 2 2" xfId="26489"/>
    <cellStyle name="Normal 52 3 2 3 2 2 3" xfId="18192"/>
    <cellStyle name="Normal 52 3 2 3 2 3" xfId="22349"/>
    <cellStyle name="Normal 52 3 2 3 2 4" xfId="14052"/>
    <cellStyle name="Normal 52 3 2 3 3" xfId="7820"/>
    <cellStyle name="Normal 52 3 2 3 3 2" xfId="24417"/>
    <cellStyle name="Normal 52 3 2 3 3 3" xfId="16120"/>
    <cellStyle name="Normal 52 3 2 3 4" xfId="20277"/>
    <cellStyle name="Normal 52 3 2 3 5" xfId="11980"/>
    <cellStyle name="Normal 52 3 2 4" xfId="4688"/>
    <cellStyle name="Normal 52 3 2 4 2" xfId="8856"/>
    <cellStyle name="Normal 52 3 2 4 2 2" xfId="25453"/>
    <cellStyle name="Normal 52 3 2 4 2 3" xfId="17156"/>
    <cellStyle name="Normal 52 3 2 4 3" xfId="21313"/>
    <cellStyle name="Normal 52 3 2 4 4" xfId="13016"/>
    <cellStyle name="Normal 52 3 2 5" xfId="6779"/>
    <cellStyle name="Normal 52 3 2 5 2" xfId="23383"/>
    <cellStyle name="Normal 52 3 2 5 3" xfId="15086"/>
    <cellStyle name="Normal 52 3 2 6" xfId="19240"/>
    <cellStyle name="Normal 52 3 2 7" xfId="10943"/>
    <cellStyle name="Normal 52 3 3" xfId="3079"/>
    <cellStyle name="Normal 52 3 3 2" xfId="4125"/>
    <cellStyle name="Normal 52 3 3 2 2" xfId="6250"/>
    <cellStyle name="Normal 52 3 3 2 2 2" xfId="10406"/>
    <cellStyle name="Normal 52 3 3 2 2 2 2" xfId="27003"/>
    <cellStyle name="Normal 52 3 3 2 2 2 3" xfId="18706"/>
    <cellStyle name="Normal 52 3 3 2 2 3" xfId="22863"/>
    <cellStyle name="Normal 52 3 3 2 2 4" xfId="14566"/>
    <cellStyle name="Normal 52 3 3 2 3" xfId="8334"/>
    <cellStyle name="Normal 52 3 3 2 3 2" xfId="24931"/>
    <cellStyle name="Normal 52 3 3 2 3 3" xfId="16634"/>
    <cellStyle name="Normal 52 3 3 2 4" xfId="20791"/>
    <cellStyle name="Normal 52 3 3 2 5" xfId="12494"/>
    <cellStyle name="Normal 52 3 3 3" xfId="5216"/>
    <cellStyle name="Normal 52 3 3 3 2" xfId="9372"/>
    <cellStyle name="Normal 52 3 3 3 2 2" xfId="25969"/>
    <cellStyle name="Normal 52 3 3 3 2 3" xfId="17672"/>
    <cellStyle name="Normal 52 3 3 3 3" xfId="21829"/>
    <cellStyle name="Normal 52 3 3 3 4" xfId="13532"/>
    <cellStyle name="Normal 52 3 3 4" xfId="7300"/>
    <cellStyle name="Normal 52 3 3 4 2" xfId="23897"/>
    <cellStyle name="Normal 52 3 3 4 3" xfId="15600"/>
    <cellStyle name="Normal 52 3 3 5" xfId="19757"/>
    <cellStyle name="Normal 52 3 3 6" xfId="11460"/>
    <cellStyle name="Normal 52 3 4" xfId="3607"/>
    <cellStyle name="Normal 52 3 4 2" xfId="5735"/>
    <cellStyle name="Normal 52 3 4 2 2" xfId="9891"/>
    <cellStyle name="Normal 52 3 4 2 2 2" xfId="26488"/>
    <cellStyle name="Normal 52 3 4 2 2 3" xfId="18191"/>
    <cellStyle name="Normal 52 3 4 2 3" xfId="22348"/>
    <cellStyle name="Normal 52 3 4 2 4" xfId="14051"/>
    <cellStyle name="Normal 52 3 4 3" xfId="7819"/>
    <cellStyle name="Normal 52 3 4 3 2" xfId="24416"/>
    <cellStyle name="Normal 52 3 4 3 3" xfId="16119"/>
    <cellStyle name="Normal 52 3 4 4" xfId="20276"/>
    <cellStyle name="Normal 52 3 4 5" xfId="11979"/>
    <cellStyle name="Normal 52 3 5" xfId="4687"/>
    <cellStyle name="Normal 52 3 5 2" xfId="8855"/>
    <cellStyle name="Normal 52 3 5 2 2" xfId="25452"/>
    <cellStyle name="Normal 52 3 5 2 3" xfId="17155"/>
    <cellStyle name="Normal 52 3 5 3" xfId="21312"/>
    <cellStyle name="Normal 52 3 5 4" xfId="13015"/>
    <cellStyle name="Normal 52 3 6" xfId="6778"/>
    <cellStyle name="Normal 52 3 6 2" xfId="23382"/>
    <cellStyle name="Normal 52 3 6 3" xfId="15085"/>
    <cellStyle name="Normal 52 3 7" xfId="19239"/>
    <cellStyle name="Normal 52 3 8" xfId="10942"/>
    <cellStyle name="Normal 52 4" xfId="1748"/>
    <cellStyle name="Normal 52 4 2" xfId="3081"/>
    <cellStyle name="Normal 52 4 2 2" xfId="4127"/>
    <cellStyle name="Normal 52 4 2 2 2" xfId="6252"/>
    <cellStyle name="Normal 52 4 2 2 2 2" xfId="10408"/>
    <cellStyle name="Normal 52 4 2 2 2 2 2" xfId="27005"/>
    <cellStyle name="Normal 52 4 2 2 2 2 3" xfId="18708"/>
    <cellStyle name="Normal 52 4 2 2 2 3" xfId="22865"/>
    <cellStyle name="Normal 52 4 2 2 2 4" xfId="14568"/>
    <cellStyle name="Normal 52 4 2 2 3" xfId="8336"/>
    <cellStyle name="Normal 52 4 2 2 3 2" xfId="24933"/>
    <cellStyle name="Normal 52 4 2 2 3 3" xfId="16636"/>
    <cellStyle name="Normal 52 4 2 2 4" xfId="20793"/>
    <cellStyle name="Normal 52 4 2 2 5" xfId="12496"/>
    <cellStyle name="Normal 52 4 2 3" xfId="5218"/>
    <cellStyle name="Normal 52 4 2 3 2" xfId="9374"/>
    <cellStyle name="Normal 52 4 2 3 2 2" xfId="25971"/>
    <cellStyle name="Normal 52 4 2 3 2 3" xfId="17674"/>
    <cellStyle name="Normal 52 4 2 3 3" xfId="21831"/>
    <cellStyle name="Normal 52 4 2 3 4" xfId="13534"/>
    <cellStyle name="Normal 52 4 2 4" xfId="7302"/>
    <cellStyle name="Normal 52 4 2 4 2" xfId="23899"/>
    <cellStyle name="Normal 52 4 2 4 3" xfId="15602"/>
    <cellStyle name="Normal 52 4 2 5" xfId="19759"/>
    <cellStyle name="Normal 52 4 2 6" xfId="11462"/>
    <cellStyle name="Normal 52 4 3" xfId="3609"/>
    <cellStyle name="Normal 52 4 3 2" xfId="5737"/>
    <cellStyle name="Normal 52 4 3 2 2" xfId="9893"/>
    <cellStyle name="Normal 52 4 3 2 2 2" xfId="26490"/>
    <cellStyle name="Normal 52 4 3 2 2 3" xfId="18193"/>
    <cellStyle name="Normal 52 4 3 2 3" xfId="22350"/>
    <cellStyle name="Normal 52 4 3 2 4" xfId="14053"/>
    <cellStyle name="Normal 52 4 3 3" xfId="7821"/>
    <cellStyle name="Normal 52 4 3 3 2" xfId="24418"/>
    <cellStyle name="Normal 52 4 3 3 3" xfId="16121"/>
    <cellStyle name="Normal 52 4 3 4" xfId="20278"/>
    <cellStyle name="Normal 52 4 3 5" xfId="11981"/>
    <cellStyle name="Normal 52 4 4" xfId="4689"/>
    <cellStyle name="Normal 52 4 4 2" xfId="8857"/>
    <cellStyle name="Normal 52 4 4 2 2" xfId="25454"/>
    <cellStyle name="Normal 52 4 4 2 3" xfId="17157"/>
    <cellStyle name="Normal 52 4 4 3" xfId="21314"/>
    <cellStyle name="Normal 52 4 4 4" xfId="13017"/>
    <cellStyle name="Normal 52 4 5" xfId="6780"/>
    <cellStyle name="Normal 52 4 5 2" xfId="23384"/>
    <cellStyle name="Normal 52 4 5 3" xfId="15087"/>
    <cellStyle name="Normal 52 4 6" xfId="19241"/>
    <cellStyle name="Normal 52 4 7" xfId="10944"/>
    <cellStyle name="Normal 52 5" xfId="3076"/>
    <cellStyle name="Normal 52 5 2" xfId="4122"/>
    <cellStyle name="Normal 52 5 2 2" xfId="6247"/>
    <cellStyle name="Normal 52 5 2 2 2" xfId="10403"/>
    <cellStyle name="Normal 52 5 2 2 2 2" xfId="27000"/>
    <cellStyle name="Normal 52 5 2 2 2 3" xfId="18703"/>
    <cellStyle name="Normal 52 5 2 2 3" xfId="22860"/>
    <cellStyle name="Normal 52 5 2 2 4" xfId="14563"/>
    <cellStyle name="Normal 52 5 2 3" xfId="8331"/>
    <cellStyle name="Normal 52 5 2 3 2" xfId="24928"/>
    <cellStyle name="Normal 52 5 2 3 3" xfId="16631"/>
    <cellStyle name="Normal 52 5 2 4" xfId="20788"/>
    <cellStyle name="Normal 52 5 2 5" xfId="12491"/>
    <cellStyle name="Normal 52 5 3" xfId="5213"/>
    <cellStyle name="Normal 52 5 3 2" xfId="9369"/>
    <cellStyle name="Normal 52 5 3 2 2" xfId="25966"/>
    <cellStyle name="Normal 52 5 3 2 3" xfId="17669"/>
    <cellStyle name="Normal 52 5 3 3" xfId="21826"/>
    <cellStyle name="Normal 52 5 3 4" xfId="13529"/>
    <cellStyle name="Normal 52 5 4" xfId="7297"/>
    <cellStyle name="Normal 52 5 4 2" xfId="23894"/>
    <cellStyle name="Normal 52 5 4 3" xfId="15597"/>
    <cellStyle name="Normal 52 5 5" xfId="19754"/>
    <cellStyle name="Normal 52 5 6" xfId="11457"/>
    <cellStyle name="Normal 52 6" xfId="3604"/>
    <cellStyle name="Normal 52 6 2" xfId="5732"/>
    <cellStyle name="Normal 52 6 2 2" xfId="9888"/>
    <cellStyle name="Normal 52 6 2 2 2" xfId="26485"/>
    <cellStyle name="Normal 52 6 2 2 3" xfId="18188"/>
    <cellStyle name="Normal 52 6 2 3" xfId="22345"/>
    <cellStyle name="Normal 52 6 2 4" xfId="14048"/>
    <cellStyle name="Normal 52 6 3" xfId="7816"/>
    <cellStyle name="Normal 52 6 3 2" xfId="24413"/>
    <cellStyle name="Normal 52 6 3 3" xfId="16116"/>
    <cellStyle name="Normal 52 6 4" xfId="20273"/>
    <cellStyle name="Normal 52 6 5" xfId="11976"/>
    <cellStyle name="Normal 52 7" xfId="4684"/>
    <cellStyle name="Normal 52 7 2" xfId="8852"/>
    <cellStyle name="Normal 52 7 2 2" xfId="25449"/>
    <cellStyle name="Normal 52 7 2 3" xfId="17152"/>
    <cellStyle name="Normal 52 7 3" xfId="21309"/>
    <cellStyle name="Normal 52 7 4" xfId="13012"/>
    <cellStyle name="Normal 52 8" xfId="6775"/>
    <cellStyle name="Normal 52 8 2" xfId="23379"/>
    <cellStyle name="Normal 52 8 3" xfId="15082"/>
    <cellStyle name="Normal 52 9" xfId="19236"/>
    <cellStyle name="Normal 53" xfId="1749"/>
    <cellStyle name="Normal 53 10" xfId="10945"/>
    <cellStyle name="Normal 53 2" xfId="1750"/>
    <cellStyle name="Normal 53 2 2" xfId="1751"/>
    <cellStyle name="Normal 53 2 2 2" xfId="3084"/>
    <cellStyle name="Normal 53 2 2 2 2" xfId="4130"/>
    <cellStyle name="Normal 53 2 2 2 2 2" xfId="6255"/>
    <cellStyle name="Normal 53 2 2 2 2 2 2" xfId="10411"/>
    <cellStyle name="Normal 53 2 2 2 2 2 2 2" xfId="27008"/>
    <cellStyle name="Normal 53 2 2 2 2 2 2 3" xfId="18711"/>
    <cellStyle name="Normal 53 2 2 2 2 2 3" xfId="22868"/>
    <cellStyle name="Normal 53 2 2 2 2 2 4" xfId="14571"/>
    <cellStyle name="Normal 53 2 2 2 2 3" xfId="8339"/>
    <cellStyle name="Normal 53 2 2 2 2 3 2" xfId="24936"/>
    <cellStyle name="Normal 53 2 2 2 2 3 3" xfId="16639"/>
    <cellStyle name="Normal 53 2 2 2 2 4" xfId="20796"/>
    <cellStyle name="Normal 53 2 2 2 2 5" xfId="12499"/>
    <cellStyle name="Normal 53 2 2 2 3" xfId="5221"/>
    <cellStyle name="Normal 53 2 2 2 3 2" xfId="9377"/>
    <cellStyle name="Normal 53 2 2 2 3 2 2" xfId="25974"/>
    <cellStyle name="Normal 53 2 2 2 3 2 3" xfId="17677"/>
    <cellStyle name="Normal 53 2 2 2 3 3" xfId="21834"/>
    <cellStyle name="Normal 53 2 2 2 3 4" xfId="13537"/>
    <cellStyle name="Normal 53 2 2 2 4" xfId="7305"/>
    <cellStyle name="Normal 53 2 2 2 4 2" xfId="23902"/>
    <cellStyle name="Normal 53 2 2 2 4 3" xfId="15605"/>
    <cellStyle name="Normal 53 2 2 2 5" xfId="19762"/>
    <cellStyle name="Normal 53 2 2 2 6" xfId="11465"/>
    <cellStyle name="Normal 53 2 2 3" xfId="3612"/>
    <cellStyle name="Normal 53 2 2 3 2" xfId="5740"/>
    <cellStyle name="Normal 53 2 2 3 2 2" xfId="9896"/>
    <cellStyle name="Normal 53 2 2 3 2 2 2" xfId="26493"/>
    <cellStyle name="Normal 53 2 2 3 2 2 3" xfId="18196"/>
    <cellStyle name="Normal 53 2 2 3 2 3" xfId="22353"/>
    <cellStyle name="Normal 53 2 2 3 2 4" xfId="14056"/>
    <cellStyle name="Normal 53 2 2 3 3" xfId="7824"/>
    <cellStyle name="Normal 53 2 2 3 3 2" xfId="24421"/>
    <cellStyle name="Normal 53 2 2 3 3 3" xfId="16124"/>
    <cellStyle name="Normal 53 2 2 3 4" xfId="20281"/>
    <cellStyle name="Normal 53 2 2 3 5" xfId="11984"/>
    <cellStyle name="Normal 53 2 2 4" xfId="4692"/>
    <cellStyle name="Normal 53 2 2 4 2" xfId="8860"/>
    <cellStyle name="Normal 53 2 2 4 2 2" xfId="25457"/>
    <cellStyle name="Normal 53 2 2 4 2 3" xfId="17160"/>
    <cellStyle name="Normal 53 2 2 4 3" xfId="21317"/>
    <cellStyle name="Normal 53 2 2 4 4" xfId="13020"/>
    <cellStyle name="Normal 53 2 2 5" xfId="6783"/>
    <cellStyle name="Normal 53 2 2 5 2" xfId="23387"/>
    <cellStyle name="Normal 53 2 2 5 3" xfId="15090"/>
    <cellStyle name="Normal 53 2 2 6" xfId="19244"/>
    <cellStyle name="Normal 53 2 2 7" xfId="10947"/>
    <cellStyle name="Normal 53 2 3" xfId="3083"/>
    <cellStyle name="Normal 53 2 3 2" xfId="4129"/>
    <cellStyle name="Normal 53 2 3 2 2" xfId="6254"/>
    <cellStyle name="Normal 53 2 3 2 2 2" xfId="10410"/>
    <cellStyle name="Normal 53 2 3 2 2 2 2" xfId="27007"/>
    <cellStyle name="Normal 53 2 3 2 2 2 3" xfId="18710"/>
    <cellStyle name="Normal 53 2 3 2 2 3" xfId="22867"/>
    <cellStyle name="Normal 53 2 3 2 2 4" xfId="14570"/>
    <cellStyle name="Normal 53 2 3 2 3" xfId="8338"/>
    <cellStyle name="Normal 53 2 3 2 3 2" xfId="24935"/>
    <cellStyle name="Normal 53 2 3 2 3 3" xfId="16638"/>
    <cellStyle name="Normal 53 2 3 2 4" xfId="20795"/>
    <cellStyle name="Normal 53 2 3 2 5" xfId="12498"/>
    <cellStyle name="Normal 53 2 3 3" xfId="5220"/>
    <cellStyle name="Normal 53 2 3 3 2" xfId="9376"/>
    <cellStyle name="Normal 53 2 3 3 2 2" xfId="25973"/>
    <cellStyle name="Normal 53 2 3 3 2 3" xfId="17676"/>
    <cellStyle name="Normal 53 2 3 3 3" xfId="21833"/>
    <cellStyle name="Normal 53 2 3 3 4" xfId="13536"/>
    <cellStyle name="Normal 53 2 3 4" xfId="7304"/>
    <cellStyle name="Normal 53 2 3 4 2" xfId="23901"/>
    <cellStyle name="Normal 53 2 3 4 3" xfId="15604"/>
    <cellStyle name="Normal 53 2 3 5" xfId="19761"/>
    <cellStyle name="Normal 53 2 3 6" xfId="11464"/>
    <cellStyle name="Normal 53 2 4" xfId="3611"/>
    <cellStyle name="Normal 53 2 4 2" xfId="5739"/>
    <cellStyle name="Normal 53 2 4 2 2" xfId="9895"/>
    <cellStyle name="Normal 53 2 4 2 2 2" xfId="26492"/>
    <cellStyle name="Normal 53 2 4 2 2 3" xfId="18195"/>
    <cellStyle name="Normal 53 2 4 2 3" xfId="22352"/>
    <cellStyle name="Normal 53 2 4 2 4" xfId="14055"/>
    <cellStyle name="Normal 53 2 4 3" xfId="7823"/>
    <cellStyle name="Normal 53 2 4 3 2" xfId="24420"/>
    <cellStyle name="Normal 53 2 4 3 3" xfId="16123"/>
    <cellStyle name="Normal 53 2 4 4" xfId="20280"/>
    <cellStyle name="Normal 53 2 4 5" xfId="11983"/>
    <cellStyle name="Normal 53 2 5" xfId="4691"/>
    <cellStyle name="Normal 53 2 5 2" xfId="8859"/>
    <cellStyle name="Normal 53 2 5 2 2" xfId="25456"/>
    <cellStyle name="Normal 53 2 5 2 3" xfId="17159"/>
    <cellStyle name="Normal 53 2 5 3" xfId="21316"/>
    <cellStyle name="Normal 53 2 5 4" xfId="13019"/>
    <cellStyle name="Normal 53 2 6" xfId="6782"/>
    <cellStyle name="Normal 53 2 6 2" xfId="23386"/>
    <cellStyle name="Normal 53 2 6 3" xfId="15089"/>
    <cellStyle name="Normal 53 2 7" xfId="19243"/>
    <cellStyle name="Normal 53 2 8" xfId="10946"/>
    <cellStyle name="Normal 53 3" xfId="1752"/>
    <cellStyle name="Normal 53 3 2" xfId="1753"/>
    <cellStyle name="Normal 53 3 2 2" xfId="3086"/>
    <cellStyle name="Normal 53 3 2 2 2" xfId="4132"/>
    <cellStyle name="Normal 53 3 2 2 2 2" xfId="6257"/>
    <cellStyle name="Normal 53 3 2 2 2 2 2" xfId="10413"/>
    <cellStyle name="Normal 53 3 2 2 2 2 2 2" xfId="27010"/>
    <cellStyle name="Normal 53 3 2 2 2 2 2 3" xfId="18713"/>
    <cellStyle name="Normal 53 3 2 2 2 2 3" xfId="22870"/>
    <cellStyle name="Normal 53 3 2 2 2 2 4" xfId="14573"/>
    <cellStyle name="Normal 53 3 2 2 2 3" xfId="8341"/>
    <cellStyle name="Normal 53 3 2 2 2 3 2" xfId="24938"/>
    <cellStyle name="Normal 53 3 2 2 2 3 3" xfId="16641"/>
    <cellStyle name="Normal 53 3 2 2 2 4" xfId="20798"/>
    <cellStyle name="Normal 53 3 2 2 2 5" xfId="12501"/>
    <cellStyle name="Normal 53 3 2 2 3" xfId="5223"/>
    <cellStyle name="Normal 53 3 2 2 3 2" xfId="9379"/>
    <cellStyle name="Normal 53 3 2 2 3 2 2" xfId="25976"/>
    <cellStyle name="Normal 53 3 2 2 3 2 3" xfId="17679"/>
    <cellStyle name="Normal 53 3 2 2 3 3" xfId="21836"/>
    <cellStyle name="Normal 53 3 2 2 3 4" xfId="13539"/>
    <cellStyle name="Normal 53 3 2 2 4" xfId="7307"/>
    <cellStyle name="Normal 53 3 2 2 4 2" xfId="23904"/>
    <cellStyle name="Normal 53 3 2 2 4 3" xfId="15607"/>
    <cellStyle name="Normal 53 3 2 2 5" xfId="19764"/>
    <cellStyle name="Normal 53 3 2 2 6" xfId="11467"/>
    <cellStyle name="Normal 53 3 2 3" xfId="3614"/>
    <cellStyle name="Normal 53 3 2 3 2" xfId="5742"/>
    <cellStyle name="Normal 53 3 2 3 2 2" xfId="9898"/>
    <cellStyle name="Normal 53 3 2 3 2 2 2" xfId="26495"/>
    <cellStyle name="Normal 53 3 2 3 2 2 3" xfId="18198"/>
    <cellStyle name="Normal 53 3 2 3 2 3" xfId="22355"/>
    <cellStyle name="Normal 53 3 2 3 2 4" xfId="14058"/>
    <cellStyle name="Normal 53 3 2 3 3" xfId="7826"/>
    <cellStyle name="Normal 53 3 2 3 3 2" xfId="24423"/>
    <cellStyle name="Normal 53 3 2 3 3 3" xfId="16126"/>
    <cellStyle name="Normal 53 3 2 3 4" xfId="20283"/>
    <cellStyle name="Normal 53 3 2 3 5" xfId="11986"/>
    <cellStyle name="Normal 53 3 2 4" xfId="4694"/>
    <cellStyle name="Normal 53 3 2 4 2" xfId="8862"/>
    <cellStyle name="Normal 53 3 2 4 2 2" xfId="25459"/>
    <cellStyle name="Normal 53 3 2 4 2 3" xfId="17162"/>
    <cellStyle name="Normal 53 3 2 4 3" xfId="21319"/>
    <cellStyle name="Normal 53 3 2 4 4" xfId="13022"/>
    <cellStyle name="Normal 53 3 2 5" xfId="6785"/>
    <cellStyle name="Normal 53 3 2 5 2" xfId="23389"/>
    <cellStyle name="Normal 53 3 2 5 3" xfId="15092"/>
    <cellStyle name="Normal 53 3 2 6" xfId="19246"/>
    <cellStyle name="Normal 53 3 2 7" xfId="10949"/>
    <cellStyle name="Normal 53 3 3" xfId="3085"/>
    <cellStyle name="Normal 53 3 3 2" xfId="4131"/>
    <cellStyle name="Normal 53 3 3 2 2" xfId="6256"/>
    <cellStyle name="Normal 53 3 3 2 2 2" xfId="10412"/>
    <cellStyle name="Normal 53 3 3 2 2 2 2" xfId="27009"/>
    <cellStyle name="Normal 53 3 3 2 2 2 3" xfId="18712"/>
    <cellStyle name="Normal 53 3 3 2 2 3" xfId="22869"/>
    <cellStyle name="Normal 53 3 3 2 2 4" xfId="14572"/>
    <cellStyle name="Normal 53 3 3 2 3" xfId="8340"/>
    <cellStyle name="Normal 53 3 3 2 3 2" xfId="24937"/>
    <cellStyle name="Normal 53 3 3 2 3 3" xfId="16640"/>
    <cellStyle name="Normal 53 3 3 2 4" xfId="20797"/>
    <cellStyle name="Normal 53 3 3 2 5" xfId="12500"/>
    <cellStyle name="Normal 53 3 3 3" xfId="5222"/>
    <cellStyle name="Normal 53 3 3 3 2" xfId="9378"/>
    <cellStyle name="Normal 53 3 3 3 2 2" xfId="25975"/>
    <cellStyle name="Normal 53 3 3 3 2 3" xfId="17678"/>
    <cellStyle name="Normal 53 3 3 3 3" xfId="21835"/>
    <cellStyle name="Normal 53 3 3 3 4" xfId="13538"/>
    <cellStyle name="Normal 53 3 3 4" xfId="7306"/>
    <cellStyle name="Normal 53 3 3 4 2" xfId="23903"/>
    <cellStyle name="Normal 53 3 3 4 3" xfId="15606"/>
    <cellStyle name="Normal 53 3 3 5" xfId="19763"/>
    <cellStyle name="Normal 53 3 3 6" xfId="11466"/>
    <cellStyle name="Normal 53 3 4" xfId="3613"/>
    <cellStyle name="Normal 53 3 4 2" xfId="5741"/>
    <cellStyle name="Normal 53 3 4 2 2" xfId="9897"/>
    <cellStyle name="Normal 53 3 4 2 2 2" xfId="26494"/>
    <cellStyle name="Normal 53 3 4 2 2 3" xfId="18197"/>
    <cellStyle name="Normal 53 3 4 2 3" xfId="22354"/>
    <cellStyle name="Normal 53 3 4 2 4" xfId="14057"/>
    <cellStyle name="Normal 53 3 4 3" xfId="7825"/>
    <cellStyle name="Normal 53 3 4 3 2" xfId="24422"/>
    <cellStyle name="Normal 53 3 4 3 3" xfId="16125"/>
    <cellStyle name="Normal 53 3 4 4" xfId="20282"/>
    <cellStyle name="Normal 53 3 4 5" xfId="11985"/>
    <cellStyle name="Normal 53 3 5" xfId="4693"/>
    <cellStyle name="Normal 53 3 5 2" xfId="8861"/>
    <cellStyle name="Normal 53 3 5 2 2" xfId="25458"/>
    <cellStyle name="Normal 53 3 5 2 3" xfId="17161"/>
    <cellStyle name="Normal 53 3 5 3" xfId="21318"/>
    <cellStyle name="Normal 53 3 5 4" xfId="13021"/>
    <cellStyle name="Normal 53 3 6" xfId="6784"/>
    <cellStyle name="Normal 53 3 6 2" xfId="23388"/>
    <cellStyle name="Normal 53 3 6 3" xfId="15091"/>
    <cellStyle name="Normal 53 3 7" xfId="19245"/>
    <cellStyle name="Normal 53 3 8" xfId="10948"/>
    <cellStyle name="Normal 53 4" xfId="1754"/>
    <cellStyle name="Normal 53 4 2" xfId="3087"/>
    <cellStyle name="Normal 53 4 2 2" xfId="4133"/>
    <cellStyle name="Normal 53 4 2 2 2" xfId="6258"/>
    <cellStyle name="Normal 53 4 2 2 2 2" xfId="10414"/>
    <cellStyle name="Normal 53 4 2 2 2 2 2" xfId="27011"/>
    <cellStyle name="Normal 53 4 2 2 2 2 3" xfId="18714"/>
    <cellStyle name="Normal 53 4 2 2 2 3" xfId="22871"/>
    <cellStyle name="Normal 53 4 2 2 2 4" xfId="14574"/>
    <cellStyle name="Normal 53 4 2 2 3" xfId="8342"/>
    <cellStyle name="Normal 53 4 2 2 3 2" xfId="24939"/>
    <cellStyle name="Normal 53 4 2 2 3 3" xfId="16642"/>
    <cellStyle name="Normal 53 4 2 2 4" xfId="20799"/>
    <cellStyle name="Normal 53 4 2 2 5" xfId="12502"/>
    <cellStyle name="Normal 53 4 2 3" xfId="5224"/>
    <cellStyle name="Normal 53 4 2 3 2" xfId="9380"/>
    <cellStyle name="Normal 53 4 2 3 2 2" xfId="25977"/>
    <cellStyle name="Normal 53 4 2 3 2 3" xfId="17680"/>
    <cellStyle name="Normal 53 4 2 3 3" xfId="21837"/>
    <cellStyle name="Normal 53 4 2 3 4" xfId="13540"/>
    <cellStyle name="Normal 53 4 2 4" xfId="7308"/>
    <cellStyle name="Normal 53 4 2 4 2" xfId="23905"/>
    <cellStyle name="Normal 53 4 2 4 3" xfId="15608"/>
    <cellStyle name="Normal 53 4 2 5" xfId="19765"/>
    <cellStyle name="Normal 53 4 2 6" xfId="11468"/>
    <cellStyle name="Normal 53 4 3" xfId="3615"/>
    <cellStyle name="Normal 53 4 3 2" xfId="5743"/>
    <cellStyle name="Normal 53 4 3 2 2" xfId="9899"/>
    <cellStyle name="Normal 53 4 3 2 2 2" xfId="26496"/>
    <cellStyle name="Normal 53 4 3 2 2 3" xfId="18199"/>
    <cellStyle name="Normal 53 4 3 2 3" xfId="22356"/>
    <cellStyle name="Normal 53 4 3 2 4" xfId="14059"/>
    <cellStyle name="Normal 53 4 3 3" xfId="7827"/>
    <cellStyle name="Normal 53 4 3 3 2" xfId="24424"/>
    <cellStyle name="Normal 53 4 3 3 3" xfId="16127"/>
    <cellStyle name="Normal 53 4 3 4" xfId="20284"/>
    <cellStyle name="Normal 53 4 3 5" xfId="11987"/>
    <cellStyle name="Normal 53 4 4" xfId="4695"/>
    <cellStyle name="Normal 53 4 4 2" xfId="8863"/>
    <cellStyle name="Normal 53 4 4 2 2" xfId="25460"/>
    <cellStyle name="Normal 53 4 4 2 3" xfId="17163"/>
    <cellStyle name="Normal 53 4 4 3" xfId="21320"/>
    <cellStyle name="Normal 53 4 4 4" xfId="13023"/>
    <cellStyle name="Normal 53 4 5" xfId="6786"/>
    <cellStyle name="Normal 53 4 5 2" xfId="23390"/>
    <cellStyle name="Normal 53 4 5 3" xfId="15093"/>
    <cellStyle name="Normal 53 4 6" xfId="19247"/>
    <cellStyle name="Normal 53 4 7" xfId="10950"/>
    <cellStyle name="Normal 53 5" xfId="3082"/>
    <cellStyle name="Normal 53 5 2" xfId="4128"/>
    <cellStyle name="Normal 53 5 2 2" xfId="6253"/>
    <cellStyle name="Normal 53 5 2 2 2" xfId="10409"/>
    <cellStyle name="Normal 53 5 2 2 2 2" xfId="27006"/>
    <cellStyle name="Normal 53 5 2 2 2 3" xfId="18709"/>
    <cellStyle name="Normal 53 5 2 2 3" xfId="22866"/>
    <cellStyle name="Normal 53 5 2 2 4" xfId="14569"/>
    <cellStyle name="Normal 53 5 2 3" xfId="8337"/>
    <cellStyle name="Normal 53 5 2 3 2" xfId="24934"/>
    <cellStyle name="Normal 53 5 2 3 3" xfId="16637"/>
    <cellStyle name="Normal 53 5 2 4" xfId="20794"/>
    <cellStyle name="Normal 53 5 2 5" xfId="12497"/>
    <cellStyle name="Normal 53 5 3" xfId="5219"/>
    <cellStyle name="Normal 53 5 3 2" xfId="9375"/>
    <cellStyle name="Normal 53 5 3 2 2" xfId="25972"/>
    <cellStyle name="Normal 53 5 3 2 3" xfId="17675"/>
    <cellStyle name="Normal 53 5 3 3" xfId="21832"/>
    <cellStyle name="Normal 53 5 3 4" xfId="13535"/>
    <cellStyle name="Normal 53 5 4" xfId="7303"/>
    <cellStyle name="Normal 53 5 4 2" xfId="23900"/>
    <cellStyle name="Normal 53 5 4 3" xfId="15603"/>
    <cellStyle name="Normal 53 5 5" xfId="19760"/>
    <cellStyle name="Normal 53 5 6" xfId="11463"/>
    <cellStyle name="Normal 53 6" xfId="3610"/>
    <cellStyle name="Normal 53 6 2" xfId="5738"/>
    <cellStyle name="Normal 53 6 2 2" xfId="9894"/>
    <cellStyle name="Normal 53 6 2 2 2" xfId="26491"/>
    <cellStyle name="Normal 53 6 2 2 3" xfId="18194"/>
    <cellStyle name="Normal 53 6 2 3" xfId="22351"/>
    <cellStyle name="Normal 53 6 2 4" xfId="14054"/>
    <cellStyle name="Normal 53 6 3" xfId="7822"/>
    <cellStyle name="Normal 53 6 3 2" xfId="24419"/>
    <cellStyle name="Normal 53 6 3 3" xfId="16122"/>
    <cellStyle name="Normal 53 6 4" xfId="20279"/>
    <cellStyle name="Normal 53 6 5" xfId="11982"/>
    <cellStyle name="Normal 53 7" xfId="4690"/>
    <cellStyle name="Normal 53 7 2" xfId="8858"/>
    <cellStyle name="Normal 53 7 2 2" xfId="25455"/>
    <cellStyle name="Normal 53 7 2 3" xfId="17158"/>
    <cellStyle name="Normal 53 7 3" xfId="21315"/>
    <cellStyle name="Normal 53 7 4" xfId="13018"/>
    <cellStyle name="Normal 53 8" xfId="6781"/>
    <cellStyle name="Normal 53 8 2" xfId="23385"/>
    <cellStyle name="Normal 53 8 3" xfId="15088"/>
    <cellStyle name="Normal 53 9" xfId="19242"/>
    <cellStyle name="Normal 54" xfId="1755"/>
    <cellStyle name="Normal 54 10" xfId="10951"/>
    <cellStyle name="Normal 54 2" xfId="1756"/>
    <cellStyle name="Normal 54 2 2" xfId="1757"/>
    <cellStyle name="Normal 54 2 2 2" xfId="3090"/>
    <cellStyle name="Normal 54 2 2 2 2" xfId="4136"/>
    <cellStyle name="Normal 54 2 2 2 2 2" xfId="6261"/>
    <cellStyle name="Normal 54 2 2 2 2 2 2" xfId="10417"/>
    <cellStyle name="Normal 54 2 2 2 2 2 2 2" xfId="27014"/>
    <cellStyle name="Normal 54 2 2 2 2 2 2 3" xfId="18717"/>
    <cellStyle name="Normal 54 2 2 2 2 2 3" xfId="22874"/>
    <cellStyle name="Normal 54 2 2 2 2 2 4" xfId="14577"/>
    <cellStyle name="Normal 54 2 2 2 2 3" xfId="8345"/>
    <cellStyle name="Normal 54 2 2 2 2 3 2" xfId="24942"/>
    <cellStyle name="Normal 54 2 2 2 2 3 3" xfId="16645"/>
    <cellStyle name="Normal 54 2 2 2 2 4" xfId="20802"/>
    <cellStyle name="Normal 54 2 2 2 2 5" xfId="12505"/>
    <cellStyle name="Normal 54 2 2 2 3" xfId="5227"/>
    <cellStyle name="Normal 54 2 2 2 3 2" xfId="9383"/>
    <cellStyle name="Normal 54 2 2 2 3 2 2" xfId="25980"/>
    <cellStyle name="Normal 54 2 2 2 3 2 3" xfId="17683"/>
    <cellStyle name="Normal 54 2 2 2 3 3" xfId="21840"/>
    <cellStyle name="Normal 54 2 2 2 3 4" xfId="13543"/>
    <cellStyle name="Normal 54 2 2 2 4" xfId="7311"/>
    <cellStyle name="Normal 54 2 2 2 4 2" xfId="23908"/>
    <cellStyle name="Normal 54 2 2 2 4 3" xfId="15611"/>
    <cellStyle name="Normal 54 2 2 2 5" xfId="19768"/>
    <cellStyle name="Normal 54 2 2 2 6" xfId="11471"/>
    <cellStyle name="Normal 54 2 2 3" xfId="3618"/>
    <cellStyle name="Normal 54 2 2 3 2" xfId="5746"/>
    <cellStyle name="Normal 54 2 2 3 2 2" xfId="9902"/>
    <cellStyle name="Normal 54 2 2 3 2 2 2" xfId="26499"/>
    <cellStyle name="Normal 54 2 2 3 2 2 3" xfId="18202"/>
    <cellStyle name="Normal 54 2 2 3 2 3" xfId="22359"/>
    <cellStyle name="Normal 54 2 2 3 2 4" xfId="14062"/>
    <cellStyle name="Normal 54 2 2 3 3" xfId="7830"/>
    <cellStyle name="Normal 54 2 2 3 3 2" xfId="24427"/>
    <cellStyle name="Normal 54 2 2 3 3 3" xfId="16130"/>
    <cellStyle name="Normal 54 2 2 3 4" xfId="20287"/>
    <cellStyle name="Normal 54 2 2 3 5" xfId="11990"/>
    <cellStyle name="Normal 54 2 2 4" xfId="4698"/>
    <cellStyle name="Normal 54 2 2 4 2" xfId="8866"/>
    <cellStyle name="Normal 54 2 2 4 2 2" xfId="25463"/>
    <cellStyle name="Normal 54 2 2 4 2 3" xfId="17166"/>
    <cellStyle name="Normal 54 2 2 4 3" xfId="21323"/>
    <cellStyle name="Normal 54 2 2 4 4" xfId="13026"/>
    <cellStyle name="Normal 54 2 2 5" xfId="6789"/>
    <cellStyle name="Normal 54 2 2 5 2" xfId="23393"/>
    <cellStyle name="Normal 54 2 2 5 3" xfId="15096"/>
    <cellStyle name="Normal 54 2 2 6" xfId="19250"/>
    <cellStyle name="Normal 54 2 2 7" xfId="10953"/>
    <cellStyle name="Normal 54 2 3" xfId="3089"/>
    <cellStyle name="Normal 54 2 3 2" xfId="4135"/>
    <cellStyle name="Normal 54 2 3 2 2" xfId="6260"/>
    <cellStyle name="Normal 54 2 3 2 2 2" xfId="10416"/>
    <cellStyle name="Normal 54 2 3 2 2 2 2" xfId="27013"/>
    <cellStyle name="Normal 54 2 3 2 2 2 3" xfId="18716"/>
    <cellStyle name="Normal 54 2 3 2 2 3" xfId="22873"/>
    <cellStyle name="Normal 54 2 3 2 2 4" xfId="14576"/>
    <cellStyle name="Normal 54 2 3 2 3" xfId="8344"/>
    <cellStyle name="Normal 54 2 3 2 3 2" xfId="24941"/>
    <cellStyle name="Normal 54 2 3 2 3 3" xfId="16644"/>
    <cellStyle name="Normal 54 2 3 2 4" xfId="20801"/>
    <cellStyle name="Normal 54 2 3 2 5" xfId="12504"/>
    <cellStyle name="Normal 54 2 3 3" xfId="5226"/>
    <cellStyle name="Normal 54 2 3 3 2" xfId="9382"/>
    <cellStyle name="Normal 54 2 3 3 2 2" xfId="25979"/>
    <cellStyle name="Normal 54 2 3 3 2 3" xfId="17682"/>
    <cellStyle name="Normal 54 2 3 3 3" xfId="21839"/>
    <cellStyle name="Normal 54 2 3 3 4" xfId="13542"/>
    <cellStyle name="Normal 54 2 3 4" xfId="7310"/>
    <cellStyle name="Normal 54 2 3 4 2" xfId="23907"/>
    <cellStyle name="Normal 54 2 3 4 3" xfId="15610"/>
    <cellStyle name="Normal 54 2 3 5" xfId="19767"/>
    <cellStyle name="Normal 54 2 3 6" xfId="11470"/>
    <cellStyle name="Normal 54 2 4" xfId="3617"/>
    <cellStyle name="Normal 54 2 4 2" xfId="5745"/>
    <cellStyle name="Normal 54 2 4 2 2" xfId="9901"/>
    <cellStyle name="Normal 54 2 4 2 2 2" xfId="26498"/>
    <cellStyle name="Normal 54 2 4 2 2 3" xfId="18201"/>
    <cellStyle name="Normal 54 2 4 2 3" xfId="22358"/>
    <cellStyle name="Normal 54 2 4 2 4" xfId="14061"/>
    <cellStyle name="Normal 54 2 4 3" xfId="7829"/>
    <cellStyle name="Normal 54 2 4 3 2" xfId="24426"/>
    <cellStyle name="Normal 54 2 4 3 3" xfId="16129"/>
    <cellStyle name="Normal 54 2 4 4" xfId="20286"/>
    <cellStyle name="Normal 54 2 4 5" xfId="11989"/>
    <cellStyle name="Normal 54 2 5" xfId="4697"/>
    <cellStyle name="Normal 54 2 5 2" xfId="8865"/>
    <cellStyle name="Normal 54 2 5 2 2" xfId="25462"/>
    <cellStyle name="Normal 54 2 5 2 3" xfId="17165"/>
    <cellStyle name="Normal 54 2 5 3" xfId="21322"/>
    <cellStyle name="Normal 54 2 5 4" xfId="13025"/>
    <cellStyle name="Normal 54 2 6" xfId="6788"/>
    <cellStyle name="Normal 54 2 6 2" xfId="23392"/>
    <cellStyle name="Normal 54 2 6 3" xfId="15095"/>
    <cellStyle name="Normal 54 2 7" xfId="19249"/>
    <cellStyle name="Normal 54 2 8" xfId="10952"/>
    <cellStyle name="Normal 54 3" xfId="1758"/>
    <cellStyle name="Normal 54 3 2" xfId="1759"/>
    <cellStyle name="Normal 54 3 2 2" xfId="3092"/>
    <cellStyle name="Normal 54 3 2 2 2" xfId="4138"/>
    <cellStyle name="Normal 54 3 2 2 2 2" xfId="6263"/>
    <cellStyle name="Normal 54 3 2 2 2 2 2" xfId="10419"/>
    <cellStyle name="Normal 54 3 2 2 2 2 2 2" xfId="27016"/>
    <cellStyle name="Normal 54 3 2 2 2 2 2 3" xfId="18719"/>
    <cellStyle name="Normal 54 3 2 2 2 2 3" xfId="22876"/>
    <cellStyle name="Normal 54 3 2 2 2 2 4" xfId="14579"/>
    <cellStyle name="Normal 54 3 2 2 2 3" xfId="8347"/>
    <cellStyle name="Normal 54 3 2 2 2 3 2" xfId="24944"/>
    <cellStyle name="Normal 54 3 2 2 2 3 3" xfId="16647"/>
    <cellStyle name="Normal 54 3 2 2 2 4" xfId="20804"/>
    <cellStyle name="Normal 54 3 2 2 2 5" xfId="12507"/>
    <cellStyle name="Normal 54 3 2 2 3" xfId="5229"/>
    <cellStyle name="Normal 54 3 2 2 3 2" xfId="9385"/>
    <cellStyle name="Normal 54 3 2 2 3 2 2" xfId="25982"/>
    <cellStyle name="Normal 54 3 2 2 3 2 3" xfId="17685"/>
    <cellStyle name="Normal 54 3 2 2 3 3" xfId="21842"/>
    <cellStyle name="Normal 54 3 2 2 3 4" xfId="13545"/>
    <cellStyle name="Normal 54 3 2 2 4" xfId="7313"/>
    <cellStyle name="Normal 54 3 2 2 4 2" xfId="23910"/>
    <cellStyle name="Normal 54 3 2 2 4 3" xfId="15613"/>
    <cellStyle name="Normal 54 3 2 2 5" xfId="19770"/>
    <cellStyle name="Normal 54 3 2 2 6" xfId="11473"/>
    <cellStyle name="Normal 54 3 2 3" xfId="3620"/>
    <cellStyle name="Normal 54 3 2 3 2" xfId="5748"/>
    <cellStyle name="Normal 54 3 2 3 2 2" xfId="9904"/>
    <cellStyle name="Normal 54 3 2 3 2 2 2" xfId="26501"/>
    <cellStyle name="Normal 54 3 2 3 2 2 3" xfId="18204"/>
    <cellStyle name="Normal 54 3 2 3 2 3" xfId="22361"/>
    <cellStyle name="Normal 54 3 2 3 2 4" xfId="14064"/>
    <cellStyle name="Normal 54 3 2 3 3" xfId="7832"/>
    <cellStyle name="Normal 54 3 2 3 3 2" xfId="24429"/>
    <cellStyle name="Normal 54 3 2 3 3 3" xfId="16132"/>
    <cellStyle name="Normal 54 3 2 3 4" xfId="20289"/>
    <cellStyle name="Normal 54 3 2 3 5" xfId="11992"/>
    <cellStyle name="Normal 54 3 2 4" xfId="4700"/>
    <cellStyle name="Normal 54 3 2 4 2" xfId="8868"/>
    <cellStyle name="Normal 54 3 2 4 2 2" xfId="25465"/>
    <cellStyle name="Normal 54 3 2 4 2 3" xfId="17168"/>
    <cellStyle name="Normal 54 3 2 4 3" xfId="21325"/>
    <cellStyle name="Normal 54 3 2 4 4" xfId="13028"/>
    <cellStyle name="Normal 54 3 2 5" xfId="6791"/>
    <cellStyle name="Normal 54 3 2 5 2" xfId="23395"/>
    <cellStyle name="Normal 54 3 2 5 3" xfId="15098"/>
    <cellStyle name="Normal 54 3 2 6" xfId="19252"/>
    <cellStyle name="Normal 54 3 2 7" xfId="10955"/>
    <cellStyle name="Normal 54 3 3" xfId="3091"/>
    <cellStyle name="Normal 54 3 3 2" xfId="4137"/>
    <cellStyle name="Normal 54 3 3 2 2" xfId="6262"/>
    <cellStyle name="Normal 54 3 3 2 2 2" xfId="10418"/>
    <cellStyle name="Normal 54 3 3 2 2 2 2" xfId="27015"/>
    <cellStyle name="Normal 54 3 3 2 2 2 3" xfId="18718"/>
    <cellStyle name="Normal 54 3 3 2 2 3" xfId="22875"/>
    <cellStyle name="Normal 54 3 3 2 2 4" xfId="14578"/>
    <cellStyle name="Normal 54 3 3 2 3" xfId="8346"/>
    <cellStyle name="Normal 54 3 3 2 3 2" xfId="24943"/>
    <cellStyle name="Normal 54 3 3 2 3 3" xfId="16646"/>
    <cellStyle name="Normal 54 3 3 2 4" xfId="20803"/>
    <cellStyle name="Normal 54 3 3 2 5" xfId="12506"/>
    <cellStyle name="Normal 54 3 3 3" xfId="5228"/>
    <cellStyle name="Normal 54 3 3 3 2" xfId="9384"/>
    <cellStyle name="Normal 54 3 3 3 2 2" xfId="25981"/>
    <cellStyle name="Normal 54 3 3 3 2 3" xfId="17684"/>
    <cellStyle name="Normal 54 3 3 3 3" xfId="21841"/>
    <cellStyle name="Normal 54 3 3 3 4" xfId="13544"/>
    <cellStyle name="Normal 54 3 3 4" xfId="7312"/>
    <cellStyle name="Normal 54 3 3 4 2" xfId="23909"/>
    <cellStyle name="Normal 54 3 3 4 3" xfId="15612"/>
    <cellStyle name="Normal 54 3 3 5" xfId="19769"/>
    <cellStyle name="Normal 54 3 3 6" xfId="11472"/>
    <cellStyle name="Normal 54 3 4" xfId="3619"/>
    <cellStyle name="Normal 54 3 4 2" xfId="5747"/>
    <cellStyle name="Normal 54 3 4 2 2" xfId="9903"/>
    <cellStyle name="Normal 54 3 4 2 2 2" xfId="26500"/>
    <cellStyle name="Normal 54 3 4 2 2 3" xfId="18203"/>
    <cellStyle name="Normal 54 3 4 2 3" xfId="22360"/>
    <cellStyle name="Normal 54 3 4 2 4" xfId="14063"/>
    <cellStyle name="Normal 54 3 4 3" xfId="7831"/>
    <cellStyle name="Normal 54 3 4 3 2" xfId="24428"/>
    <cellStyle name="Normal 54 3 4 3 3" xfId="16131"/>
    <cellStyle name="Normal 54 3 4 4" xfId="20288"/>
    <cellStyle name="Normal 54 3 4 5" xfId="11991"/>
    <cellStyle name="Normal 54 3 5" xfId="4699"/>
    <cellStyle name="Normal 54 3 5 2" xfId="8867"/>
    <cellStyle name="Normal 54 3 5 2 2" xfId="25464"/>
    <cellStyle name="Normal 54 3 5 2 3" xfId="17167"/>
    <cellStyle name="Normal 54 3 5 3" xfId="21324"/>
    <cellStyle name="Normal 54 3 5 4" xfId="13027"/>
    <cellStyle name="Normal 54 3 6" xfId="6790"/>
    <cellStyle name="Normal 54 3 6 2" xfId="23394"/>
    <cellStyle name="Normal 54 3 6 3" xfId="15097"/>
    <cellStyle name="Normal 54 3 7" xfId="19251"/>
    <cellStyle name="Normal 54 3 8" xfId="10954"/>
    <cellStyle name="Normal 54 4" xfId="1760"/>
    <cellStyle name="Normal 54 4 2" xfId="3093"/>
    <cellStyle name="Normal 54 4 2 2" xfId="4139"/>
    <cellStyle name="Normal 54 4 2 2 2" xfId="6264"/>
    <cellStyle name="Normal 54 4 2 2 2 2" xfId="10420"/>
    <cellStyle name="Normal 54 4 2 2 2 2 2" xfId="27017"/>
    <cellStyle name="Normal 54 4 2 2 2 2 3" xfId="18720"/>
    <cellStyle name="Normal 54 4 2 2 2 3" xfId="22877"/>
    <cellStyle name="Normal 54 4 2 2 2 4" xfId="14580"/>
    <cellStyle name="Normal 54 4 2 2 3" xfId="8348"/>
    <cellStyle name="Normal 54 4 2 2 3 2" xfId="24945"/>
    <cellStyle name="Normal 54 4 2 2 3 3" xfId="16648"/>
    <cellStyle name="Normal 54 4 2 2 4" xfId="20805"/>
    <cellStyle name="Normal 54 4 2 2 5" xfId="12508"/>
    <cellStyle name="Normal 54 4 2 3" xfId="5230"/>
    <cellStyle name="Normal 54 4 2 3 2" xfId="9386"/>
    <cellStyle name="Normal 54 4 2 3 2 2" xfId="25983"/>
    <cellStyle name="Normal 54 4 2 3 2 3" xfId="17686"/>
    <cellStyle name="Normal 54 4 2 3 3" xfId="21843"/>
    <cellStyle name="Normal 54 4 2 3 4" xfId="13546"/>
    <cellStyle name="Normal 54 4 2 4" xfId="7314"/>
    <cellStyle name="Normal 54 4 2 4 2" xfId="23911"/>
    <cellStyle name="Normal 54 4 2 4 3" xfId="15614"/>
    <cellStyle name="Normal 54 4 2 5" xfId="19771"/>
    <cellStyle name="Normal 54 4 2 6" xfId="11474"/>
    <cellStyle name="Normal 54 4 3" xfId="3621"/>
    <cellStyle name="Normal 54 4 3 2" xfId="5749"/>
    <cellStyle name="Normal 54 4 3 2 2" xfId="9905"/>
    <cellStyle name="Normal 54 4 3 2 2 2" xfId="26502"/>
    <cellStyle name="Normal 54 4 3 2 2 3" xfId="18205"/>
    <cellStyle name="Normal 54 4 3 2 3" xfId="22362"/>
    <cellStyle name="Normal 54 4 3 2 4" xfId="14065"/>
    <cellStyle name="Normal 54 4 3 3" xfId="7833"/>
    <cellStyle name="Normal 54 4 3 3 2" xfId="24430"/>
    <cellStyle name="Normal 54 4 3 3 3" xfId="16133"/>
    <cellStyle name="Normal 54 4 3 4" xfId="20290"/>
    <cellStyle name="Normal 54 4 3 5" xfId="11993"/>
    <cellStyle name="Normal 54 4 4" xfId="4701"/>
    <cellStyle name="Normal 54 4 4 2" xfId="8869"/>
    <cellStyle name="Normal 54 4 4 2 2" xfId="25466"/>
    <cellStyle name="Normal 54 4 4 2 3" xfId="17169"/>
    <cellStyle name="Normal 54 4 4 3" xfId="21326"/>
    <cellStyle name="Normal 54 4 4 4" xfId="13029"/>
    <cellStyle name="Normal 54 4 5" xfId="6792"/>
    <cellStyle name="Normal 54 4 5 2" xfId="23396"/>
    <cellStyle name="Normal 54 4 5 3" xfId="15099"/>
    <cellStyle name="Normal 54 4 6" xfId="19253"/>
    <cellStyle name="Normal 54 4 7" xfId="10956"/>
    <cellStyle name="Normal 54 5" xfId="3088"/>
    <cellStyle name="Normal 54 5 2" xfId="4134"/>
    <cellStyle name="Normal 54 5 2 2" xfId="6259"/>
    <cellStyle name="Normal 54 5 2 2 2" xfId="10415"/>
    <cellStyle name="Normal 54 5 2 2 2 2" xfId="27012"/>
    <cellStyle name="Normal 54 5 2 2 2 3" xfId="18715"/>
    <cellStyle name="Normal 54 5 2 2 3" xfId="22872"/>
    <cellStyle name="Normal 54 5 2 2 4" xfId="14575"/>
    <cellStyle name="Normal 54 5 2 3" xfId="8343"/>
    <cellStyle name="Normal 54 5 2 3 2" xfId="24940"/>
    <cellStyle name="Normal 54 5 2 3 3" xfId="16643"/>
    <cellStyle name="Normal 54 5 2 4" xfId="20800"/>
    <cellStyle name="Normal 54 5 2 5" xfId="12503"/>
    <cellStyle name="Normal 54 5 3" xfId="5225"/>
    <cellStyle name="Normal 54 5 3 2" xfId="9381"/>
    <cellStyle name="Normal 54 5 3 2 2" xfId="25978"/>
    <cellStyle name="Normal 54 5 3 2 3" xfId="17681"/>
    <cellStyle name="Normal 54 5 3 3" xfId="21838"/>
    <cellStyle name="Normal 54 5 3 4" xfId="13541"/>
    <cellStyle name="Normal 54 5 4" xfId="7309"/>
    <cellStyle name="Normal 54 5 4 2" xfId="23906"/>
    <cellStyle name="Normal 54 5 4 3" xfId="15609"/>
    <cellStyle name="Normal 54 5 5" xfId="19766"/>
    <cellStyle name="Normal 54 5 6" xfId="11469"/>
    <cellStyle name="Normal 54 6" xfId="3616"/>
    <cellStyle name="Normal 54 6 2" xfId="5744"/>
    <cellStyle name="Normal 54 6 2 2" xfId="9900"/>
    <cellStyle name="Normal 54 6 2 2 2" xfId="26497"/>
    <cellStyle name="Normal 54 6 2 2 3" xfId="18200"/>
    <cellStyle name="Normal 54 6 2 3" xfId="22357"/>
    <cellStyle name="Normal 54 6 2 4" xfId="14060"/>
    <cellStyle name="Normal 54 6 3" xfId="7828"/>
    <cellStyle name="Normal 54 6 3 2" xfId="24425"/>
    <cellStyle name="Normal 54 6 3 3" xfId="16128"/>
    <cellStyle name="Normal 54 6 4" xfId="20285"/>
    <cellStyle name="Normal 54 6 5" xfId="11988"/>
    <cellStyle name="Normal 54 7" xfId="4696"/>
    <cellStyle name="Normal 54 7 2" xfId="8864"/>
    <cellStyle name="Normal 54 7 2 2" xfId="25461"/>
    <cellStyle name="Normal 54 7 2 3" xfId="17164"/>
    <cellStyle name="Normal 54 7 3" xfId="21321"/>
    <cellStyle name="Normal 54 7 4" xfId="13024"/>
    <cellStyle name="Normal 54 8" xfId="6787"/>
    <cellStyle name="Normal 54 8 2" xfId="23391"/>
    <cellStyle name="Normal 54 8 3" xfId="15094"/>
    <cellStyle name="Normal 54 9" xfId="19248"/>
    <cellStyle name="Normal 55" xfId="1761"/>
    <cellStyle name="Normal 55 10" xfId="10957"/>
    <cellStyle name="Normal 55 2" xfId="1762"/>
    <cellStyle name="Normal 55 2 2" xfId="1763"/>
    <cellStyle name="Normal 55 2 2 2" xfId="3096"/>
    <cellStyle name="Normal 55 2 2 2 2" xfId="4142"/>
    <cellStyle name="Normal 55 2 2 2 2 2" xfId="6267"/>
    <cellStyle name="Normal 55 2 2 2 2 2 2" xfId="10423"/>
    <cellStyle name="Normal 55 2 2 2 2 2 2 2" xfId="27020"/>
    <cellStyle name="Normal 55 2 2 2 2 2 2 3" xfId="18723"/>
    <cellStyle name="Normal 55 2 2 2 2 2 3" xfId="22880"/>
    <cellStyle name="Normal 55 2 2 2 2 2 4" xfId="14583"/>
    <cellStyle name="Normal 55 2 2 2 2 3" xfId="8351"/>
    <cellStyle name="Normal 55 2 2 2 2 3 2" xfId="24948"/>
    <cellStyle name="Normal 55 2 2 2 2 3 3" xfId="16651"/>
    <cellStyle name="Normal 55 2 2 2 2 4" xfId="20808"/>
    <cellStyle name="Normal 55 2 2 2 2 5" xfId="12511"/>
    <cellStyle name="Normal 55 2 2 2 3" xfId="5233"/>
    <cellStyle name="Normal 55 2 2 2 3 2" xfId="9389"/>
    <cellStyle name="Normal 55 2 2 2 3 2 2" xfId="25986"/>
    <cellStyle name="Normal 55 2 2 2 3 2 3" xfId="17689"/>
    <cellStyle name="Normal 55 2 2 2 3 3" xfId="21846"/>
    <cellStyle name="Normal 55 2 2 2 3 4" xfId="13549"/>
    <cellStyle name="Normal 55 2 2 2 4" xfId="7317"/>
    <cellStyle name="Normal 55 2 2 2 4 2" xfId="23914"/>
    <cellStyle name="Normal 55 2 2 2 4 3" xfId="15617"/>
    <cellStyle name="Normal 55 2 2 2 5" xfId="19774"/>
    <cellStyle name="Normal 55 2 2 2 6" xfId="11477"/>
    <cellStyle name="Normal 55 2 2 3" xfId="3624"/>
    <cellStyle name="Normal 55 2 2 3 2" xfId="5752"/>
    <cellStyle name="Normal 55 2 2 3 2 2" xfId="9908"/>
    <cellStyle name="Normal 55 2 2 3 2 2 2" xfId="26505"/>
    <cellStyle name="Normal 55 2 2 3 2 2 3" xfId="18208"/>
    <cellStyle name="Normal 55 2 2 3 2 3" xfId="22365"/>
    <cellStyle name="Normal 55 2 2 3 2 4" xfId="14068"/>
    <cellStyle name="Normal 55 2 2 3 3" xfId="7836"/>
    <cellStyle name="Normal 55 2 2 3 3 2" xfId="24433"/>
    <cellStyle name="Normal 55 2 2 3 3 3" xfId="16136"/>
    <cellStyle name="Normal 55 2 2 3 4" xfId="20293"/>
    <cellStyle name="Normal 55 2 2 3 5" xfId="11996"/>
    <cellStyle name="Normal 55 2 2 4" xfId="4704"/>
    <cellStyle name="Normal 55 2 2 4 2" xfId="8872"/>
    <cellStyle name="Normal 55 2 2 4 2 2" xfId="25469"/>
    <cellStyle name="Normal 55 2 2 4 2 3" xfId="17172"/>
    <cellStyle name="Normal 55 2 2 4 3" xfId="21329"/>
    <cellStyle name="Normal 55 2 2 4 4" xfId="13032"/>
    <cellStyle name="Normal 55 2 2 5" xfId="6795"/>
    <cellStyle name="Normal 55 2 2 5 2" xfId="23399"/>
    <cellStyle name="Normal 55 2 2 5 3" xfId="15102"/>
    <cellStyle name="Normal 55 2 2 6" xfId="19256"/>
    <cellStyle name="Normal 55 2 2 7" xfId="10959"/>
    <cellStyle name="Normal 55 2 3" xfId="3095"/>
    <cellStyle name="Normal 55 2 3 2" xfId="4141"/>
    <cellStyle name="Normal 55 2 3 2 2" xfId="6266"/>
    <cellStyle name="Normal 55 2 3 2 2 2" xfId="10422"/>
    <cellStyle name="Normal 55 2 3 2 2 2 2" xfId="27019"/>
    <cellStyle name="Normal 55 2 3 2 2 2 3" xfId="18722"/>
    <cellStyle name="Normal 55 2 3 2 2 3" xfId="22879"/>
    <cellStyle name="Normal 55 2 3 2 2 4" xfId="14582"/>
    <cellStyle name="Normal 55 2 3 2 3" xfId="8350"/>
    <cellStyle name="Normal 55 2 3 2 3 2" xfId="24947"/>
    <cellStyle name="Normal 55 2 3 2 3 3" xfId="16650"/>
    <cellStyle name="Normal 55 2 3 2 4" xfId="20807"/>
    <cellStyle name="Normal 55 2 3 2 5" xfId="12510"/>
    <cellStyle name="Normal 55 2 3 3" xfId="5232"/>
    <cellStyle name="Normal 55 2 3 3 2" xfId="9388"/>
    <cellStyle name="Normal 55 2 3 3 2 2" xfId="25985"/>
    <cellStyle name="Normal 55 2 3 3 2 3" xfId="17688"/>
    <cellStyle name="Normal 55 2 3 3 3" xfId="21845"/>
    <cellStyle name="Normal 55 2 3 3 4" xfId="13548"/>
    <cellStyle name="Normal 55 2 3 4" xfId="7316"/>
    <cellStyle name="Normal 55 2 3 4 2" xfId="23913"/>
    <cellStyle name="Normal 55 2 3 4 3" xfId="15616"/>
    <cellStyle name="Normal 55 2 3 5" xfId="19773"/>
    <cellStyle name="Normal 55 2 3 6" xfId="11476"/>
    <cellStyle name="Normal 55 2 4" xfId="3623"/>
    <cellStyle name="Normal 55 2 4 2" xfId="5751"/>
    <cellStyle name="Normal 55 2 4 2 2" xfId="9907"/>
    <cellStyle name="Normal 55 2 4 2 2 2" xfId="26504"/>
    <cellStyle name="Normal 55 2 4 2 2 3" xfId="18207"/>
    <cellStyle name="Normal 55 2 4 2 3" xfId="22364"/>
    <cellStyle name="Normal 55 2 4 2 4" xfId="14067"/>
    <cellStyle name="Normal 55 2 4 3" xfId="7835"/>
    <cellStyle name="Normal 55 2 4 3 2" xfId="24432"/>
    <cellStyle name="Normal 55 2 4 3 3" xfId="16135"/>
    <cellStyle name="Normal 55 2 4 4" xfId="20292"/>
    <cellStyle name="Normal 55 2 4 5" xfId="11995"/>
    <cellStyle name="Normal 55 2 5" xfId="4703"/>
    <cellStyle name="Normal 55 2 5 2" xfId="8871"/>
    <cellStyle name="Normal 55 2 5 2 2" xfId="25468"/>
    <cellStyle name="Normal 55 2 5 2 3" xfId="17171"/>
    <cellStyle name="Normal 55 2 5 3" xfId="21328"/>
    <cellStyle name="Normal 55 2 5 4" xfId="13031"/>
    <cellStyle name="Normal 55 2 6" xfId="6794"/>
    <cellStyle name="Normal 55 2 6 2" xfId="23398"/>
    <cellStyle name="Normal 55 2 6 3" xfId="15101"/>
    <cellStyle name="Normal 55 2 7" xfId="19255"/>
    <cellStyle name="Normal 55 2 8" xfId="10958"/>
    <cellStyle name="Normal 55 3" xfId="1764"/>
    <cellStyle name="Normal 55 3 2" xfId="1765"/>
    <cellStyle name="Normal 55 3 2 2" xfId="3098"/>
    <cellStyle name="Normal 55 3 2 2 2" xfId="4144"/>
    <cellStyle name="Normal 55 3 2 2 2 2" xfId="6269"/>
    <cellStyle name="Normal 55 3 2 2 2 2 2" xfId="10425"/>
    <cellStyle name="Normal 55 3 2 2 2 2 2 2" xfId="27022"/>
    <cellStyle name="Normal 55 3 2 2 2 2 2 3" xfId="18725"/>
    <cellStyle name="Normal 55 3 2 2 2 2 3" xfId="22882"/>
    <cellStyle name="Normal 55 3 2 2 2 2 4" xfId="14585"/>
    <cellStyle name="Normal 55 3 2 2 2 3" xfId="8353"/>
    <cellStyle name="Normal 55 3 2 2 2 3 2" xfId="24950"/>
    <cellStyle name="Normal 55 3 2 2 2 3 3" xfId="16653"/>
    <cellStyle name="Normal 55 3 2 2 2 4" xfId="20810"/>
    <cellStyle name="Normal 55 3 2 2 2 5" xfId="12513"/>
    <cellStyle name="Normal 55 3 2 2 3" xfId="5235"/>
    <cellStyle name="Normal 55 3 2 2 3 2" xfId="9391"/>
    <cellStyle name="Normal 55 3 2 2 3 2 2" xfId="25988"/>
    <cellStyle name="Normal 55 3 2 2 3 2 3" xfId="17691"/>
    <cellStyle name="Normal 55 3 2 2 3 3" xfId="21848"/>
    <cellStyle name="Normal 55 3 2 2 3 4" xfId="13551"/>
    <cellStyle name="Normal 55 3 2 2 4" xfId="7319"/>
    <cellStyle name="Normal 55 3 2 2 4 2" xfId="23916"/>
    <cellStyle name="Normal 55 3 2 2 4 3" xfId="15619"/>
    <cellStyle name="Normal 55 3 2 2 5" xfId="19776"/>
    <cellStyle name="Normal 55 3 2 2 6" xfId="11479"/>
    <cellStyle name="Normal 55 3 2 3" xfId="3626"/>
    <cellStyle name="Normal 55 3 2 3 2" xfId="5754"/>
    <cellStyle name="Normal 55 3 2 3 2 2" xfId="9910"/>
    <cellStyle name="Normal 55 3 2 3 2 2 2" xfId="26507"/>
    <cellStyle name="Normal 55 3 2 3 2 2 3" xfId="18210"/>
    <cellStyle name="Normal 55 3 2 3 2 3" xfId="22367"/>
    <cellStyle name="Normal 55 3 2 3 2 4" xfId="14070"/>
    <cellStyle name="Normal 55 3 2 3 3" xfId="7838"/>
    <cellStyle name="Normal 55 3 2 3 3 2" xfId="24435"/>
    <cellStyle name="Normal 55 3 2 3 3 3" xfId="16138"/>
    <cellStyle name="Normal 55 3 2 3 4" xfId="20295"/>
    <cellStyle name="Normal 55 3 2 3 5" xfId="11998"/>
    <cellStyle name="Normal 55 3 2 4" xfId="4706"/>
    <cellStyle name="Normal 55 3 2 4 2" xfId="8874"/>
    <cellStyle name="Normal 55 3 2 4 2 2" xfId="25471"/>
    <cellStyle name="Normal 55 3 2 4 2 3" xfId="17174"/>
    <cellStyle name="Normal 55 3 2 4 3" xfId="21331"/>
    <cellStyle name="Normal 55 3 2 4 4" xfId="13034"/>
    <cellStyle name="Normal 55 3 2 5" xfId="6797"/>
    <cellStyle name="Normal 55 3 2 5 2" xfId="23401"/>
    <cellStyle name="Normal 55 3 2 5 3" xfId="15104"/>
    <cellStyle name="Normal 55 3 2 6" xfId="19258"/>
    <cellStyle name="Normal 55 3 2 7" xfId="10961"/>
    <cellStyle name="Normal 55 3 3" xfId="3097"/>
    <cellStyle name="Normal 55 3 3 2" xfId="4143"/>
    <cellStyle name="Normal 55 3 3 2 2" xfId="6268"/>
    <cellStyle name="Normal 55 3 3 2 2 2" xfId="10424"/>
    <cellStyle name="Normal 55 3 3 2 2 2 2" xfId="27021"/>
    <cellStyle name="Normal 55 3 3 2 2 2 3" xfId="18724"/>
    <cellStyle name="Normal 55 3 3 2 2 3" xfId="22881"/>
    <cellStyle name="Normal 55 3 3 2 2 4" xfId="14584"/>
    <cellStyle name="Normal 55 3 3 2 3" xfId="8352"/>
    <cellStyle name="Normal 55 3 3 2 3 2" xfId="24949"/>
    <cellStyle name="Normal 55 3 3 2 3 3" xfId="16652"/>
    <cellStyle name="Normal 55 3 3 2 4" xfId="20809"/>
    <cellStyle name="Normal 55 3 3 2 5" xfId="12512"/>
    <cellStyle name="Normal 55 3 3 3" xfId="5234"/>
    <cellStyle name="Normal 55 3 3 3 2" xfId="9390"/>
    <cellStyle name="Normal 55 3 3 3 2 2" xfId="25987"/>
    <cellStyle name="Normal 55 3 3 3 2 3" xfId="17690"/>
    <cellStyle name="Normal 55 3 3 3 3" xfId="21847"/>
    <cellStyle name="Normal 55 3 3 3 4" xfId="13550"/>
    <cellStyle name="Normal 55 3 3 4" xfId="7318"/>
    <cellStyle name="Normal 55 3 3 4 2" xfId="23915"/>
    <cellStyle name="Normal 55 3 3 4 3" xfId="15618"/>
    <cellStyle name="Normal 55 3 3 5" xfId="19775"/>
    <cellStyle name="Normal 55 3 3 6" xfId="11478"/>
    <cellStyle name="Normal 55 3 4" xfId="3625"/>
    <cellStyle name="Normal 55 3 4 2" xfId="5753"/>
    <cellStyle name="Normal 55 3 4 2 2" xfId="9909"/>
    <cellStyle name="Normal 55 3 4 2 2 2" xfId="26506"/>
    <cellStyle name="Normal 55 3 4 2 2 3" xfId="18209"/>
    <cellStyle name="Normal 55 3 4 2 3" xfId="22366"/>
    <cellStyle name="Normal 55 3 4 2 4" xfId="14069"/>
    <cellStyle name="Normal 55 3 4 3" xfId="7837"/>
    <cellStyle name="Normal 55 3 4 3 2" xfId="24434"/>
    <cellStyle name="Normal 55 3 4 3 3" xfId="16137"/>
    <cellStyle name="Normal 55 3 4 4" xfId="20294"/>
    <cellStyle name="Normal 55 3 4 5" xfId="11997"/>
    <cellStyle name="Normal 55 3 5" xfId="4705"/>
    <cellStyle name="Normal 55 3 5 2" xfId="8873"/>
    <cellStyle name="Normal 55 3 5 2 2" xfId="25470"/>
    <cellStyle name="Normal 55 3 5 2 3" xfId="17173"/>
    <cellStyle name="Normal 55 3 5 3" xfId="21330"/>
    <cellStyle name="Normal 55 3 5 4" xfId="13033"/>
    <cellStyle name="Normal 55 3 6" xfId="6796"/>
    <cellStyle name="Normal 55 3 6 2" xfId="23400"/>
    <cellStyle name="Normal 55 3 6 3" xfId="15103"/>
    <cellStyle name="Normal 55 3 7" xfId="19257"/>
    <cellStyle name="Normal 55 3 8" xfId="10960"/>
    <cellStyle name="Normal 55 4" xfId="1766"/>
    <cellStyle name="Normal 55 4 2" xfId="3099"/>
    <cellStyle name="Normal 55 4 2 2" xfId="4145"/>
    <cellStyle name="Normal 55 4 2 2 2" xfId="6270"/>
    <cellStyle name="Normal 55 4 2 2 2 2" xfId="10426"/>
    <cellStyle name="Normal 55 4 2 2 2 2 2" xfId="27023"/>
    <cellStyle name="Normal 55 4 2 2 2 2 3" xfId="18726"/>
    <cellStyle name="Normal 55 4 2 2 2 3" xfId="22883"/>
    <cellStyle name="Normal 55 4 2 2 2 4" xfId="14586"/>
    <cellStyle name="Normal 55 4 2 2 3" xfId="8354"/>
    <cellStyle name="Normal 55 4 2 2 3 2" xfId="24951"/>
    <cellStyle name="Normal 55 4 2 2 3 3" xfId="16654"/>
    <cellStyle name="Normal 55 4 2 2 4" xfId="20811"/>
    <cellStyle name="Normal 55 4 2 2 5" xfId="12514"/>
    <cellStyle name="Normal 55 4 2 3" xfId="5236"/>
    <cellStyle name="Normal 55 4 2 3 2" xfId="9392"/>
    <cellStyle name="Normal 55 4 2 3 2 2" xfId="25989"/>
    <cellStyle name="Normal 55 4 2 3 2 3" xfId="17692"/>
    <cellStyle name="Normal 55 4 2 3 3" xfId="21849"/>
    <cellStyle name="Normal 55 4 2 3 4" xfId="13552"/>
    <cellStyle name="Normal 55 4 2 4" xfId="7320"/>
    <cellStyle name="Normal 55 4 2 4 2" xfId="23917"/>
    <cellStyle name="Normal 55 4 2 4 3" xfId="15620"/>
    <cellStyle name="Normal 55 4 2 5" xfId="19777"/>
    <cellStyle name="Normal 55 4 2 6" xfId="11480"/>
    <cellStyle name="Normal 55 4 3" xfId="3627"/>
    <cellStyle name="Normal 55 4 3 2" xfId="5755"/>
    <cellStyle name="Normal 55 4 3 2 2" xfId="9911"/>
    <cellStyle name="Normal 55 4 3 2 2 2" xfId="26508"/>
    <cellStyle name="Normal 55 4 3 2 2 3" xfId="18211"/>
    <cellStyle name="Normal 55 4 3 2 3" xfId="22368"/>
    <cellStyle name="Normal 55 4 3 2 4" xfId="14071"/>
    <cellStyle name="Normal 55 4 3 3" xfId="7839"/>
    <cellStyle name="Normal 55 4 3 3 2" xfId="24436"/>
    <cellStyle name="Normal 55 4 3 3 3" xfId="16139"/>
    <cellStyle name="Normal 55 4 3 4" xfId="20296"/>
    <cellStyle name="Normal 55 4 3 5" xfId="11999"/>
    <cellStyle name="Normal 55 4 4" xfId="4707"/>
    <cellStyle name="Normal 55 4 4 2" xfId="8875"/>
    <cellStyle name="Normal 55 4 4 2 2" xfId="25472"/>
    <cellStyle name="Normal 55 4 4 2 3" xfId="17175"/>
    <cellStyle name="Normal 55 4 4 3" xfId="21332"/>
    <cellStyle name="Normal 55 4 4 4" xfId="13035"/>
    <cellStyle name="Normal 55 4 5" xfId="6798"/>
    <cellStyle name="Normal 55 4 5 2" xfId="23402"/>
    <cellStyle name="Normal 55 4 5 3" xfId="15105"/>
    <cellStyle name="Normal 55 4 6" xfId="19259"/>
    <cellStyle name="Normal 55 4 7" xfId="10962"/>
    <cellStyle name="Normal 55 5" xfId="3094"/>
    <cellStyle name="Normal 55 5 2" xfId="4140"/>
    <cellStyle name="Normal 55 5 2 2" xfId="6265"/>
    <cellStyle name="Normal 55 5 2 2 2" xfId="10421"/>
    <cellStyle name="Normal 55 5 2 2 2 2" xfId="27018"/>
    <cellStyle name="Normal 55 5 2 2 2 3" xfId="18721"/>
    <cellStyle name="Normal 55 5 2 2 3" xfId="22878"/>
    <cellStyle name="Normal 55 5 2 2 4" xfId="14581"/>
    <cellStyle name="Normal 55 5 2 3" xfId="8349"/>
    <cellStyle name="Normal 55 5 2 3 2" xfId="24946"/>
    <cellStyle name="Normal 55 5 2 3 3" xfId="16649"/>
    <cellStyle name="Normal 55 5 2 4" xfId="20806"/>
    <cellStyle name="Normal 55 5 2 5" xfId="12509"/>
    <cellStyle name="Normal 55 5 3" xfId="5231"/>
    <cellStyle name="Normal 55 5 3 2" xfId="9387"/>
    <cellStyle name="Normal 55 5 3 2 2" xfId="25984"/>
    <cellStyle name="Normal 55 5 3 2 3" xfId="17687"/>
    <cellStyle name="Normal 55 5 3 3" xfId="21844"/>
    <cellStyle name="Normal 55 5 3 4" xfId="13547"/>
    <cellStyle name="Normal 55 5 4" xfId="7315"/>
    <cellStyle name="Normal 55 5 4 2" xfId="23912"/>
    <cellStyle name="Normal 55 5 4 3" xfId="15615"/>
    <cellStyle name="Normal 55 5 5" xfId="19772"/>
    <cellStyle name="Normal 55 5 6" xfId="11475"/>
    <cellStyle name="Normal 55 6" xfId="3622"/>
    <cellStyle name="Normal 55 6 2" xfId="5750"/>
    <cellStyle name="Normal 55 6 2 2" xfId="9906"/>
    <cellStyle name="Normal 55 6 2 2 2" xfId="26503"/>
    <cellStyle name="Normal 55 6 2 2 3" xfId="18206"/>
    <cellStyle name="Normal 55 6 2 3" xfId="22363"/>
    <cellStyle name="Normal 55 6 2 4" xfId="14066"/>
    <cellStyle name="Normal 55 6 3" xfId="7834"/>
    <cellStyle name="Normal 55 6 3 2" xfId="24431"/>
    <cellStyle name="Normal 55 6 3 3" xfId="16134"/>
    <cellStyle name="Normal 55 6 4" xfId="20291"/>
    <cellStyle name="Normal 55 6 5" xfId="11994"/>
    <cellStyle name="Normal 55 7" xfId="4702"/>
    <cellStyle name="Normal 55 7 2" xfId="8870"/>
    <cellStyle name="Normal 55 7 2 2" xfId="25467"/>
    <cellStyle name="Normal 55 7 2 3" xfId="17170"/>
    <cellStyle name="Normal 55 7 3" xfId="21327"/>
    <cellStyle name="Normal 55 7 4" xfId="13030"/>
    <cellStyle name="Normal 55 8" xfId="6793"/>
    <cellStyle name="Normal 55 8 2" xfId="23397"/>
    <cellStyle name="Normal 55 8 3" xfId="15100"/>
    <cellStyle name="Normal 55 9" xfId="19254"/>
    <cellStyle name="Normal 56" xfId="1767"/>
    <cellStyle name="Normal 56 10" xfId="10963"/>
    <cellStyle name="Normal 56 2" xfId="1768"/>
    <cellStyle name="Normal 56 2 2" xfId="1769"/>
    <cellStyle name="Normal 56 2 2 2" xfId="3102"/>
    <cellStyle name="Normal 56 2 2 2 2" xfId="4148"/>
    <cellStyle name="Normal 56 2 2 2 2 2" xfId="6273"/>
    <cellStyle name="Normal 56 2 2 2 2 2 2" xfId="10429"/>
    <cellStyle name="Normal 56 2 2 2 2 2 2 2" xfId="27026"/>
    <cellStyle name="Normal 56 2 2 2 2 2 2 3" xfId="18729"/>
    <cellStyle name="Normal 56 2 2 2 2 2 3" xfId="22886"/>
    <cellStyle name="Normal 56 2 2 2 2 2 4" xfId="14589"/>
    <cellStyle name="Normal 56 2 2 2 2 3" xfId="8357"/>
    <cellStyle name="Normal 56 2 2 2 2 3 2" xfId="24954"/>
    <cellStyle name="Normal 56 2 2 2 2 3 3" xfId="16657"/>
    <cellStyle name="Normal 56 2 2 2 2 4" xfId="20814"/>
    <cellStyle name="Normal 56 2 2 2 2 5" xfId="12517"/>
    <cellStyle name="Normal 56 2 2 2 3" xfId="5239"/>
    <cellStyle name="Normal 56 2 2 2 3 2" xfId="9395"/>
    <cellStyle name="Normal 56 2 2 2 3 2 2" xfId="25992"/>
    <cellStyle name="Normal 56 2 2 2 3 2 3" xfId="17695"/>
    <cellStyle name="Normal 56 2 2 2 3 3" xfId="21852"/>
    <cellStyle name="Normal 56 2 2 2 3 4" xfId="13555"/>
    <cellStyle name="Normal 56 2 2 2 4" xfId="7323"/>
    <cellStyle name="Normal 56 2 2 2 4 2" xfId="23920"/>
    <cellStyle name="Normal 56 2 2 2 4 3" xfId="15623"/>
    <cellStyle name="Normal 56 2 2 2 5" xfId="19780"/>
    <cellStyle name="Normal 56 2 2 2 6" xfId="11483"/>
    <cellStyle name="Normal 56 2 2 3" xfId="3630"/>
    <cellStyle name="Normal 56 2 2 3 2" xfId="5758"/>
    <cellStyle name="Normal 56 2 2 3 2 2" xfId="9914"/>
    <cellStyle name="Normal 56 2 2 3 2 2 2" xfId="26511"/>
    <cellStyle name="Normal 56 2 2 3 2 2 3" xfId="18214"/>
    <cellStyle name="Normal 56 2 2 3 2 3" xfId="22371"/>
    <cellStyle name="Normal 56 2 2 3 2 4" xfId="14074"/>
    <cellStyle name="Normal 56 2 2 3 3" xfId="7842"/>
    <cellStyle name="Normal 56 2 2 3 3 2" xfId="24439"/>
    <cellStyle name="Normal 56 2 2 3 3 3" xfId="16142"/>
    <cellStyle name="Normal 56 2 2 3 4" xfId="20299"/>
    <cellStyle name="Normal 56 2 2 3 5" xfId="12002"/>
    <cellStyle name="Normal 56 2 2 4" xfId="4710"/>
    <cellStyle name="Normal 56 2 2 4 2" xfId="8878"/>
    <cellStyle name="Normal 56 2 2 4 2 2" xfId="25475"/>
    <cellStyle name="Normal 56 2 2 4 2 3" xfId="17178"/>
    <cellStyle name="Normal 56 2 2 4 3" xfId="21335"/>
    <cellStyle name="Normal 56 2 2 4 4" xfId="13038"/>
    <cellStyle name="Normal 56 2 2 5" xfId="6801"/>
    <cellStyle name="Normal 56 2 2 5 2" xfId="23405"/>
    <cellStyle name="Normal 56 2 2 5 3" xfId="15108"/>
    <cellStyle name="Normal 56 2 2 6" xfId="19262"/>
    <cellStyle name="Normal 56 2 2 7" xfId="10965"/>
    <cellStyle name="Normal 56 2 3" xfId="3101"/>
    <cellStyle name="Normal 56 2 3 2" xfId="4147"/>
    <cellStyle name="Normal 56 2 3 2 2" xfId="6272"/>
    <cellStyle name="Normal 56 2 3 2 2 2" xfId="10428"/>
    <cellStyle name="Normal 56 2 3 2 2 2 2" xfId="27025"/>
    <cellStyle name="Normal 56 2 3 2 2 2 3" xfId="18728"/>
    <cellStyle name="Normal 56 2 3 2 2 3" xfId="22885"/>
    <cellStyle name="Normal 56 2 3 2 2 4" xfId="14588"/>
    <cellStyle name="Normal 56 2 3 2 3" xfId="8356"/>
    <cellStyle name="Normal 56 2 3 2 3 2" xfId="24953"/>
    <cellStyle name="Normal 56 2 3 2 3 3" xfId="16656"/>
    <cellStyle name="Normal 56 2 3 2 4" xfId="20813"/>
    <cellStyle name="Normal 56 2 3 2 5" xfId="12516"/>
    <cellStyle name="Normal 56 2 3 3" xfId="5238"/>
    <cellStyle name="Normal 56 2 3 3 2" xfId="9394"/>
    <cellStyle name="Normal 56 2 3 3 2 2" xfId="25991"/>
    <cellStyle name="Normal 56 2 3 3 2 3" xfId="17694"/>
    <cellStyle name="Normal 56 2 3 3 3" xfId="21851"/>
    <cellStyle name="Normal 56 2 3 3 4" xfId="13554"/>
    <cellStyle name="Normal 56 2 3 4" xfId="7322"/>
    <cellStyle name="Normal 56 2 3 4 2" xfId="23919"/>
    <cellStyle name="Normal 56 2 3 4 3" xfId="15622"/>
    <cellStyle name="Normal 56 2 3 5" xfId="19779"/>
    <cellStyle name="Normal 56 2 3 6" xfId="11482"/>
    <cellStyle name="Normal 56 2 4" xfId="3629"/>
    <cellStyle name="Normal 56 2 4 2" xfId="5757"/>
    <cellStyle name="Normal 56 2 4 2 2" xfId="9913"/>
    <cellStyle name="Normal 56 2 4 2 2 2" xfId="26510"/>
    <cellStyle name="Normal 56 2 4 2 2 3" xfId="18213"/>
    <cellStyle name="Normal 56 2 4 2 3" xfId="22370"/>
    <cellStyle name="Normal 56 2 4 2 4" xfId="14073"/>
    <cellStyle name="Normal 56 2 4 3" xfId="7841"/>
    <cellStyle name="Normal 56 2 4 3 2" xfId="24438"/>
    <cellStyle name="Normal 56 2 4 3 3" xfId="16141"/>
    <cellStyle name="Normal 56 2 4 4" xfId="20298"/>
    <cellStyle name="Normal 56 2 4 5" xfId="12001"/>
    <cellStyle name="Normal 56 2 5" xfId="4709"/>
    <cellStyle name="Normal 56 2 5 2" xfId="8877"/>
    <cellStyle name="Normal 56 2 5 2 2" xfId="25474"/>
    <cellStyle name="Normal 56 2 5 2 3" xfId="17177"/>
    <cellStyle name="Normal 56 2 5 3" xfId="21334"/>
    <cellStyle name="Normal 56 2 5 4" xfId="13037"/>
    <cellStyle name="Normal 56 2 6" xfId="6800"/>
    <cellStyle name="Normal 56 2 6 2" xfId="23404"/>
    <cellStyle name="Normal 56 2 6 3" xfId="15107"/>
    <cellStyle name="Normal 56 2 7" xfId="19261"/>
    <cellStyle name="Normal 56 2 8" xfId="10964"/>
    <cellStyle name="Normal 56 3" xfId="1770"/>
    <cellStyle name="Normal 56 3 2" xfId="1771"/>
    <cellStyle name="Normal 56 3 2 2" xfId="3104"/>
    <cellStyle name="Normal 56 3 2 2 2" xfId="4150"/>
    <cellStyle name="Normal 56 3 2 2 2 2" xfId="6275"/>
    <cellStyle name="Normal 56 3 2 2 2 2 2" xfId="10431"/>
    <cellStyle name="Normal 56 3 2 2 2 2 2 2" xfId="27028"/>
    <cellStyle name="Normal 56 3 2 2 2 2 2 3" xfId="18731"/>
    <cellStyle name="Normal 56 3 2 2 2 2 3" xfId="22888"/>
    <cellStyle name="Normal 56 3 2 2 2 2 4" xfId="14591"/>
    <cellStyle name="Normal 56 3 2 2 2 3" xfId="8359"/>
    <cellStyle name="Normal 56 3 2 2 2 3 2" xfId="24956"/>
    <cellStyle name="Normal 56 3 2 2 2 3 3" xfId="16659"/>
    <cellStyle name="Normal 56 3 2 2 2 4" xfId="20816"/>
    <cellStyle name="Normal 56 3 2 2 2 5" xfId="12519"/>
    <cellStyle name="Normal 56 3 2 2 3" xfId="5241"/>
    <cellStyle name="Normal 56 3 2 2 3 2" xfId="9397"/>
    <cellStyle name="Normal 56 3 2 2 3 2 2" xfId="25994"/>
    <cellStyle name="Normal 56 3 2 2 3 2 3" xfId="17697"/>
    <cellStyle name="Normal 56 3 2 2 3 3" xfId="21854"/>
    <cellStyle name="Normal 56 3 2 2 3 4" xfId="13557"/>
    <cellStyle name="Normal 56 3 2 2 4" xfId="7325"/>
    <cellStyle name="Normal 56 3 2 2 4 2" xfId="23922"/>
    <cellStyle name="Normal 56 3 2 2 4 3" xfId="15625"/>
    <cellStyle name="Normal 56 3 2 2 5" xfId="19782"/>
    <cellStyle name="Normal 56 3 2 2 6" xfId="11485"/>
    <cellStyle name="Normal 56 3 2 3" xfId="3632"/>
    <cellStyle name="Normal 56 3 2 3 2" xfId="5760"/>
    <cellStyle name="Normal 56 3 2 3 2 2" xfId="9916"/>
    <cellStyle name="Normal 56 3 2 3 2 2 2" xfId="26513"/>
    <cellStyle name="Normal 56 3 2 3 2 2 3" xfId="18216"/>
    <cellStyle name="Normal 56 3 2 3 2 3" xfId="22373"/>
    <cellStyle name="Normal 56 3 2 3 2 4" xfId="14076"/>
    <cellStyle name="Normal 56 3 2 3 3" xfId="7844"/>
    <cellStyle name="Normal 56 3 2 3 3 2" xfId="24441"/>
    <cellStyle name="Normal 56 3 2 3 3 3" xfId="16144"/>
    <cellStyle name="Normal 56 3 2 3 4" xfId="20301"/>
    <cellStyle name="Normal 56 3 2 3 5" xfId="12004"/>
    <cellStyle name="Normal 56 3 2 4" xfId="4712"/>
    <cellStyle name="Normal 56 3 2 4 2" xfId="8880"/>
    <cellStyle name="Normal 56 3 2 4 2 2" xfId="25477"/>
    <cellStyle name="Normal 56 3 2 4 2 3" xfId="17180"/>
    <cellStyle name="Normal 56 3 2 4 3" xfId="21337"/>
    <cellStyle name="Normal 56 3 2 4 4" xfId="13040"/>
    <cellStyle name="Normal 56 3 2 5" xfId="6803"/>
    <cellStyle name="Normal 56 3 2 5 2" xfId="23407"/>
    <cellStyle name="Normal 56 3 2 5 3" xfId="15110"/>
    <cellStyle name="Normal 56 3 2 6" xfId="19264"/>
    <cellStyle name="Normal 56 3 2 7" xfId="10967"/>
    <cellStyle name="Normal 56 3 3" xfId="3103"/>
    <cellStyle name="Normal 56 3 3 2" xfId="4149"/>
    <cellStyle name="Normal 56 3 3 2 2" xfId="6274"/>
    <cellStyle name="Normal 56 3 3 2 2 2" xfId="10430"/>
    <cellStyle name="Normal 56 3 3 2 2 2 2" xfId="27027"/>
    <cellStyle name="Normal 56 3 3 2 2 2 3" xfId="18730"/>
    <cellStyle name="Normal 56 3 3 2 2 3" xfId="22887"/>
    <cellStyle name="Normal 56 3 3 2 2 4" xfId="14590"/>
    <cellStyle name="Normal 56 3 3 2 3" xfId="8358"/>
    <cellStyle name="Normal 56 3 3 2 3 2" xfId="24955"/>
    <cellStyle name="Normal 56 3 3 2 3 3" xfId="16658"/>
    <cellStyle name="Normal 56 3 3 2 4" xfId="20815"/>
    <cellStyle name="Normal 56 3 3 2 5" xfId="12518"/>
    <cellStyle name="Normal 56 3 3 3" xfId="5240"/>
    <cellStyle name="Normal 56 3 3 3 2" xfId="9396"/>
    <cellStyle name="Normal 56 3 3 3 2 2" xfId="25993"/>
    <cellStyle name="Normal 56 3 3 3 2 3" xfId="17696"/>
    <cellStyle name="Normal 56 3 3 3 3" xfId="21853"/>
    <cellStyle name="Normal 56 3 3 3 4" xfId="13556"/>
    <cellStyle name="Normal 56 3 3 4" xfId="7324"/>
    <cellStyle name="Normal 56 3 3 4 2" xfId="23921"/>
    <cellStyle name="Normal 56 3 3 4 3" xfId="15624"/>
    <cellStyle name="Normal 56 3 3 5" xfId="19781"/>
    <cellStyle name="Normal 56 3 3 6" xfId="11484"/>
    <cellStyle name="Normal 56 3 4" xfId="3631"/>
    <cellStyle name="Normal 56 3 4 2" xfId="5759"/>
    <cellStyle name="Normal 56 3 4 2 2" xfId="9915"/>
    <cellStyle name="Normal 56 3 4 2 2 2" xfId="26512"/>
    <cellStyle name="Normal 56 3 4 2 2 3" xfId="18215"/>
    <cellStyle name="Normal 56 3 4 2 3" xfId="22372"/>
    <cellStyle name="Normal 56 3 4 2 4" xfId="14075"/>
    <cellStyle name="Normal 56 3 4 3" xfId="7843"/>
    <cellStyle name="Normal 56 3 4 3 2" xfId="24440"/>
    <cellStyle name="Normal 56 3 4 3 3" xfId="16143"/>
    <cellStyle name="Normal 56 3 4 4" xfId="20300"/>
    <cellStyle name="Normal 56 3 4 5" xfId="12003"/>
    <cellStyle name="Normal 56 3 5" xfId="4711"/>
    <cellStyle name="Normal 56 3 5 2" xfId="8879"/>
    <cellStyle name="Normal 56 3 5 2 2" xfId="25476"/>
    <cellStyle name="Normal 56 3 5 2 3" xfId="17179"/>
    <cellStyle name="Normal 56 3 5 3" xfId="21336"/>
    <cellStyle name="Normal 56 3 5 4" xfId="13039"/>
    <cellStyle name="Normal 56 3 6" xfId="6802"/>
    <cellStyle name="Normal 56 3 6 2" xfId="23406"/>
    <cellStyle name="Normal 56 3 6 3" xfId="15109"/>
    <cellStyle name="Normal 56 3 7" xfId="19263"/>
    <cellStyle name="Normal 56 3 8" xfId="10966"/>
    <cellStyle name="Normal 56 4" xfId="1772"/>
    <cellStyle name="Normal 56 4 2" xfId="3105"/>
    <cellStyle name="Normal 56 4 2 2" xfId="4151"/>
    <cellStyle name="Normal 56 4 2 2 2" xfId="6276"/>
    <cellStyle name="Normal 56 4 2 2 2 2" xfId="10432"/>
    <cellStyle name="Normal 56 4 2 2 2 2 2" xfId="27029"/>
    <cellStyle name="Normal 56 4 2 2 2 2 3" xfId="18732"/>
    <cellStyle name="Normal 56 4 2 2 2 3" xfId="22889"/>
    <cellStyle name="Normal 56 4 2 2 2 4" xfId="14592"/>
    <cellStyle name="Normal 56 4 2 2 3" xfId="8360"/>
    <cellStyle name="Normal 56 4 2 2 3 2" xfId="24957"/>
    <cellStyle name="Normal 56 4 2 2 3 3" xfId="16660"/>
    <cellStyle name="Normal 56 4 2 2 4" xfId="20817"/>
    <cellStyle name="Normal 56 4 2 2 5" xfId="12520"/>
    <cellStyle name="Normal 56 4 2 3" xfId="5242"/>
    <cellStyle name="Normal 56 4 2 3 2" xfId="9398"/>
    <cellStyle name="Normal 56 4 2 3 2 2" xfId="25995"/>
    <cellStyle name="Normal 56 4 2 3 2 3" xfId="17698"/>
    <cellStyle name="Normal 56 4 2 3 3" xfId="21855"/>
    <cellStyle name="Normal 56 4 2 3 4" xfId="13558"/>
    <cellStyle name="Normal 56 4 2 4" xfId="7326"/>
    <cellStyle name="Normal 56 4 2 4 2" xfId="23923"/>
    <cellStyle name="Normal 56 4 2 4 3" xfId="15626"/>
    <cellStyle name="Normal 56 4 2 5" xfId="19783"/>
    <cellStyle name="Normal 56 4 2 6" xfId="11486"/>
    <cellStyle name="Normal 56 4 3" xfId="3633"/>
    <cellStyle name="Normal 56 4 3 2" xfId="5761"/>
    <cellStyle name="Normal 56 4 3 2 2" xfId="9917"/>
    <cellStyle name="Normal 56 4 3 2 2 2" xfId="26514"/>
    <cellStyle name="Normal 56 4 3 2 2 3" xfId="18217"/>
    <cellStyle name="Normal 56 4 3 2 3" xfId="22374"/>
    <cellStyle name="Normal 56 4 3 2 4" xfId="14077"/>
    <cellStyle name="Normal 56 4 3 3" xfId="7845"/>
    <cellStyle name="Normal 56 4 3 3 2" xfId="24442"/>
    <cellStyle name="Normal 56 4 3 3 3" xfId="16145"/>
    <cellStyle name="Normal 56 4 3 4" xfId="20302"/>
    <cellStyle name="Normal 56 4 3 5" xfId="12005"/>
    <cellStyle name="Normal 56 4 4" xfId="4713"/>
    <cellStyle name="Normal 56 4 4 2" xfId="8881"/>
    <cellStyle name="Normal 56 4 4 2 2" xfId="25478"/>
    <cellStyle name="Normal 56 4 4 2 3" xfId="17181"/>
    <cellStyle name="Normal 56 4 4 3" xfId="21338"/>
    <cellStyle name="Normal 56 4 4 4" xfId="13041"/>
    <cellStyle name="Normal 56 4 5" xfId="6804"/>
    <cellStyle name="Normal 56 4 5 2" xfId="23408"/>
    <cellStyle name="Normal 56 4 5 3" xfId="15111"/>
    <cellStyle name="Normal 56 4 6" xfId="19265"/>
    <cellStyle name="Normal 56 4 7" xfId="10968"/>
    <cellStyle name="Normal 56 5" xfId="3100"/>
    <cellStyle name="Normal 56 5 2" xfId="4146"/>
    <cellStyle name="Normal 56 5 2 2" xfId="6271"/>
    <cellStyle name="Normal 56 5 2 2 2" xfId="10427"/>
    <cellStyle name="Normal 56 5 2 2 2 2" xfId="27024"/>
    <cellStyle name="Normal 56 5 2 2 2 3" xfId="18727"/>
    <cellStyle name="Normal 56 5 2 2 3" xfId="22884"/>
    <cellStyle name="Normal 56 5 2 2 4" xfId="14587"/>
    <cellStyle name="Normal 56 5 2 3" xfId="8355"/>
    <cellStyle name="Normal 56 5 2 3 2" xfId="24952"/>
    <cellStyle name="Normal 56 5 2 3 3" xfId="16655"/>
    <cellStyle name="Normal 56 5 2 4" xfId="20812"/>
    <cellStyle name="Normal 56 5 2 5" xfId="12515"/>
    <cellStyle name="Normal 56 5 3" xfId="5237"/>
    <cellStyle name="Normal 56 5 3 2" xfId="9393"/>
    <cellStyle name="Normal 56 5 3 2 2" xfId="25990"/>
    <cellStyle name="Normal 56 5 3 2 3" xfId="17693"/>
    <cellStyle name="Normal 56 5 3 3" xfId="21850"/>
    <cellStyle name="Normal 56 5 3 4" xfId="13553"/>
    <cellStyle name="Normal 56 5 4" xfId="7321"/>
    <cellStyle name="Normal 56 5 4 2" xfId="23918"/>
    <cellStyle name="Normal 56 5 4 3" xfId="15621"/>
    <cellStyle name="Normal 56 5 5" xfId="19778"/>
    <cellStyle name="Normal 56 5 6" xfId="11481"/>
    <cellStyle name="Normal 56 6" xfId="3628"/>
    <cellStyle name="Normal 56 6 2" xfId="5756"/>
    <cellStyle name="Normal 56 6 2 2" xfId="9912"/>
    <cellStyle name="Normal 56 6 2 2 2" xfId="26509"/>
    <cellStyle name="Normal 56 6 2 2 3" xfId="18212"/>
    <cellStyle name="Normal 56 6 2 3" xfId="22369"/>
    <cellStyle name="Normal 56 6 2 4" xfId="14072"/>
    <cellStyle name="Normal 56 6 3" xfId="7840"/>
    <cellStyle name="Normal 56 6 3 2" xfId="24437"/>
    <cellStyle name="Normal 56 6 3 3" xfId="16140"/>
    <cellStyle name="Normal 56 6 4" xfId="20297"/>
    <cellStyle name="Normal 56 6 5" xfId="12000"/>
    <cellStyle name="Normal 56 7" xfId="4708"/>
    <cellStyle name="Normal 56 7 2" xfId="8876"/>
    <cellStyle name="Normal 56 7 2 2" xfId="25473"/>
    <cellStyle name="Normal 56 7 2 3" xfId="17176"/>
    <cellStyle name="Normal 56 7 3" xfId="21333"/>
    <cellStyle name="Normal 56 7 4" xfId="13036"/>
    <cellStyle name="Normal 56 8" xfId="6799"/>
    <cellStyle name="Normal 56 8 2" xfId="23403"/>
    <cellStyle name="Normal 56 8 3" xfId="15106"/>
    <cellStyle name="Normal 56 9" xfId="19260"/>
    <cellStyle name="Normal 57" xfId="1773"/>
    <cellStyle name="Normal 57 10" xfId="10969"/>
    <cellStyle name="Normal 57 2" xfId="1774"/>
    <cellStyle name="Normal 57 2 2" xfId="1775"/>
    <cellStyle name="Normal 57 2 2 2" xfId="3108"/>
    <cellStyle name="Normal 57 2 2 2 2" xfId="4154"/>
    <cellStyle name="Normal 57 2 2 2 2 2" xfId="6279"/>
    <cellStyle name="Normal 57 2 2 2 2 2 2" xfId="10435"/>
    <cellStyle name="Normal 57 2 2 2 2 2 2 2" xfId="27032"/>
    <cellStyle name="Normal 57 2 2 2 2 2 2 3" xfId="18735"/>
    <cellStyle name="Normal 57 2 2 2 2 2 3" xfId="22892"/>
    <cellStyle name="Normal 57 2 2 2 2 2 4" xfId="14595"/>
    <cellStyle name="Normal 57 2 2 2 2 3" xfId="8363"/>
    <cellStyle name="Normal 57 2 2 2 2 3 2" xfId="24960"/>
    <cellStyle name="Normal 57 2 2 2 2 3 3" xfId="16663"/>
    <cellStyle name="Normal 57 2 2 2 2 4" xfId="20820"/>
    <cellStyle name="Normal 57 2 2 2 2 5" xfId="12523"/>
    <cellStyle name="Normal 57 2 2 2 3" xfId="5245"/>
    <cellStyle name="Normal 57 2 2 2 3 2" xfId="9401"/>
    <cellStyle name="Normal 57 2 2 2 3 2 2" xfId="25998"/>
    <cellStyle name="Normal 57 2 2 2 3 2 3" xfId="17701"/>
    <cellStyle name="Normal 57 2 2 2 3 3" xfId="21858"/>
    <cellStyle name="Normal 57 2 2 2 3 4" xfId="13561"/>
    <cellStyle name="Normal 57 2 2 2 4" xfId="7329"/>
    <cellStyle name="Normal 57 2 2 2 4 2" xfId="23926"/>
    <cellStyle name="Normal 57 2 2 2 4 3" xfId="15629"/>
    <cellStyle name="Normal 57 2 2 2 5" xfId="19786"/>
    <cellStyle name="Normal 57 2 2 2 6" xfId="11489"/>
    <cellStyle name="Normal 57 2 2 3" xfId="3636"/>
    <cellStyle name="Normal 57 2 2 3 2" xfId="5764"/>
    <cellStyle name="Normal 57 2 2 3 2 2" xfId="9920"/>
    <cellStyle name="Normal 57 2 2 3 2 2 2" xfId="26517"/>
    <cellStyle name="Normal 57 2 2 3 2 2 3" xfId="18220"/>
    <cellStyle name="Normal 57 2 2 3 2 3" xfId="22377"/>
    <cellStyle name="Normal 57 2 2 3 2 4" xfId="14080"/>
    <cellStyle name="Normal 57 2 2 3 3" xfId="7848"/>
    <cellStyle name="Normal 57 2 2 3 3 2" xfId="24445"/>
    <cellStyle name="Normal 57 2 2 3 3 3" xfId="16148"/>
    <cellStyle name="Normal 57 2 2 3 4" xfId="20305"/>
    <cellStyle name="Normal 57 2 2 3 5" xfId="12008"/>
    <cellStyle name="Normal 57 2 2 4" xfId="4716"/>
    <cellStyle name="Normal 57 2 2 4 2" xfId="8884"/>
    <cellStyle name="Normal 57 2 2 4 2 2" xfId="25481"/>
    <cellStyle name="Normal 57 2 2 4 2 3" xfId="17184"/>
    <cellStyle name="Normal 57 2 2 4 3" xfId="21341"/>
    <cellStyle name="Normal 57 2 2 4 4" xfId="13044"/>
    <cellStyle name="Normal 57 2 2 5" xfId="6807"/>
    <cellStyle name="Normal 57 2 2 5 2" xfId="23411"/>
    <cellStyle name="Normal 57 2 2 5 3" xfId="15114"/>
    <cellStyle name="Normal 57 2 2 6" xfId="19268"/>
    <cellStyle name="Normal 57 2 2 7" xfId="10971"/>
    <cellStyle name="Normal 57 2 3" xfId="3107"/>
    <cellStyle name="Normal 57 2 3 2" xfId="4153"/>
    <cellStyle name="Normal 57 2 3 2 2" xfId="6278"/>
    <cellStyle name="Normal 57 2 3 2 2 2" xfId="10434"/>
    <cellStyle name="Normal 57 2 3 2 2 2 2" xfId="27031"/>
    <cellStyle name="Normal 57 2 3 2 2 2 3" xfId="18734"/>
    <cellStyle name="Normal 57 2 3 2 2 3" xfId="22891"/>
    <cellStyle name="Normal 57 2 3 2 2 4" xfId="14594"/>
    <cellStyle name="Normal 57 2 3 2 3" xfId="8362"/>
    <cellStyle name="Normal 57 2 3 2 3 2" xfId="24959"/>
    <cellStyle name="Normal 57 2 3 2 3 3" xfId="16662"/>
    <cellStyle name="Normal 57 2 3 2 4" xfId="20819"/>
    <cellStyle name="Normal 57 2 3 2 5" xfId="12522"/>
    <cellStyle name="Normal 57 2 3 3" xfId="5244"/>
    <cellStyle name="Normal 57 2 3 3 2" xfId="9400"/>
    <cellStyle name="Normal 57 2 3 3 2 2" xfId="25997"/>
    <cellStyle name="Normal 57 2 3 3 2 3" xfId="17700"/>
    <cellStyle name="Normal 57 2 3 3 3" xfId="21857"/>
    <cellStyle name="Normal 57 2 3 3 4" xfId="13560"/>
    <cellStyle name="Normal 57 2 3 4" xfId="7328"/>
    <cellStyle name="Normal 57 2 3 4 2" xfId="23925"/>
    <cellStyle name="Normal 57 2 3 4 3" xfId="15628"/>
    <cellStyle name="Normal 57 2 3 5" xfId="19785"/>
    <cellStyle name="Normal 57 2 3 6" xfId="11488"/>
    <cellStyle name="Normal 57 2 4" xfId="3635"/>
    <cellStyle name="Normal 57 2 4 2" xfId="5763"/>
    <cellStyle name="Normal 57 2 4 2 2" xfId="9919"/>
    <cellStyle name="Normal 57 2 4 2 2 2" xfId="26516"/>
    <cellStyle name="Normal 57 2 4 2 2 3" xfId="18219"/>
    <cellStyle name="Normal 57 2 4 2 3" xfId="22376"/>
    <cellStyle name="Normal 57 2 4 2 4" xfId="14079"/>
    <cellStyle name="Normal 57 2 4 3" xfId="7847"/>
    <cellStyle name="Normal 57 2 4 3 2" xfId="24444"/>
    <cellStyle name="Normal 57 2 4 3 3" xfId="16147"/>
    <cellStyle name="Normal 57 2 4 4" xfId="20304"/>
    <cellStyle name="Normal 57 2 4 5" xfId="12007"/>
    <cellStyle name="Normal 57 2 5" xfId="4715"/>
    <cellStyle name="Normal 57 2 5 2" xfId="8883"/>
    <cellStyle name="Normal 57 2 5 2 2" xfId="25480"/>
    <cellStyle name="Normal 57 2 5 2 3" xfId="17183"/>
    <cellStyle name="Normal 57 2 5 3" xfId="21340"/>
    <cellStyle name="Normal 57 2 5 4" xfId="13043"/>
    <cellStyle name="Normal 57 2 6" xfId="6806"/>
    <cellStyle name="Normal 57 2 6 2" xfId="23410"/>
    <cellStyle name="Normal 57 2 6 3" xfId="15113"/>
    <cellStyle name="Normal 57 2 7" xfId="19267"/>
    <cellStyle name="Normal 57 2 8" xfId="10970"/>
    <cellStyle name="Normal 57 3" xfId="1776"/>
    <cellStyle name="Normal 57 3 2" xfId="1777"/>
    <cellStyle name="Normal 57 3 2 2" xfId="3110"/>
    <cellStyle name="Normal 57 3 2 2 2" xfId="4156"/>
    <cellStyle name="Normal 57 3 2 2 2 2" xfId="6281"/>
    <cellStyle name="Normal 57 3 2 2 2 2 2" xfId="10437"/>
    <cellStyle name="Normal 57 3 2 2 2 2 2 2" xfId="27034"/>
    <cellStyle name="Normal 57 3 2 2 2 2 2 3" xfId="18737"/>
    <cellStyle name="Normal 57 3 2 2 2 2 3" xfId="22894"/>
    <cellStyle name="Normal 57 3 2 2 2 2 4" xfId="14597"/>
    <cellStyle name="Normal 57 3 2 2 2 3" xfId="8365"/>
    <cellStyle name="Normal 57 3 2 2 2 3 2" xfId="24962"/>
    <cellStyle name="Normal 57 3 2 2 2 3 3" xfId="16665"/>
    <cellStyle name="Normal 57 3 2 2 2 4" xfId="20822"/>
    <cellStyle name="Normal 57 3 2 2 2 5" xfId="12525"/>
    <cellStyle name="Normal 57 3 2 2 3" xfId="5247"/>
    <cellStyle name="Normal 57 3 2 2 3 2" xfId="9403"/>
    <cellStyle name="Normal 57 3 2 2 3 2 2" xfId="26000"/>
    <cellStyle name="Normal 57 3 2 2 3 2 3" xfId="17703"/>
    <cellStyle name="Normal 57 3 2 2 3 3" xfId="21860"/>
    <cellStyle name="Normal 57 3 2 2 3 4" xfId="13563"/>
    <cellStyle name="Normal 57 3 2 2 4" xfId="7331"/>
    <cellStyle name="Normal 57 3 2 2 4 2" xfId="23928"/>
    <cellStyle name="Normal 57 3 2 2 4 3" xfId="15631"/>
    <cellStyle name="Normal 57 3 2 2 5" xfId="19788"/>
    <cellStyle name="Normal 57 3 2 2 6" xfId="11491"/>
    <cellStyle name="Normal 57 3 2 3" xfId="3638"/>
    <cellStyle name="Normal 57 3 2 3 2" xfId="5766"/>
    <cellStyle name="Normal 57 3 2 3 2 2" xfId="9922"/>
    <cellStyle name="Normal 57 3 2 3 2 2 2" xfId="26519"/>
    <cellStyle name="Normal 57 3 2 3 2 2 3" xfId="18222"/>
    <cellStyle name="Normal 57 3 2 3 2 3" xfId="22379"/>
    <cellStyle name="Normal 57 3 2 3 2 4" xfId="14082"/>
    <cellStyle name="Normal 57 3 2 3 3" xfId="7850"/>
    <cellStyle name="Normal 57 3 2 3 3 2" xfId="24447"/>
    <cellStyle name="Normal 57 3 2 3 3 3" xfId="16150"/>
    <cellStyle name="Normal 57 3 2 3 4" xfId="20307"/>
    <cellStyle name="Normal 57 3 2 3 5" xfId="12010"/>
    <cellStyle name="Normal 57 3 2 4" xfId="4718"/>
    <cellStyle name="Normal 57 3 2 4 2" xfId="8886"/>
    <cellStyle name="Normal 57 3 2 4 2 2" xfId="25483"/>
    <cellStyle name="Normal 57 3 2 4 2 3" xfId="17186"/>
    <cellStyle name="Normal 57 3 2 4 3" xfId="21343"/>
    <cellStyle name="Normal 57 3 2 4 4" xfId="13046"/>
    <cellStyle name="Normal 57 3 2 5" xfId="6809"/>
    <cellStyle name="Normal 57 3 2 5 2" xfId="23413"/>
    <cellStyle name="Normal 57 3 2 5 3" xfId="15116"/>
    <cellStyle name="Normal 57 3 2 6" xfId="19270"/>
    <cellStyle name="Normal 57 3 2 7" xfId="10973"/>
    <cellStyle name="Normal 57 3 3" xfId="3109"/>
    <cellStyle name="Normal 57 3 3 2" xfId="4155"/>
    <cellStyle name="Normal 57 3 3 2 2" xfId="6280"/>
    <cellStyle name="Normal 57 3 3 2 2 2" xfId="10436"/>
    <cellStyle name="Normal 57 3 3 2 2 2 2" xfId="27033"/>
    <cellStyle name="Normal 57 3 3 2 2 2 3" xfId="18736"/>
    <cellStyle name="Normal 57 3 3 2 2 3" xfId="22893"/>
    <cellStyle name="Normal 57 3 3 2 2 4" xfId="14596"/>
    <cellStyle name="Normal 57 3 3 2 3" xfId="8364"/>
    <cellStyle name="Normal 57 3 3 2 3 2" xfId="24961"/>
    <cellStyle name="Normal 57 3 3 2 3 3" xfId="16664"/>
    <cellStyle name="Normal 57 3 3 2 4" xfId="20821"/>
    <cellStyle name="Normal 57 3 3 2 5" xfId="12524"/>
    <cellStyle name="Normal 57 3 3 3" xfId="5246"/>
    <cellStyle name="Normal 57 3 3 3 2" xfId="9402"/>
    <cellStyle name="Normal 57 3 3 3 2 2" xfId="25999"/>
    <cellStyle name="Normal 57 3 3 3 2 3" xfId="17702"/>
    <cellStyle name="Normal 57 3 3 3 3" xfId="21859"/>
    <cellStyle name="Normal 57 3 3 3 4" xfId="13562"/>
    <cellStyle name="Normal 57 3 3 4" xfId="7330"/>
    <cellStyle name="Normal 57 3 3 4 2" xfId="23927"/>
    <cellStyle name="Normal 57 3 3 4 3" xfId="15630"/>
    <cellStyle name="Normal 57 3 3 5" xfId="19787"/>
    <cellStyle name="Normal 57 3 3 6" xfId="11490"/>
    <cellStyle name="Normal 57 3 4" xfId="3637"/>
    <cellStyle name="Normal 57 3 4 2" xfId="5765"/>
    <cellStyle name="Normal 57 3 4 2 2" xfId="9921"/>
    <cellStyle name="Normal 57 3 4 2 2 2" xfId="26518"/>
    <cellStyle name="Normal 57 3 4 2 2 3" xfId="18221"/>
    <cellStyle name="Normal 57 3 4 2 3" xfId="22378"/>
    <cellStyle name="Normal 57 3 4 2 4" xfId="14081"/>
    <cellStyle name="Normal 57 3 4 3" xfId="7849"/>
    <cellStyle name="Normal 57 3 4 3 2" xfId="24446"/>
    <cellStyle name="Normal 57 3 4 3 3" xfId="16149"/>
    <cellStyle name="Normal 57 3 4 4" xfId="20306"/>
    <cellStyle name="Normal 57 3 4 5" xfId="12009"/>
    <cellStyle name="Normal 57 3 5" xfId="4717"/>
    <cellStyle name="Normal 57 3 5 2" xfId="8885"/>
    <cellStyle name="Normal 57 3 5 2 2" xfId="25482"/>
    <cellStyle name="Normal 57 3 5 2 3" xfId="17185"/>
    <cellStyle name="Normal 57 3 5 3" xfId="21342"/>
    <cellStyle name="Normal 57 3 5 4" xfId="13045"/>
    <cellStyle name="Normal 57 3 6" xfId="6808"/>
    <cellStyle name="Normal 57 3 6 2" xfId="23412"/>
    <cellStyle name="Normal 57 3 6 3" xfId="15115"/>
    <cellStyle name="Normal 57 3 7" xfId="19269"/>
    <cellStyle name="Normal 57 3 8" xfId="10972"/>
    <cellStyle name="Normal 57 4" xfId="1778"/>
    <cellStyle name="Normal 57 4 2" xfId="3111"/>
    <cellStyle name="Normal 57 4 2 2" xfId="4157"/>
    <cellStyle name="Normal 57 4 2 2 2" xfId="6282"/>
    <cellStyle name="Normal 57 4 2 2 2 2" xfId="10438"/>
    <cellStyle name="Normal 57 4 2 2 2 2 2" xfId="27035"/>
    <cellStyle name="Normal 57 4 2 2 2 2 3" xfId="18738"/>
    <cellStyle name="Normal 57 4 2 2 2 3" xfId="22895"/>
    <cellStyle name="Normal 57 4 2 2 2 4" xfId="14598"/>
    <cellStyle name="Normal 57 4 2 2 3" xfId="8366"/>
    <cellStyle name="Normal 57 4 2 2 3 2" xfId="24963"/>
    <cellStyle name="Normal 57 4 2 2 3 3" xfId="16666"/>
    <cellStyle name="Normal 57 4 2 2 4" xfId="20823"/>
    <cellStyle name="Normal 57 4 2 2 5" xfId="12526"/>
    <cellStyle name="Normal 57 4 2 3" xfId="5248"/>
    <cellStyle name="Normal 57 4 2 3 2" xfId="9404"/>
    <cellStyle name="Normal 57 4 2 3 2 2" xfId="26001"/>
    <cellStyle name="Normal 57 4 2 3 2 3" xfId="17704"/>
    <cellStyle name="Normal 57 4 2 3 3" xfId="21861"/>
    <cellStyle name="Normal 57 4 2 3 4" xfId="13564"/>
    <cellStyle name="Normal 57 4 2 4" xfId="7332"/>
    <cellStyle name="Normal 57 4 2 4 2" xfId="23929"/>
    <cellStyle name="Normal 57 4 2 4 3" xfId="15632"/>
    <cellStyle name="Normal 57 4 2 5" xfId="19789"/>
    <cellStyle name="Normal 57 4 2 6" xfId="11492"/>
    <cellStyle name="Normal 57 4 3" xfId="3639"/>
    <cellStyle name="Normal 57 4 3 2" xfId="5767"/>
    <cellStyle name="Normal 57 4 3 2 2" xfId="9923"/>
    <cellStyle name="Normal 57 4 3 2 2 2" xfId="26520"/>
    <cellStyle name="Normal 57 4 3 2 2 3" xfId="18223"/>
    <cellStyle name="Normal 57 4 3 2 3" xfId="22380"/>
    <cellStyle name="Normal 57 4 3 2 4" xfId="14083"/>
    <cellStyle name="Normal 57 4 3 3" xfId="7851"/>
    <cellStyle name="Normal 57 4 3 3 2" xfId="24448"/>
    <cellStyle name="Normal 57 4 3 3 3" xfId="16151"/>
    <cellStyle name="Normal 57 4 3 4" xfId="20308"/>
    <cellStyle name="Normal 57 4 3 5" xfId="12011"/>
    <cellStyle name="Normal 57 4 4" xfId="4719"/>
    <cellStyle name="Normal 57 4 4 2" xfId="8887"/>
    <cellStyle name="Normal 57 4 4 2 2" xfId="25484"/>
    <cellStyle name="Normal 57 4 4 2 3" xfId="17187"/>
    <cellStyle name="Normal 57 4 4 3" xfId="21344"/>
    <cellStyle name="Normal 57 4 4 4" xfId="13047"/>
    <cellStyle name="Normal 57 4 5" xfId="6810"/>
    <cellStyle name="Normal 57 4 5 2" xfId="23414"/>
    <cellStyle name="Normal 57 4 5 3" xfId="15117"/>
    <cellStyle name="Normal 57 4 6" xfId="19271"/>
    <cellStyle name="Normal 57 4 7" xfId="10974"/>
    <cellStyle name="Normal 57 5" xfId="3106"/>
    <cellStyle name="Normal 57 5 2" xfId="4152"/>
    <cellStyle name="Normal 57 5 2 2" xfId="6277"/>
    <cellStyle name="Normal 57 5 2 2 2" xfId="10433"/>
    <cellStyle name="Normal 57 5 2 2 2 2" xfId="27030"/>
    <cellStyle name="Normal 57 5 2 2 2 3" xfId="18733"/>
    <cellStyle name="Normal 57 5 2 2 3" xfId="22890"/>
    <cellStyle name="Normal 57 5 2 2 4" xfId="14593"/>
    <cellStyle name="Normal 57 5 2 3" xfId="8361"/>
    <cellStyle name="Normal 57 5 2 3 2" xfId="24958"/>
    <cellStyle name="Normal 57 5 2 3 3" xfId="16661"/>
    <cellStyle name="Normal 57 5 2 4" xfId="20818"/>
    <cellStyle name="Normal 57 5 2 5" xfId="12521"/>
    <cellStyle name="Normal 57 5 3" xfId="5243"/>
    <cellStyle name="Normal 57 5 3 2" xfId="9399"/>
    <cellStyle name="Normal 57 5 3 2 2" xfId="25996"/>
    <cellStyle name="Normal 57 5 3 2 3" xfId="17699"/>
    <cellStyle name="Normal 57 5 3 3" xfId="21856"/>
    <cellStyle name="Normal 57 5 3 4" xfId="13559"/>
    <cellStyle name="Normal 57 5 4" xfId="7327"/>
    <cellStyle name="Normal 57 5 4 2" xfId="23924"/>
    <cellStyle name="Normal 57 5 4 3" xfId="15627"/>
    <cellStyle name="Normal 57 5 5" xfId="19784"/>
    <cellStyle name="Normal 57 5 6" xfId="11487"/>
    <cellStyle name="Normal 57 6" xfId="3634"/>
    <cellStyle name="Normal 57 6 2" xfId="5762"/>
    <cellStyle name="Normal 57 6 2 2" xfId="9918"/>
    <cellStyle name="Normal 57 6 2 2 2" xfId="26515"/>
    <cellStyle name="Normal 57 6 2 2 3" xfId="18218"/>
    <cellStyle name="Normal 57 6 2 3" xfId="22375"/>
    <cellStyle name="Normal 57 6 2 4" xfId="14078"/>
    <cellStyle name="Normal 57 6 3" xfId="7846"/>
    <cellStyle name="Normal 57 6 3 2" xfId="24443"/>
    <cellStyle name="Normal 57 6 3 3" xfId="16146"/>
    <cellStyle name="Normal 57 6 4" xfId="20303"/>
    <cellStyle name="Normal 57 6 5" xfId="12006"/>
    <cellStyle name="Normal 57 7" xfId="4714"/>
    <cellStyle name="Normal 57 7 2" xfId="8882"/>
    <cellStyle name="Normal 57 7 2 2" xfId="25479"/>
    <cellStyle name="Normal 57 7 2 3" xfId="17182"/>
    <cellStyle name="Normal 57 7 3" xfId="21339"/>
    <cellStyle name="Normal 57 7 4" xfId="13042"/>
    <cellStyle name="Normal 57 8" xfId="6805"/>
    <cellStyle name="Normal 57 8 2" xfId="23409"/>
    <cellStyle name="Normal 57 8 3" xfId="15112"/>
    <cellStyle name="Normal 57 9" xfId="19266"/>
    <cellStyle name="Normal 58" xfId="1779"/>
    <cellStyle name="Normal 58 10" xfId="10975"/>
    <cellStyle name="Normal 58 2" xfId="1780"/>
    <cellStyle name="Normal 58 2 2" xfId="1781"/>
    <cellStyle name="Normal 58 2 2 2" xfId="3114"/>
    <cellStyle name="Normal 58 2 2 2 2" xfId="4160"/>
    <cellStyle name="Normal 58 2 2 2 2 2" xfId="6285"/>
    <cellStyle name="Normal 58 2 2 2 2 2 2" xfId="10441"/>
    <cellStyle name="Normal 58 2 2 2 2 2 2 2" xfId="27038"/>
    <cellStyle name="Normal 58 2 2 2 2 2 2 3" xfId="18741"/>
    <cellStyle name="Normal 58 2 2 2 2 2 3" xfId="22898"/>
    <cellStyle name="Normal 58 2 2 2 2 2 4" xfId="14601"/>
    <cellStyle name="Normal 58 2 2 2 2 3" xfId="8369"/>
    <cellStyle name="Normal 58 2 2 2 2 3 2" xfId="24966"/>
    <cellStyle name="Normal 58 2 2 2 2 3 3" xfId="16669"/>
    <cellStyle name="Normal 58 2 2 2 2 4" xfId="20826"/>
    <cellStyle name="Normal 58 2 2 2 2 5" xfId="12529"/>
    <cellStyle name="Normal 58 2 2 2 3" xfId="5251"/>
    <cellStyle name="Normal 58 2 2 2 3 2" xfId="9407"/>
    <cellStyle name="Normal 58 2 2 2 3 2 2" xfId="26004"/>
    <cellStyle name="Normal 58 2 2 2 3 2 3" xfId="17707"/>
    <cellStyle name="Normal 58 2 2 2 3 3" xfId="21864"/>
    <cellStyle name="Normal 58 2 2 2 3 4" xfId="13567"/>
    <cellStyle name="Normal 58 2 2 2 4" xfId="7335"/>
    <cellStyle name="Normal 58 2 2 2 4 2" xfId="23932"/>
    <cellStyle name="Normal 58 2 2 2 4 3" xfId="15635"/>
    <cellStyle name="Normal 58 2 2 2 5" xfId="19792"/>
    <cellStyle name="Normal 58 2 2 2 6" xfId="11495"/>
    <cellStyle name="Normal 58 2 2 3" xfId="3642"/>
    <cellStyle name="Normal 58 2 2 3 2" xfId="5770"/>
    <cellStyle name="Normal 58 2 2 3 2 2" xfId="9926"/>
    <cellStyle name="Normal 58 2 2 3 2 2 2" xfId="26523"/>
    <cellStyle name="Normal 58 2 2 3 2 2 3" xfId="18226"/>
    <cellStyle name="Normal 58 2 2 3 2 3" xfId="22383"/>
    <cellStyle name="Normal 58 2 2 3 2 4" xfId="14086"/>
    <cellStyle name="Normal 58 2 2 3 3" xfId="7854"/>
    <cellStyle name="Normal 58 2 2 3 3 2" xfId="24451"/>
    <cellStyle name="Normal 58 2 2 3 3 3" xfId="16154"/>
    <cellStyle name="Normal 58 2 2 3 4" xfId="20311"/>
    <cellStyle name="Normal 58 2 2 3 5" xfId="12014"/>
    <cellStyle name="Normal 58 2 2 4" xfId="4722"/>
    <cellStyle name="Normal 58 2 2 4 2" xfId="8890"/>
    <cellStyle name="Normal 58 2 2 4 2 2" xfId="25487"/>
    <cellStyle name="Normal 58 2 2 4 2 3" xfId="17190"/>
    <cellStyle name="Normal 58 2 2 4 3" xfId="21347"/>
    <cellStyle name="Normal 58 2 2 4 4" xfId="13050"/>
    <cellStyle name="Normal 58 2 2 5" xfId="6813"/>
    <cellStyle name="Normal 58 2 2 5 2" xfId="23417"/>
    <cellStyle name="Normal 58 2 2 5 3" xfId="15120"/>
    <cellStyle name="Normal 58 2 2 6" xfId="19274"/>
    <cellStyle name="Normal 58 2 2 7" xfId="10977"/>
    <cellStyle name="Normal 58 2 3" xfId="3113"/>
    <cellStyle name="Normal 58 2 3 2" xfId="4159"/>
    <cellStyle name="Normal 58 2 3 2 2" xfId="6284"/>
    <cellStyle name="Normal 58 2 3 2 2 2" xfId="10440"/>
    <cellStyle name="Normal 58 2 3 2 2 2 2" xfId="27037"/>
    <cellStyle name="Normal 58 2 3 2 2 2 3" xfId="18740"/>
    <cellStyle name="Normal 58 2 3 2 2 3" xfId="22897"/>
    <cellStyle name="Normal 58 2 3 2 2 4" xfId="14600"/>
    <cellStyle name="Normal 58 2 3 2 3" xfId="8368"/>
    <cellStyle name="Normal 58 2 3 2 3 2" xfId="24965"/>
    <cellStyle name="Normal 58 2 3 2 3 3" xfId="16668"/>
    <cellStyle name="Normal 58 2 3 2 4" xfId="20825"/>
    <cellStyle name="Normal 58 2 3 2 5" xfId="12528"/>
    <cellStyle name="Normal 58 2 3 3" xfId="5250"/>
    <cellStyle name="Normal 58 2 3 3 2" xfId="9406"/>
    <cellStyle name="Normal 58 2 3 3 2 2" xfId="26003"/>
    <cellStyle name="Normal 58 2 3 3 2 3" xfId="17706"/>
    <cellStyle name="Normal 58 2 3 3 3" xfId="21863"/>
    <cellStyle name="Normal 58 2 3 3 4" xfId="13566"/>
    <cellStyle name="Normal 58 2 3 4" xfId="7334"/>
    <cellStyle name="Normal 58 2 3 4 2" xfId="23931"/>
    <cellStyle name="Normal 58 2 3 4 3" xfId="15634"/>
    <cellStyle name="Normal 58 2 3 5" xfId="19791"/>
    <cellStyle name="Normal 58 2 3 6" xfId="11494"/>
    <cellStyle name="Normal 58 2 4" xfId="3641"/>
    <cellStyle name="Normal 58 2 4 2" xfId="5769"/>
    <cellStyle name="Normal 58 2 4 2 2" xfId="9925"/>
    <cellStyle name="Normal 58 2 4 2 2 2" xfId="26522"/>
    <cellStyle name="Normal 58 2 4 2 2 3" xfId="18225"/>
    <cellStyle name="Normal 58 2 4 2 3" xfId="22382"/>
    <cellStyle name="Normal 58 2 4 2 4" xfId="14085"/>
    <cellStyle name="Normal 58 2 4 3" xfId="7853"/>
    <cellStyle name="Normal 58 2 4 3 2" xfId="24450"/>
    <cellStyle name="Normal 58 2 4 3 3" xfId="16153"/>
    <cellStyle name="Normal 58 2 4 4" xfId="20310"/>
    <cellStyle name="Normal 58 2 4 5" xfId="12013"/>
    <cellStyle name="Normal 58 2 5" xfId="4721"/>
    <cellStyle name="Normal 58 2 5 2" xfId="8889"/>
    <cellStyle name="Normal 58 2 5 2 2" xfId="25486"/>
    <cellStyle name="Normal 58 2 5 2 3" xfId="17189"/>
    <cellStyle name="Normal 58 2 5 3" xfId="21346"/>
    <cellStyle name="Normal 58 2 5 4" xfId="13049"/>
    <cellStyle name="Normal 58 2 6" xfId="6812"/>
    <cellStyle name="Normal 58 2 6 2" xfId="23416"/>
    <cellStyle name="Normal 58 2 6 3" xfId="15119"/>
    <cellStyle name="Normal 58 2 7" xfId="19273"/>
    <cellStyle name="Normal 58 2 8" xfId="10976"/>
    <cellStyle name="Normal 58 3" xfId="1782"/>
    <cellStyle name="Normal 58 3 2" xfId="1783"/>
    <cellStyle name="Normal 58 3 2 2" xfId="3116"/>
    <cellStyle name="Normal 58 3 2 2 2" xfId="4162"/>
    <cellStyle name="Normal 58 3 2 2 2 2" xfId="6287"/>
    <cellStyle name="Normal 58 3 2 2 2 2 2" xfId="10443"/>
    <cellStyle name="Normal 58 3 2 2 2 2 2 2" xfId="27040"/>
    <cellStyle name="Normal 58 3 2 2 2 2 2 3" xfId="18743"/>
    <cellStyle name="Normal 58 3 2 2 2 2 3" xfId="22900"/>
    <cellStyle name="Normal 58 3 2 2 2 2 4" xfId="14603"/>
    <cellStyle name="Normal 58 3 2 2 2 3" xfId="8371"/>
    <cellStyle name="Normal 58 3 2 2 2 3 2" xfId="24968"/>
    <cellStyle name="Normal 58 3 2 2 2 3 3" xfId="16671"/>
    <cellStyle name="Normal 58 3 2 2 2 4" xfId="20828"/>
    <cellStyle name="Normal 58 3 2 2 2 5" xfId="12531"/>
    <cellStyle name="Normal 58 3 2 2 3" xfId="5253"/>
    <cellStyle name="Normal 58 3 2 2 3 2" xfId="9409"/>
    <cellStyle name="Normal 58 3 2 2 3 2 2" xfId="26006"/>
    <cellStyle name="Normal 58 3 2 2 3 2 3" xfId="17709"/>
    <cellStyle name="Normal 58 3 2 2 3 3" xfId="21866"/>
    <cellStyle name="Normal 58 3 2 2 3 4" xfId="13569"/>
    <cellStyle name="Normal 58 3 2 2 4" xfId="7337"/>
    <cellStyle name="Normal 58 3 2 2 4 2" xfId="23934"/>
    <cellStyle name="Normal 58 3 2 2 4 3" xfId="15637"/>
    <cellStyle name="Normal 58 3 2 2 5" xfId="19794"/>
    <cellStyle name="Normal 58 3 2 2 6" xfId="11497"/>
    <cellStyle name="Normal 58 3 2 3" xfId="3644"/>
    <cellStyle name="Normal 58 3 2 3 2" xfId="5772"/>
    <cellStyle name="Normal 58 3 2 3 2 2" xfId="9928"/>
    <cellStyle name="Normal 58 3 2 3 2 2 2" xfId="26525"/>
    <cellStyle name="Normal 58 3 2 3 2 2 3" xfId="18228"/>
    <cellStyle name="Normal 58 3 2 3 2 3" xfId="22385"/>
    <cellStyle name="Normal 58 3 2 3 2 4" xfId="14088"/>
    <cellStyle name="Normal 58 3 2 3 3" xfId="7856"/>
    <cellStyle name="Normal 58 3 2 3 3 2" xfId="24453"/>
    <cellStyle name="Normal 58 3 2 3 3 3" xfId="16156"/>
    <cellStyle name="Normal 58 3 2 3 4" xfId="20313"/>
    <cellStyle name="Normal 58 3 2 3 5" xfId="12016"/>
    <cellStyle name="Normal 58 3 2 4" xfId="4724"/>
    <cellStyle name="Normal 58 3 2 4 2" xfId="8892"/>
    <cellStyle name="Normal 58 3 2 4 2 2" xfId="25489"/>
    <cellStyle name="Normal 58 3 2 4 2 3" xfId="17192"/>
    <cellStyle name="Normal 58 3 2 4 3" xfId="21349"/>
    <cellStyle name="Normal 58 3 2 4 4" xfId="13052"/>
    <cellStyle name="Normal 58 3 2 5" xfId="6815"/>
    <cellStyle name="Normal 58 3 2 5 2" xfId="23419"/>
    <cellStyle name="Normal 58 3 2 5 3" xfId="15122"/>
    <cellStyle name="Normal 58 3 2 6" xfId="19276"/>
    <cellStyle name="Normal 58 3 2 7" xfId="10979"/>
    <cellStyle name="Normal 58 3 3" xfId="3115"/>
    <cellStyle name="Normal 58 3 3 2" xfId="4161"/>
    <cellStyle name="Normal 58 3 3 2 2" xfId="6286"/>
    <cellStyle name="Normal 58 3 3 2 2 2" xfId="10442"/>
    <cellStyle name="Normal 58 3 3 2 2 2 2" xfId="27039"/>
    <cellStyle name="Normal 58 3 3 2 2 2 3" xfId="18742"/>
    <cellStyle name="Normal 58 3 3 2 2 3" xfId="22899"/>
    <cellStyle name="Normal 58 3 3 2 2 4" xfId="14602"/>
    <cellStyle name="Normal 58 3 3 2 3" xfId="8370"/>
    <cellStyle name="Normal 58 3 3 2 3 2" xfId="24967"/>
    <cellStyle name="Normal 58 3 3 2 3 3" xfId="16670"/>
    <cellStyle name="Normal 58 3 3 2 4" xfId="20827"/>
    <cellStyle name="Normal 58 3 3 2 5" xfId="12530"/>
    <cellStyle name="Normal 58 3 3 3" xfId="5252"/>
    <cellStyle name="Normal 58 3 3 3 2" xfId="9408"/>
    <cellStyle name="Normal 58 3 3 3 2 2" xfId="26005"/>
    <cellStyle name="Normal 58 3 3 3 2 3" xfId="17708"/>
    <cellStyle name="Normal 58 3 3 3 3" xfId="21865"/>
    <cellStyle name="Normal 58 3 3 3 4" xfId="13568"/>
    <cellStyle name="Normal 58 3 3 4" xfId="7336"/>
    <cellStyle name="Normal 58 3 3 4 2" xfId="23933"/>
    <cellStyle name="Normal 58 3 3 4 3" xfId="15636"/>
    <cellStyle name="Normal 58 3 3 5" xfId="19793"/>
    <cellStyle name="Normal 58 3 3 6" xfId="11496"/>
    <cellStyle name="Normal 58 3 4" xfId="3643"/>
    <cellStyle name="Normal 58 3 4 2" xfId="5771"/>
    <cellStyle name="Normal 58 3 4 2 2" xfId="9927"/>
    <cellStyle name="Normal 58 3 4 2 2 2" xfId="26524"/>
    <cellStyle name="Normal 58 3 4 2 2 3" xfId="18227"/>
    <cellStyle name="Normal 58 3 4 2 3" xfId="22384"/>
    <cellStyle name="Normal 58 3 4 2 4" xfId="14087"/>
    <cellStyle name="Normal 58 3 4 3" xfId="7855"/>
    <cellStyle name="Normal 58 3 4 3 2" xfId="24452"/>
    <cellStyle name="Normal 58 3 4 3 3" xfId="16155"/>
    <cellStyle name="Normal 58 3 4 4" xfId="20312"/>
    <cellStyle name="Normal 58 3 4 5" xfId="12015"/>
    <cellStyle name="Normal 58 3 5" xfId="4723"/>
    <cellStyle name="Normal 58 3 5 2" xfId="8891"/>
    <cellStyle name="Normal 58 3 5 2 2" xfId="25488"/>
    <cellStyle name="Normal 58 3 5 2 3" xfId="17191"/>
    <cellStyle name="Normal 58 3 5 3" xfId="21348"/>
    <cellStyle name="Normal 58 3 5 4" xfId="13051"/>
    <cellStyle name="Normal 58 3 6" xfId="6814"/>
    <cellStyle name="Normal 58 3 6 2" xfId="23418"/>
    <cellStyle name="Normal 58 3 6 3" xfId="15121"/>
    <cellStyle name="Normal 58 3 7" xfId="19275"/>
    <cellStyle name="Normal 58 3 8" xfId="10978"/>
    <cellStyle name="Normal 58 4" xfId="1784"/>
    <cellStyle name="Normal 58 4 2" xfId="3117"/>
    <cellStyle name="Normal 58 4 2 2" xfId="4163"/>
    <cellStyle name="Normal 58 4 2 2 2" xfId="6288"/>
    <cellStyle name="Normal 58 4 2 2 2 2" xfId="10444"/>
    <cellStyle name="Normal 58 4 2 2 2 2 2" xfId="27041"/>
    <cellStyle name="Normal 58 4 2 2 2 2 3" xfId="18744"/>
    <cellStyle name="Normal 58 4 2 2 2 3" xfId="22901"/>
    <cellStyle name="Normal 58 4 2 2 2 4" xfId="14604"/>
    <cellStyle name="Normal 58 4 2 2 3" xfId="8372"/>
    <cellStyle name="Normal 58 4 2 2 3 2" xfId="24969"/>
    <cellStyle name="Normal 58 4 2 2 3 3" xfId="16672"/>
    <cellStyle name="Normal 58 4 2 2 4" xfId="20829"/>
    <cellStyle name="Normal 58 4 2 2 5" xfId="12532"/>
    <cellStyle name="Normal 58 4 2 3" xfId="5254"/>
    <cellStyle name="Normal 58 4 2 3 2" xfId="9410"/>
    <cellStyle name="Normal 58 4 2 3 2 2" xfId="26007"/>
    <cellStyle name="Normal 58 4 2 3 2 3" xfId="17710"/>
    <cellStyle name="Normal 58 4 2 3 3" xfId="21867"/>
    <cellStyle name="Normal 58 4 2 3 4" xfId="13570"/>
    <cellStyle name="Normal 58 4 2 4" xfId="7338"/>
    <cellStyle name="Normal 58 4 2 4 2" xfId="23935"/>
    <cellStyle name="Normal 58 4 2 4 3" xfId="15638"/>
    <cellStyle name="Normal 58 4 2 5" xfId="19795"/>
    <cellStyle name="Normal 58 4 2 6" xfId="11498"/>
    <cellStyle name="Normal 58 4 3" xfId="3645"/>
    <cellStyle name="Normal 58 4 3 2" xfId="5773"/>
    <cellStyle name="Normal 58 4 3 2 2" xfId="9929"/>
    <cellStyle name="Normal 58 4 3 2 2 2" xfId="26526"/>
    <cellStyle name="Normal 58 4 3 2 2 3" xfId="18229"/>
    <cellStyle name="Normal 58 4 3 2 3" xfId="22386"/>
    <cellStyle name="Normal 58 4 3 2 4" xfId="14089"/>
    <cellStyle name="Normal 58 4 3 3" xfId="7857"/>
    <cellStyle name="Normal 58 4 3 3 2" xfId="24454"/>
    <cellStyle name="Normal 58 4 3 3 3" xfId="16157"/>
    <cellStyle name="Normal 58 4 3 4" xfId="20314"/>
    <cellStyle name="Normal 58 4 3 5" xfId="12017"/>
    <cellStyle name="Normal 58 4 4" xfId="4725"/>
    <cellStyle name="Normal 58 4 4 2" xfId="8893"/>
    <cellStyle name="Normal 58 4 4 2 2" xfId="25490"/>
    <cellStyle name="Normal 58 4 4 2 3" xfId="17193"/>
    <cellStyle name="Normal 58 4 4 3" xfId="21350"/>
    <cellStyle name="Normal 58 4 4 4" xfId="13053"/>
    <cellStyle name="Normal 58 4 5" xfId="6816"/>
    <cellStyle name="Normal 58 4 5 2" xfId="23420"/>
    <cellStyle name="Normal 58 4 5 3" xfId="15123"/>
    <cellStyle name="Normal 58 4 6" xfId="19277"/>
    <cellStyle name="Normal 58 4 7" xfId="10980"/>
    <cellStyle name="Normal 58 5" xfId="3112"/>
    <cellStyle name="Normal 58 5 2" xfId="4158"/>
    <cellStyle name="Normal 58 5 2 2" xfId="6283"/>
    <cellStyle name="Normal 58 5 2 2 2" xfId="10439"/>
    <cellStyle name="Normal 58 5 2 2 2 2" xfId="27036"/>
    <cellStyle name="Normal 58 5 2 2 2 3" xfId="18739"/>
    <cellStyle name="Normal 58 5 2 2 3" xfId="22896"/>
    <cellStyle name="Normal 58 5 2 2 4" xfId="14599"/>
    <cellStyle name="Normal 58 5 2 3" xfId="8367"/>
    <cellStyle name="Normal 58 5 2 3 2" xfId="24964"/>
    <cellStyle name="Normal 58 5 2 3 3" xfId="16667"/>
    <cellStyle name="Normal 58 5 2 4" xfId="20824"/>
    <cellStyle name="Normal 58 5 2 5" xfId="12527"/>
    <cellStyle name="Normal 58 5 3" xfId="5249"/>
    <cellStyle name="Normal 58 5 3 2" xfId="9405"/>
    <cellStyle name="Normal 58 5 3 2 2" xfId="26002"/>
    <cellStyle name="Normal 58 5 3 2 3" xfId="17705"/>
    <cellStyle name="Normal 58 5 3 3" xfId="21862"/>
    <cellStyle name="Normal 58 5 3 4" xfId="13565"/>
    <cellStyle name="Normal 58 5 4" xfId="7333"/>
    <cellStyle name="Normal 58 5 4 2" xfId="23930"/>
    <cellStyle name="Normal 58 5 4 3" xfId="15633"/>
    <cellStyle name="Normal 58 5 5" xfId="19790"/>
    <cellStyle name="Normal 58 5 6" xfId="11493"/>
    <cellStyle name="Normal 58 6" xfId="3640"/>
    <cellStyle name="Normal 58 6 2" xfId="5768"/>
    <cellStyle name="Normal 58 6 2 2" xfId="9924"/>
    <cellStyle name="Normal 58 6 2 2 2" xfId="26521"/>
    <cellStyle name="Normal 58 6 2 2 3" xfId="18224"/>
    <cellStyle name="Normal 58 6 2 3" xfId="22381"/>
    <cellStyle name="Normal 58 6 2 4" xfId="14084"/>
    <cellStyle name="Normal 58 6 3" xfId="7852"/>
    <cellStyle name="Normal 58 6 3 2" xfId="24449"/>
    <cellStyle name="Normal 58 6 3 3" xfId="16152"/>
    <cellStyle name="Normal 58 6 4" xfId="20309"/>
    <cellStyle name="Normal 58 6 5" xfId="12012"/>
    <cellStyle name="Normal 58 7" xfId="4720"/>
    <cellStyle name="Normal 58 7 2" xfId="8888"/>
    <cellStyle name="Normal 58 7 2 2" xfId="25485"/>
    <cellStyle name="Normal 58 7 2 3" xfId="17188"/>
    <cellStyle name="Normal 58 7 3" xfId="21345"/>
    <cellStyle name="Normal 58 7 4" xfId="13048"/>
    <cellStyle name="Normal 58 8" xfId="6811"/>
    <cellStyle name="Normal 58 8 2" xfId="23415"/>
    <cellStyle name="Normal 58 8 3" xfId="15118"/>
    <cellStyle name="Normal 58 9" xfId="19272"/>
    <cellStyle name="Normal 59" xfId="1785"/>
    <cellStyle name="Normal 59 10" xfId="10981"/>
    <cellStyle name="Normal 59 2" xfId="1786"/>
    <cellStyle name="Normal 59 2 2" xfId="1787"/>
    <cellStyle name="Normal 59 2 2 2" xfId="3120"/>
    <cellStyle name="Normal 59 2 2 2 2" xfId="4166"/>
    <cellStyle name="Normal 59 2 2 2 2 2" xfId="6291"/>
    <cellStyle name="Normal 59 2 2 2 2 2 2" xfId="10447"/>
    <cellStyle name="Normal 59 2 2 2 2 2 2 2" xfId="27044"/>
    <cellStyle name="Normal 59 2 2 2 2 2 2 3" xfId="18747"/>
    <cellStyle name="Normal 59 2 2 2 2 2 3" xfId="22904"/>
    <cellStyle name="Normal 59 2 2 2 2 2 4" xfId="14607"/>
    <cellStyle name="Normal 59 2 2 2 2 3" xfId="8375"/>
    <cellStyle name="Normal 59 2 2 2 2 3 2" xfId="24972"/>
    <cellStyle name="Normal 59 2 2 2 2 3 3" xfId="16675"/>
    <cellStyle name="Normal 59 2 2 2 2 4" xfId="20832"/>
    <cellStyle name="Normal 59 2 2 2 2 5" xfId="12535"/>
    <cellStyle name="Normal 59 2 2 2 3" xfId="5257"/>
    <cellStyle name="Normal 59 2 2 2 3 2" xfId="9413"/>
    <cellStyle name="Normal 59 2 2 2 3 2 2" xfId="26010"/>
    <cellStyle name="Normal 59 2 2 2 3 2 3" xfId="17713"/>
    <cellStyle name="Normal 59 2 2 2 3 3" xfId="21870"/>
    <cellStyle name="Normal 59 2 2 2 3 4" xfId="13573"/>
    <cellStyle name="Normal 59 2 2 2 4" xfId="7341"/>
    <cellStyle name="Normal 59 2 2 2 4 2" xfId="23938"/>
    <cellStyle name="Normal 59 2 2 2 4 3" xfId="15641"/>
    <cellStyle name="Normal 59 2 2 2 5" xfId="19798"/>
    <cellStyle name="Normal 59 2 2 2 6" xfId="11501"/>
    <cellStyle name="Normal 59 2 2 3" xfId="3648"/>
    <cellStyle name="Normal 59 2 2 3 2" xfId="5776"/>
    <cellStyle name="Normal 59 2 2 3 2 2" xfId="9932"/>
    <cellStyle name="Normal 59 2 2 3 2 2 2" xfId="26529"/>
    <cellStyle name="Normal 59 2 2 3 2 2 3" xfId="18232"/>
    <cellStyle name="Normal 59 2 2 3 2 3" xfId="22389"/>
    <cellStyle name="Normal 59 2 2 3 2 4" xfId="14092"/>
    <cellStyle name="Normal 59 2 2 3 3" xfId="7860"/>
    <cellStyle name="Normal 59 2 2 3 3 2" xfId="24457"/>
    <cellStyle name="Normal 59 2 2 3 3 3" xfId="16160"/>
    <cellStyle name="Normal 59 2 2 3 4" xfId="20317"/>
    <cellStyle name="Normal 59 2 2 3 5" xfId="12020"/>
    <cellStyle name="Normal 59 2 2 4" xfId="4728"/>
    <cellStyle name="Normal 59 2 2 4 2" xfId="8896"/>
    <cellStyle name="Normal 59 2 2 4 2 2" xfId="25493"/>
    <cellStyle name="Normal 59 2 2 4 2 3" xfId="17196"/>
    <cellStyle name="Normal 59 2 2 4 3" xfId="21353"/>
    <cellStyle name="Normal 59 2 2 4 4" xfId="13056"/>
    <cellStyle name="Normal 59 2 2 5" xfId="6819"/>
    <cellStyle name="Normal 59 2 2 5 2" xfId="23423"/>
    <cellStyle name="Normal 59 2 2 5 3" xfId="15126"/>
    <cellStyle name="Normal 59 2 2 6" xfId="19280"/>
    <cellStyle name="Normal 59 2 2 7" xfId="10983"/>
    <cellStyle name="Normal 59 2 3" xfId="3119"/>
    <cellStyle name="Normal 59 2 3 2" xfId="4165"/>
    <cellStyle name="Normal 59 2 3 2 2" xfId="6290"/>
    <cellStyle name="Normal 59 2 3 2 2 2" xfId="10446"/>
    <cellStyle name="Normal 59 2 3 2 2 2 2" xfId="27043"/>
    <cellStyle name="Normal 59 2 3 2 2 2 3" xfId="18746"/>
    <cellStyle name="Normal 59 2 3 2 2 3" xfId="22903"/>
    <cellStyle name="Normal 59 2 3 2 2 4" xfId="14606"/>
    <cellStyle name="Normal 59 2 3 2 3" xfId="8374"/>
    <cellStyle name="Normal 59 2 3 2 3 2" xfId="24971"/>
    <cellStyle name="Normal 59 2 3 2 3 3" xfId="16674"/>
    <cellStyle name="Normal 59 2 3 2 4" xfId="20831"/>
    <cellStyle name="Normal 59 2 3 2 5" xfId="12534"/>
    <cellStyle name="Normal 59 2 3 3" xfId="5256"/>
    <cellStyle name="Normal 59 2 3 3 2" xfId="9412"/>
    <cellStyle name="Normal 59 2 3 3 2 2" xfId="26009"/>
    <cellStyle name="Normal 59 2 3 3 2 3" xfId="17712"/>
    <cellStyle name="Normal 59 2 3 3 3" xfId="21869"/>
    <cellStyle name="Normal 59 2 3 3 4" xfId="13572"/>
    <cellStyle name="Normal 59 2 3 4" xfId="7340"/>
    <cellStyle name="Normal 59 2 3 4 2" xfId="23937"/>
    <cellStyle name="Normal 59 2 3 4 3" xfId="15640"/>
    <cellStyle name="Normal 59 2 3 5" xfId="19797"/>
    <cellStyle name="Normal 59 2 3 6" xfId="11500"/>
    <cellStyle name="Normal 59 2 4" xfId="3647"/>
    <cellStyle name="Normal 59 2 4 2" xfId="5775"/>
    <cellStyle name="Normal 59 2 4 2 2" xfId="9931"/>
    <cellStyle name="Normal 59 2 4 2 2 2" xfId="26528"/>
    <cellStyle name="Normal 59 2 4 2 2 3" xfId="18231"/>
    <cellStyle name="Normal 59 2 4 2 3" xfId="22388"/>
    <cellStyle name="Normal 59 2 4 2 4" xfId="14091"/>
    <cellStyle name="Normal 59 2 4 3" xfId="7859"/>
    <cellStyle name="Normal 59 2 4 3 2" xfId="24456"/>
    <cellStyle name="Normal 59 2 4 3 3" xfId="16159"/>
    <cellStyle name="Normal 59 2 4 4" xfId="20316"/>
    <cellStyle name="Normal 59 2 4 5" xfId="12019"/>
    <cellStyle name="Normal 59 2 5" xfId="4727"/>
    <cellStyle name="Normal 59 2 5 2" xfId="8895"/>
    <cellStyle name="Normal 59 2 5 2 2" xfId="25492"/>
    <cellStyle name="Normal 59 2 5 2 3" xfId="17195"/>
    <cellStyle name="Normal 59 2 5 3" xfId="21352"/>
    <cellStyle name="Normal 59 2 5 4" xfId="13055"/>
    <cellStyle name="Normal 59 2 6" xfId="6818"/>
    <cellStyle name="Normal 59 2 6 2" xfId="23422"/>
    <cellStyle name="Normal 59 2 6 3" xfId="15125"/>
    <cellStyle name="Normal 59 2 7" xfId="19279"/>
    <cellStyle name="Normal 59 2 8" xfId="10982"/>
    <cellStyle name="Normal 59 3" xfId="1788"/>
    <cellStyle name="Normal 59 3 2" xfId="1789"/>
    <cellStyle name="Normal 59 3 2 2" xfId="3122"/>
    <cellStyle name="Normal 59 3 2 2 2" xfId="4168"/>
    <cellStyle name="Normal 59 3 2 2 2 2" xfId="6293"/>
    <cellStyle name="Normal 59 3 2 2 2 2 2" xfId="10449"/>
    <cellStyle name="Normal 59 3 2 2 2 2 2 2" xfId="27046"/>
    <cellStyle name="Normal 59 3 2 2 2 2 2 3" xfId="18749"/>
    <cellStyle name="Normal 59 3 2 2 2 2 3" xfId="22906"/>
    <cellStyle name="Normal 59 3 2 2 2 2 4" xfId="14609"/>
    <cellStyle name="Normal 59 3 2 2 2 3" xfId="8377"/>
    <cellStyle name="Normal 59 3 2 2 2 3 2" xfId="24974"/>
    <cellStyle name="Normal 59 3 2 2 2 3 3" xfId="16677"/>
    <cellStyle name="Normal 59 3 2 2 2 4" xfId="20834"/>
    <cellStyle name="Normal 59 3 2 2 2 5" xfId="12537"/>
    <cellStyle name="Normal 59 3 2 2 3" xfId="5259"/>
    <cellStyle name="Normal 59 3 2 2 3 2" xfId="9415"/>
    <cellStyle name="Normal 59 3 2 2 3 2 2" xfId="26012"/>
    <cellStyle name="Normal 59 3 2 2 3 2 3" xfId="17715"/>
    <cellStyle name="Normal 59 3 2 2 3 3" xfId="21872"/>
    <cellStyle name="Normal 59 3 2 2 3 4" xfId="13575"/>
    <cellStyle name="Normal 59 3 2 2 4" xfId="7343"/>
    <cellStyle name="Normal 59 3 2 2 4 2" xfId="23940"/>
    <cellStyle name="Normal 59 3 2 2 4 3" xfId="15643"/>
    <cellStyle name="Normal 59 3 2 2 5" xfId="19800"/>
    <cellStyle name="Normal 59 3 2 2 6" xfId="11503"/>
    <cellStyle name="Normal 59 3 2 3" xfId="3650"/>
    <cellStyle name="Normal 59 3 2 3 2" xfId="5778"/>
    <cellStyle name="Normal 59 3 2 3 2 2" xfId="9934"/>
    <cellStyle name="Normal 59 3 2 3 2 2 2" xfId="26531"/>
    <cellStyle name="Normal 59 3 2 3 2 2 3" xfId="18234"/>
    <cellStyle name="Normal 59 3 2 3 2 3" xfId="22391"/>
    <cellStyle name="Normal 59 3 2 3 2 4" xfId="14094"/>
    <cellStyle name="Normal 59 3 2 3 3" xfId="7862"/>
    <cellStyle name="Normal 59 3 2 3 3 2" xfId="24459"/>
    <cellStyle name="Normal 59 3 2 3 3 3" xfId="16162"/>
    <cellStyle name="Normal 59 3 2 3 4" xfId="20319"/>
    <cellStyle name="Normal 59 3 2 3 5" xfId="12022"/>
    <cellStyle name="Normal 59 3 2 4" xfId="4730"/>
    <cellStyle name="Normal 59 3 2 4 2" xfId="8898"/>
    <cellStyle name="Normal 59 3 2 4 2 2" xfId="25495"/>
    <cellStyle name="Normal 59 3 2 4 2 3" xfId="17198"/>
    <cellStyle name="Normal 59 3 2 4 3" xfId="21355"/>
    <cellStyle name="Normal 59 3 2 4 4" xfId="13058"/>
    <cellStyle name="Normal 59 3 2 5" xfId="6821"/>
    <cellStyle name="Normal 59 3 2 5 2" xfId="23425"/>
    <cellStyle name="Normal 59 3 2 5 3" xfId="15128"/>
    <cellStyle name="Normal 59 3 2 6" xfId="19282"/>
    <cellStyle name="Normal 59 3 2 7" xfId="10985"/>
    <cellStyle name="Normal 59 3 3" xfId="3121"/>
    <cellStyle name="Normal 59 3 3 2" xfId="4167"/>
    <cellStyle name="Normal 59 3 3 2 2" xfId="6292"/>
    <cellStyle name="Normal 59 3 3 2 2 2" xfId="10448"/>
    <cellStyle name="Normal 59 3 3 2 2 2 2" xfId="27045"/>
    <cellStyle name="Normal 59 3 3 2 2 2 3" xfId="18748"/>
    <cellStyle name="Normal 59 3 3 2 2 3" xfId="22905"/>
    <cellStyle name="Normal 59 3 3 2 2 4" xfId="14608"/>
    <cellStyle name="Normal 59 3 3 2 3" xfId="8376"/>
    <cellStyle name="Normal 59 3 3 2 3 2" xfId="24973"/>
    <cellStyle name="Normal 59 3 3 2 3 3" xfId="16676"/>
    <cellStyle name="Normal 59 3 3 2 4" xfId="20833"/>
    <cellStyle name="Normal 59 3 3 2 5" xfId="12536"/>
    <cellStyle name="Normal 59 3 3 3" xfId="5258"/>
    <cellStyle name="Normal 59 3 3 3 2" xfId="9414"/>
    <cellStyle name="Normal 59 3 3 3 2 2" xfId="26011"/>
    <cellStyle name="Normal 59 3 3 3 2 3" xfId="17714"/>
    <cellStyle name="Normal 59 3 3 3 3" xfId="21871"/>
    <cellStyle name="Normal 59 3 3 3 4" xfId="13574"/>
    <cellStyle name="Normal 59 3 3 4" xfId="7342"/>
    <cellStyle name="Normal 59 3 3 4 2" xfId="23939"/>
    <cellStyle name="Normal 59 3 3 4 3" xfId="15642"/>
    <cellStyle name="Normal 59 3 3 5" xfId="19799"/>
    <cellStyle name="Normal 59 3 3 6" xfId="11502"/>
    <cellStyle name="Normal 59 3 4" xfId="3649"/>
    <cellStyle name="Normal 59 3 4 2" xfId="5777"/>
    <cellStyle name="Normal 59 3 4 2 2" xfId="9933"/>
    <cellStyle name="Normal 59 3 4 2 2 2" xfId="26530"/>
    <cellStyle name="Normal 59 3 4 2 2 3" xfId="18233"/>
    <cellStyle name="Normal 59 3 4 2 3" xfId="22390"/>
    <cellStyle name="Normal 59 3 4 2 4" xfId="14093"/>
    <cellStyle name="Normal 59 3 4 3" xfId="7861"/>
    <cellStyle name="Normal 59 3 4 3 2" xfId="24458"/>
    <cellStyle name="Normal 59 3 4 3 3" xfId="16161"/>
    <cellStyle name="Normal 59 3 4 4" xfId="20318"/>
    <cellStyle name="Normal 59 3 4 5" xfId="12021"/>
    <cellStyle name="Normal 59 3 5" xfId="4729"/>
    <cellStyle name="Normal 59 3 5 2" xfId="8897"/>
    <cellStyle name="Normal 59 3 5 2 2" xfId="25494"/>
    <cellStyle name="Normal 59 3 5 2 3" xfId="17197"/>
    <cellStyle name="Normal 59 3 5 3" xfId="21354"/>
    <cellStyle name="Normal 59 3 5 4" xfId="13057"/>
    <cellStyle name="Normal 59 3 6" xfId="6820"/>
    <cellStyle name="Normal 59 3 6 2" xfId="23424"/>
    <cellStyle name="Normal 59 3 6 3" xfId="15127"/>
    <cellStyle name="Normal 59 3 7" xfId="19281"/>
    <cellStyle name="Normal 59 3 8" xfId="10984"/>
    <cellStyle name="Normal 59 4" xfId="1790"/>
    <cellStyle name="Normal 59 4 2" xfId="3123"/>
    <cellStyle name="Normal 59 4 2 2" xfId="4169"/>
    <cellStyle name="Normal 59 4 2 2 2" xfId="6294"/>
    <cellStyle name="Normal 59 4 2 2 2 2" xfId="10450"/>
    <cellStyle name="Normal 59 4 2 2 2 2 2" xfId="27047"/>
    <cellStyle name="Normal 59 4 2 2 2 2 3" xfId="18750"/>
    <cellStyle name="Normal 59 4 2 2 2 3" xfId="22907"/>
    <cellStyle name="Normal 59 4 2 2 2 4" xfId="14610"/>
    <cellStyle name="Normal 59 4 2 2 3" xfId="8378"/>
    <cellStyle name="Normal 59 4 2 2 3 2" xfId="24975"/>
    <cellStyle name="Normal 59 4 2 2 3 3" xfId="16678"/>
    <cellStyle name="Normal 59 4 2 2 4" xfId="20835"/>
    <cellStyle name="Normal 59 4 2 2 5" xfId="12538"/>
    <cellStyle name="Normal 59 4 2 3" xfId="5260"/>
    <cellStyle name="Normal 59 4 2 3 2" xfId="9416"/>
    <cellStyle name="Normal 59 4 2 3 2 2" xfId="26013"/>
    <cellStyle name="Normal 59 4 2 3 2 3" xfId="17716"/>
    <cellStyle name="Normal 59 4 2 3 3" xfId="21873"/>
    <cellStyle name="Normal 59 4 2 3 4" xfId="13576"/>
    <cellStyle name="Normal 59 4 2 4" xfId="7344"/>
    <cellStyle name="Normal 59 4 2 4 2" xfId="23941"/>
    <cellStyle name="Normal 59 4 2 4 3" xfId="15644"/>
    <cellStyle name="Normal 59 4 2 5" xfId="19801"/>
    <cellStyle name="Normal 59 4 2 6" xfId="11504"/>
    <cellStyle name="Normal 59 4 3" xfId="3651"/>
    <cellStyle name="Normal 59 4 3 2" xfId="5779"/>
    <cellStyle name="Normal 59 4 3 2 2" xfId="9935"/>
    <cellStyle name="Normal 59 4 3 2 2 2" xfId="26532"/>
    <cellStyle name="Normal 59 4 3 2 2 3" xfId="18235"/>
    <cellStyle name="Normal 59 4 3 2 3" xfId="22392"/>
    <cellStyle name="Normal 59 4 3 2 4" xfId="14095"/>
    <cellStyle name="Normal 59 4 3 3" xfId="7863"/>
    <cellStyle name="Normal 59 4 3 3 2" xfId="24460"/>
    <cellStyle name="Normal 59 4 3 3 3" xfId="16163"/>
    <cellStyle name="Normal 59 4 3 4" xfId="20320"/>
    <cellStyle name="Normal 59 4 3 5" xfId="12023"/>
    <cellStyle name="Normal 59 4 4" xfId="4731"/>
    <cellStyle name="Normal 59 4 4 2" xfId="8899"/>
    <cellStyle name="Normal 59 4 4 2 2" xfId="25496"/>
    <cellStyle name="Normal 59 4 4 2 3" xfId="17199"/>
    <cellStyle name="Normal 59 4 4 3" xfId="21356"/>
    <cellStyle name="Normal 59 4 4 4" xfId="13059"/>
    <cellStyle name="Normal 59 4 5" xfId="6822"/>
    <cellStyle name="Normal 59 4 5 2" xfId="23426"/>
    <cellStyle name="Normal 59 4 5 3" xfId="15129"/>
    <cellStyle name="Normal 59 4 6" xfId="19283"/>
    <cellStyle name="Normal 59 4 7" xfId="10986"/>
    <cellStyle name="Normal 59 5" xfId="3118"/>
    <cellStyle name="Normal 59 5 2" xfId="4164"/>
    <cellStyle name="Normal 59 5 2 2" xfId="6289"/>
    <cellStyle name="Normal 59 5 2 2 2" xfId="10445"/>
    <cellStyle name="Normal 59 5 2 2 2 2" xfId="27042"/>
    <cellStyle name="Normal 59 5 2 2 2 3" xfId="18745"/>
    <cellStyle name="Normal 59 5 2 2 3" xfId="22902"/>
    <cellStyle name="Normal 59 5 2 2 4" xfId="14605"/>
    <cellStyle name="Normal 59 5 2 3" xfId="8373"/>
    <cellStyle name="Normal 59 5 2 3 2" xfId="24970"/>
    <cellStyle name="Normal 59 5 2 3 3" xfId="16673"/>
    <cellStyle name="Normal 59 5 2 4" xfId="20830"/>
    <cellStyle name="Normal 59 5 2 5" xfId="12533"/>
    <cellStyle name="Normal 59 5 3" xfId="5255"/>
    <cellStyle name="Normal 59 5 3 2" xfId="9411"/>
    <cellStyle name="Normal 59 5 3 2 2" xfId="26008"/>
    <cellStyle name="Normal 59 5 3 2 3" xfId="17711"/>
    <cellStyle name="Normal 59 5 3 3" xfId="21868"/>
    <cellStyle name="Normal 59 5 3 4" xfId="13571"/>
    <cellStyle name="Normal 59 5 4" xfId="7339"/>
    <cellStyle name="Normal 59 5 4 2" xfId="23936"/>
    <cellStyle name="Normal 59 5 4 3" xfId="15639"/>
    <cellStyle name="Normal 59 5 5" xfId="19796"/>
    <cellStyle name="Normal 59 5 6" xfId="11499"/>
    <cellStyle name="Normal 59 6" xfId="3646"/>
    <cellStyle name="Normal 59 6 2" xfId="5774"/>
    <cellStyle name="Normal 59 6 2 2" xfId="9930"/>
    <cellStyle name="Normal 59 6 2 2 2" xfId="26527"/>
    <cellStyle name="Normal 59 6 2 2 3" xfId="18230"/>
    <cellStyle name="Normal 59 6 2 3" xfId="22387"/>
    <cellStyle name="Normal 59 6 2 4" xfId="14090"/>
    <cellStyle name="Normal 59 6 3" xfId="7858"/>
    <cellStyle name="Normal 59 6 3 2" xfId="24455"/>
    <cellStyle name="Normal 59 6 3 3" xfId="16158"/>
    <cellStyle name="Normal 59 6 4" xfId="20315"/>
    <cellStyle name="Normal 59 6 5" xfId="12018"/>
    <cellStyle name="Normal 59 7" xfId="4726"/>
    <cellStyle name="Normal 59 7 2" xfId="8894"/>
    <cellStyle name="Normal 59 7 2 2" xfId="25491"/>
    <cellStyle name="Normal 59 7 2 3" xfId="17194"/>
    <cellStyle name="Normal 59 7 3" xfId="21351"/>
    <cellStyle name="Normal 59 7 4" xfId="13054"/>
    <cellStyle name="Normal 59 8" xfId="6817"/>
    <cellStyle name="Normal 59 8 2" xfId="23421"/>
    <cellStyle name="Normal 59 8 3" xfId="15124"/>
    <cellStyle name="Normal 59 9" xfId="19278"/>
    <cellStyle name="Normal 6" xfId="1791"/>
    <cellStyle name="Normal 6 10" xfId="19284"/>
    <cellStyle name="Normal 6 11" xfId="10987"/>
    <cellStyle name="Normal 6 2" xfId="1792"/>
    <cellStyle name="Normal 6 2 2" xfId="1793"/>
    <cellStyle name="Normal 6 2 2 2" xfId="3126"/>
    <cellStyle name="Normal 6 2 2 2 2" xfId="4172"/>
    <cellStyle name="Normal 6 2 2 2 2 2" xfId="6297"/>
    <cellStyle name="Normal 6 2 2 2 2 2 2" xfId="10453"/>
    <cellStyle name="Normal 6 2 2 2 2 2 2 2" xfId="27050"/>
    <cellStyle name="Normal 6 2 2 2 2 2 2 3" xfId="18753"/>
    <cellStyle name="Normal 6 2 2 2 2 2 3" xfId="22910"/>
    <cellStyle name="Normal 6 2 2 2 2 2 4" xfId="14613"/>
    <cellStyle name="Normal 6 2 2 2 2 3" xfId="8381"/>
    <cellStyle name="Normal 6 2 2 2 2 3 2" xfId="24978"/>
    <cellStyle name="Normal 6 2 2 2 2 3 3" xfId="16681"/>
    <cellStyle name="Normal 6 2 2 2 2 4" xfId="20838"/>
    <cellStyle name="Normal 6 2 2 2 2 5" xfId="12541"/>
    <cellStyle name="Normal 6 2 2 2 3" xfId="5263"/>
    <cellStyle name="Normal 6 2 2 2 3 2" xfId="9419"/>
    <cellStyle name="Normal 6 2 2 2 3 2 2" xfId="26016"/>
    <cellStyle name="Normal 6 2 2 2 3 2 3" xfId="17719"/>
    <cellStyle name="Normal 6 2 2 2 3 3" xfId="21876"/>
    <cellStyle name="Normal 6 2 2 2 3 4" xfId="13579"/>
    <cellStyle name="Normal 6 2 2 2 4" xfId="7347"/>
    <cellStyle name="Normal 6 2 2 2 4 2" xfId="23944"/>
    <cellStyle name="Normal 6 2 2 2 4 3" xfId="15647"/>
    <cellStyle name="Normal 6 2 2 2 5" xfId="19804"/>
    <cellStyle name="Normal 6 2 2 2 6" xfId="11507"/>
    <cellStyle name="Normal 6 2 2 3" xfId="3654"/>
    <cellStyle name="Normal 6 2 2 3 2" xfId="5782"/>
    <cellStyle name="Normal 6 2 2 3 2 2" xfId="9938"/>
    <cellStyle name="Normal 6 2 2 3 2 2 2" xfId="26535"/>
    <cellStyle name="Normal 6 2 2 3 2 2 3" xfId="18238"/>
    <cellStyle name="Normal 6 2 2 3 2 3" xfId="22395"/>
    <cellStyle name="Normal 6 2 2 3 2 4" xfId="14098"/>
    <cellStyle name="Normal 6 2 2 3 3" xfId="7866"/>
    <cellStyle name="Normal 6 2 2 3 3 2" xfId="24463"/>
    <cellStyle name="Normal 6 2 2 3 3 3" xfId="16166"/>
    <cellStyle name="Normal 6 2 2 3 4" xfId="20323"/>
    <cellStyle name="Normal 6 2 2 3 5" xfId="12026"/>
    <cellStyle name="Normal 6 2 2 4" xfId="4734"/>
    <cellStyle name="Normal 6 2 2 4 2" xfId="8902"/>
    <cellStyle name="Normal 6 2 2 4 2 2" xfId="25499"/>
    <cellStyle name="Normal 6 2 2 4 2 3" xfId="17202"/>
    <cellStyle name="Normal 6 2 2 4 3" xfId="21359"/>
    <cellStyle name="Normal 6 2 2 4 4" xfId="13062"/>
    <cellStyle name="Normal 6 2 2 5" xfId="6825"/>
    <cellStyle name="Normal 6 2 2 5 2" xfId="23429"/>
    <cellStyle name="Normal 6 2 2 5 3" xfId="15132"/>
    <cellStyle name="Normal 6 2 2 6" xfId="19286"/>
    <cellStyle name="Normal 6 2 2 7" xfId="10989"/>
    <cellStyle name="Normal 6 2 3" xfId="3125"/>
    <cellStyle name="Normal 6 2 3 2" xfId="4171"/>
    <cellStyle name="Normal 6 2 3 2 2" xfId="6296"/>
    <cellStyle name="Normal 6 2 3 2 2 2" xfId="10452"/>
    <cellStyle name="Normal 6 2 3 2 2 2 2" xfId="27049"/>
    <cellStyle name="Normal 6 2 3 2 2 2 3" xfId="18752"/>
    <cellStyle name="Normal 6 2 3 2 2 3" xfId="22909"/>
    <cellStyle name="Normal 6 2 3 2 2 4" xfId="14612"/>
    <cellStyle name="Normal 6 2 3 2 3" xfId="8380"/>
    <cellStyle name="Normal 6 2 3 2 3 2" xfId="24977"/>
    <cellStyle name="Normal 6 2 3 2 3 3" xfId="16680"/>
    <cellStyle name="Normal 6 2 3 2 4" xfId="20837"/>
    <cellStyle name="Normal 6 2 3 2 5" xfId="12540"/>
    <cellStyle name="Normal 6 2 3 3" xfId="5262"/>
    <cellStyle name="Normal 6 2 3 3 2" xfId="9418"/>
    <cellStyle name="Normal 6 2 3 3 2 2" xfId="26015"/>
    <cellStyle name="Normal 6 2 3 3 2 3" xfId="17718"/>
    <cellStyle name="Normal 6 2 3 3 3" xfId="21875"/>
    <cellStyle name="Normal 6 2 3 3 4" xfId="13578"/>
    <cellStyle name="Normal 6 2 3 4" xfId="7346"/>
    <cellStyle name="Normal 6 2 3 4 2" xfId="23943"/>
    <cellStyle name="Normal 6 2 3 4 3" xfId="15646"/>
    <cellStyle name="Normal 6 2 3 5" xfId="19803"/>
    <cellStyle name="Normal 6 2 3 6" xfId="11506"/>
    <cellStyle name="Normal 6 2 4" xfId="3653"/>
    <cellStyle name="Normal 6 2 4 2" xfId="5781"/>
    <cellStyle name="Normal 6 2 4 2 2" xfId="9937"/>
    <cellStyle name="Normal 6 2 4 2 2 2" xfId="26534"/>
    <cellStyle name="Normal 6 2 4 2 2 3" xfId="18237"/>
    <cellStyle name="Normal 6 2 4 2 3" xfId="22394"/>
    <cellStyle name="Normal 6 2 4 2 4" xfId="14097"/>
    <cellStyle name="Normal 6 2 4 3" xfId="7865"/>
    <cellStyle name="Normal 6 2 4 3 2" xfId="24462"/>
    <cellStyle name="Normal 6 2 4 3 3" xfId="16165"/>
    <cellStyle name="Normal 6 2 4 4" xfId="20322"/>
    <cellStyle name="Normal 6 2 4 5" xfId="12025"/>
    <cellStyle name="Normal 6 2 5" xfId="4733"/>
    <cellStyle name="Normal 6 2 5 2" xfId="8901"/>
    <cellStyle name="Normal 6 2 5 2 2" xfId="25498"/>
    <cellStyle name="Normal 6 2 5 2 3" xfId="17201"/>
    <cellStyle name="Normal 6 2 5 3" xfId="21358"/>
    <cellStyle name="Normal 6 2 5 4" xfId="13061"/>
    <cellStyle name="Normal 6 2 6" xfId="6824"/>
    <cellStyle name="Normal 6 2 6 2" xfId="23428"/>
    <cellStyle name="Normal 6 2 6 3" xfId="15131"/>
    <cellStyle name="Normal 6 2 7" xfId="19285"/>
    <cellStyle name="Normal 6 2 8" xfId="10988"/>
    <cellStyle name="Normal 6 3" xfId="1794"/>
    <cellStyle name="Normal 6 3 2" xfId="1795"/>
    <cellStyle name="Normal 6 3 2 2" xfId="3128"/>
    <cellStyle name="Normal 6 3 2 2 2" xfId="4174"/>
    <cellStyle name="Normal 6 3 2 2 2 2" xfId="6299"/>
    <cellStyle name="Normal 6 3 2 2 2 2 2" xfId="10455"/>
    <cellStyle name="Normal 6 3 2 2 2 2 2 2" xfId="27052"/>
    <cellStyle name="Normal 6 3 2 2 2 2 2 3" xfId="18755"/>
    <cellStyle name="Normal 6 3 2 2 2 2 3" xfId="22912"/>
    <cellStyle name="Normal 6 3 2 2 2 2 4" xfId="14615"/>
    <cellStyle name="Normal 6 3 2 2 2 3" xfId="8383"/>
    <cellStyle name="Normal 6 3 2 2 2 3 2" xfId="24980"/>
    <cellStyle name="Normal 6 3 2 2 2 3 3" xfId="16683"/>
    <cellStyle name="Normal 6 3 2 2 2 4" xfId="20840"/>
    <cellStyle name="Normal 6 3 2 2 2 5" xfId="12543"/>
    <cellStyle name="Normal 6 3 2 2 3" xfId="5265"/>
    <cellStyle name="Normal 6 3 2 2 3 2" xfId="9421"/>
    <cellStyle name="Normal 6 3 2 2 3 2 2" xfId="26018"/>
    <cellStyle name="Normal 6 3 2 2 3 2 3" xfId="17721"/>
    <cellStyle name="Normal 6 3 2 2 3 3" xfId="21878"/>
    <cellStyle name="Normal 6 3 2 2 3 4" xfId="13581"/>
    <cellStyle name="Normal 6 3 2 2 4" xfId="7349"/>
    <cellStyle name="Normal 6 3 2 2 4 2" xfId="23946"/>
    <cellStyle name="Normal 6 3 2 2 4 3" xfId="15649"/>
    <cellStyle name="Normal 6 3 2 2 5" xfId="19806"/>
    <cellStyle name="Normal 6 3 2 2 6" xfId="11509"/>
    <cellStyle name="Normal 6 3 2 3" xfId="3656"/>
    <cellStyle name="Normal 6 3 2 3 2" xfId="5784"/>
    <cellStyle name="Normal 6 3 2 3 2 2" xfId="9940"/>
    <cellStyle name="Normal 6 3 2 3 2 2 2" xfId="26537"/>
    <cellStyle name="Normal 6 3 2 3 2 2 3" xfId="18240"/>
    <cellStyle name="Normal 6 3 2 3 2 3" xfId="22397"/>
    <cellStyle name="Normal 6 3 2 3 2 4" xfId="14100"/>
    <cellStyle name="Normal 6 3 2 3 3" xfId="7868"/>
    <cellStyle name="Normal 6 3 2 3 3 2" xfId="24465"/>
    <cellStyle name="Normal 6 3 2 3 3 3" xfId="16168"/>
    <cellStyle name="Normal 6 3 2 3 4" xfId="20325"/>
    <cellStyle name="Normal 6 3 2 3 5" xfId="12028"/>
    <cellStyle name="Normal 6 3 2 4" xfId="4736"/>
    <cellStyle name="Normal 6 3 2 4 2" xfId="8904"/>
    <cellStyle name="Normal 6 3 2 4 2 2" xfId="25501"/>
    <cellStyle name="Normal 6 3 2 4 2 3" xfId="17204"/>
    <cellStyle name="Normal 6 3 2 4 3" xfId="21361"/>
    <cellStyle name="Normal 6 3 2 4 4" xfId="13064"/>
    <cellStyle name="Normal 6 3 2 5" xfId="6827"/>
    <cellStyle name="Normal 6 3 2 5 2" xfId="23431"/>
    <cellStyle name="Normal 6 3 2 5 3" xfId="15134"/>
    <cellStyle name="Normal 6 3 2 6" xfId="19288"/>
    <cellStyle name="Normal 6 3 2 7" xfId="10991"/>
    <cellStyle name="Normal 6 3 3" xfId="3127"/>
    <cellStyle name="Normal 6 3 3 2" xfId="4173"/>
    <cellStyle name="Normal 6 3 3 2 2" xfId="6298"/>
    <cellStyle name="Normal 6 3 3 2 2 2" xfId="10454"/>
    <cellStyle name="Normal 6 3 3 2 2 2 2" xfId="27051"/>
    <cellStyle name="Normal 6 3 3 2 2 2 3" xfId="18754"/>
    <cellStyle name="Normal 6 3 3 2 2 3" xfId="22911"/>
    <cellStyle name="Normal 6 3 3 2 2 4" xfId="14614"/>
    <cellStyle name="Normal 6 3 3 2 3" xfId="8382"/>
    <cellStyle name="Normal 6 3 3 2 3 2" xfId="24979"/>
    <cellStyle name="Normal 6 3 3 2 3 3" xfId="16682"/>
    <cellStyle name="Normal 6 3 3 2 4" xfId="20839"/>
    <cellStyle name="Normal 6 3 3 2 5" xfId="12542"/>
    <cellStyle name="Normal 6 3 3 3" xfId="5264"/>
    <cellStyle name="Normal 6 3 3 3 2" xfId="9420"/>
    <cellStyle name="Normal 6 3 3 3 2 2" xfId="26017"/>
    <cellStyle name="Normal 6 3 3 3 2 3" xfId="17720"/>
    <cellStyle name="Normal 6 3 3 3 3" xfId="21877"/>
    <cellStyle name="Normal 6 3 3 3 4" xfId="13580"/>
    <cellStyle name="Normal 6 3 3 4" xfId="7348"/>
    <cellStyle name="Normal 6 3 3 4 2" xfId="23945"/>
    <cellStyle name="Normal 6 3 3 4 3" xfId="15648"/>
    <cellStyle name="Normal 6 3 3 5" xfId="19805"/>
    <cellStyle name="Normal 6 3 3 6" xfId="11508"/>
    <cellStyle name="Normal 6 3 4" xfId="3655"/>
    <cellStyle name="Normal 6 3 4 2" xfId="5783"/>
    <cellStyle name="Normal 6 3 4 2 2" xfId="9939"/>
    <cellStyle name="Normal 6 3 4 2 2 2" xfId="26536"/>
    <cellStyle name="Normal 6 3 4 2 2 3" xfId="18239"/>
    <cellStyle name="Normal 6 3 4 2 3" xfId="22396"/>
    <cellStyle name="Normal 6 3 4 2 4" xfId="14099"/>
    <cellStyle name="Normal 6 3 4 3" xfId="7867"/>
    <cellStyle name="Normal 6 3 4 3 2" xfId="24464"/>
    <cellStyle name="Normal 6 3 4 3 3" xfId="16167"/>
    <cellStyle name="Normal 6 3 4 4" xfId="20324"/>
    <cellStyle name="Normal 6 3 4 5" xfId="12027"/>
    <cellStyle name="Normal 6 3 5" xfId="4735"/>
    <cellStyle name="Normal 6 3 5 2" xfId="8903"/>
    <cellStyle name="Normal 6 3 5 2 2" xfId="25500"/>
    <cellStyle name="Normal 6 3 5 2 3" xfId="17203"/>
    <cellStyle name="Normal 6 3 5 3" xfId="21360"/>
    <cellStyle name="Normal 6 3 5 4" xfId="13063"/>
    <cellStyle name="Normal 6 3 6" xfId="6826"/>
    <cellStyle name="Normal 6 3 6 2" xfId="23430"/>
    <cellStyle name="Normal 6 3 6 3" xfId="15133"/>
    <cellStyle name="Normal 6 3 7" xfId="19287"/>
    <cellStyle name="Normal 6 3 8" xfId="10990"/>
    <cellStyle name="Normal 6 4" xfId="1796"/>
    <cellStyle name="Normal 6 5" xfId="1797"/>
    <cellStyle name="Normal 6 5 2" xfId="3129"/>
    <cellStyle name="Normal 6 5 2 2" xfId="4175"/>
    <cellStyle name="Normal 6 5 2 2 2" xfId="6300"/>
    <cellStyle name="Normal 6 5 2 2 2 2" xfId="10456"/>
    <cellStyle name="Normal 6 5 2 2 2 2 2" xfId="27053"/>
    <cellStyle name="Normal 6 5 2 2 2 2 3" xfId="18756"/>
    <cellStyle name="Normal 6 5 2 2 2 3" xfId="22913"/>
    <cellStyle name="Normal 6 5 2 2 2 4" xfId="14616"/>
    <cellStyle name="Normal 6 5 2 2 3" xfId="8384"/>
    <cellStyle name="Normal 6 5 2 2 3 2" xfId="24981"/>
    <cellStyle name="Normal 6 5 2 2 3 3" xfId="16684"/>
    <cellStyle name="Normal 6 5 2 2 4" xfId="20841"/>
    <cellStyle name="Normal 6 5 2 2 5" xfId="12544"/>
    <cellStyle name="Normal 6 5 2 3" xfId="5266"/>
    <cellStyle name="Normal 6 5 2 3 2" xfId="9422"/>
    <cellStyle name="Normal 6 5 2 3 2 2" xfId="26019"/>
    <cellStyle name="Normal 6 5 2 3 2 3" xfId="17722"/>
    <cellStyle name="Normal 6 5 2 3 3" xfId="21879"/>
    <cellStyle name="Normal 6 5 2 3 4" xfId="13582"/>
    <cellStyle name="Normal 6 5 2 4" xfId="7350"/>
    <cellStyle name="Normal 6 5 2 4 2" xfId="23947"/>
    <cellStyle name="Normal 6 5 2 4 3" xfId="15650"/>
    <cellStyle name="Normal 6 5 2 5" xfId="19807"/>
    <cellStyle name="Normal 6 5 2 6" xfId="11510"/>
    <cellStyle name="Normal 6 5 3" xfId="3657"/>
    <cellStyle name="Normal 6 5 3 2" xfId="5785"/>
    <cellStyle name="Normal 6 5 3 2 2" xfId="9941"/>
    <cellStyle name="Normal 6 5 3 2 2 2" xfId="26538"/>
    <cellStyle name="Normal 6 5 3 2 2 3" xfId="18241"/>
    <cellStyle name="Normal 6 5 3 2 3" xfId="22398"/>
    <cellStyle name="Normal 6 5 3 2 4" xfId="14101"/>
    <cellStyle name="Normal 6 5 3 3" xfId="7869"/>
    <cellStyle name="Normal 6 5 3 3 2" xfId="24466"/>
    <cellStyle name="Normal 6 5 3 3 3" xfId="16169"/>
    <cellStyle name="Normal 6 5 3 4" xfId="20326"/>
    <cellStyle name="Normal 6 5 3 5" xfId="12029"/>
    <cellStyle name="Normal 6 5 4" xfId="4737"/>
    <cellStyle name="Normal 6 5 4 2" xfId="8905"/>
    <cellStyle name="Normal 6 5 4 2 2" xfId="25502"/>
    <cellStyle name="Normal 6 5 4 2 3" xfId="17205"/>
    <cellStyle name="Normal 6 5 4 3" xfId="21362"/>
    <cellStyle name="Normal 6 5 4 4" xfId="13065"/>
    <cellStyle name="Normal 6 5 5" xfId="6828"/>
    <cellStyle name="Normal 6 5 5 2" xfId="23432"/>
    <cellStyle name="Normal 6 5 5 3" xfId="15135"/>
    <cellStyle name="Normal 6 5 6" xfId="19289"/>
    <cellStyle name="Normal 6 5 7" xfId="10992"/>
    <cellStyle name="Normal 6 6" xfId="3124"/>
    <cellStyle name="Normal 6 6 2" xfId="4170"/>
    <cellStyle name="Normal 6 6 2 2" xfId="6295"/>
    <cellStyle name="Normal 6 6 2 2 2" xfId="10451"/>
    <cellStyle name="Normal 6 6 2 2 2 2" xfId="27048"/>
    <cellStyle name="Normal 6 6 2 2 2 3" xfId="18751"/>
    <cellStyle name="Normal 6 6 2 2 3" xfId="22908"/>
    <cellStyle name="Normal 6 6 2 2 4" xfId="14611"/>
    <cellStyle name="Normal 6 6 2 3" xfId="8379"/>
    <cellStyle name="Normal 6 6 2 3 2" xfId="24976"/>
    <cellStyle name="Normal 6 6 2 3 3" xfId="16679"/>
    <cellStyle name="Normal 6 6 2 4" xfId="20836"/>
    <cellStyle name="Normal 6 6 2 5" xfId="12539"/>
    <cellStyle name="Normal 6 6 3" xfId="5261"/>
    <cellStyle name="Normal 6 6 3 2" xfId="9417"/>
    <cellStyle name="Normal 6 6 3 2 2" xfId="26014"/>
    <cellStyle name="Normal 6 6 3 2 3" xfId="17717"/>
    <cellStyle name="Normal 6 6 3 3" xfId="21874"/>
    <cellStyle name="Normal 6 6 3 4" xfId="13577"/>
    <cellStyle name="Normal 6 6 4" xfId="7345"/>
    <cellStyle name="Normal 6 6 4 2" xfId="23942"/>
    <cellStyle name="Normal 6 6 4 3" xfId="15645"/>
    <cellStyle name="Normal 6 6 5" xfId="19802"/>
    <cellStyle name="Normal 6 6 6" xfId="11505"/>
    <cellStyle name="Normal 6 7" xfId="3652"/>
    <cellStyle name="Normal 6 7 2" xfId="5780"/>
    <cellStyle name="Normal 6 7 2 2" xfId="9936"/>
    <cellStyle name="Normal 6 7 2 2 2" xfId="26533"/>
    <cellStyle name="Normal 6 7 2 2 3" xfId="18236"/>
    <cellStyle name="Normal 6 7 2 3" xfId="22393"/>
    <cellStyle name="Normal 6 7 2 4" xfId="14096"/>
    <cellStyle name="Normal 6 7 3" xfId="7864"/>
    <cellStyle name="Normal 6 7 3 2" xfId="24461"/>
    <cellStyle name="Normal 6 7 3 3" xfId="16164"/>
    <cellStyle name="Normal 6 7 4" xfId="20321"/>
    <cellStyle name="Normal 6 7 5" xfId="12024"/>
    <cellStyle name="Normal 6 8" xfId="4732"/>
    <cellStyle name="Normal 6 8 2" xfId="8900"/>
    <cellStyle name="Normal 6 8 2 2" xfId="25497"/>
    <cellStyle name="Normal 6 8 2 3" xfId="17200"/>
    <cellStyle name="Normal 6 8 3" xfId="21357"/>
    <cellStyle name="Normal 6 8 4" xfId="13060"/>
    <cellStyle name="Normal 6 9" xfId="6823"/>
    <cellStyle name="Normal 6 9 2" xfId="23427"/>
    <cellStyle name="Normal 6 9 3" xfId="15130"/>
    <cellStyle name="Normal 60" xfId="1798"/>
    <cellStyle name="Normal 60 10" xfId="10993"/>
    <cellStyle name="Normal 60 2" xfId="1799"/>
    <cellStyle name="Normal 60 2 2" xfId="1800"/>
    <cellStyle name="Normal 60 2 2 2" xfId="3132"/>
    <cellStyle name="Normal 60 2 2 2 2" xfId="4178"/>
    <cellStyle name="Normal 60 2 2 2 2 2" xfId="6303"/>
    <cellStyle name="Normal 60 2 2 2 2 2 2" xfId="10459"/>
    <cellStyle name="Normal 60 2 2 2 2 2 2 2" xfId="27056"/>
    <cellStyle name="Normal 60 2 2 2 2 2 2 3" xfId="18759"/>
    <cellStyle name="Normal 60 2 2 2 2 2 3" xfId="22916"/>
    <cellStyle name="Normal 60 2 2 2 2 2 4" xfId="14619"/>
    <cellStyle name="Normal 60 2 2 2 2 3" xfId="8387"/>
    <cellStyle name="Normal 60 2 2 2 2 3 2" xfId="24984"/>
    <cellStyle name="Normal 60 2 2 2 2 3 3" xfId="16687"/>
    <cellStyle name="Normal 60 2 2 2 2 4" xfId="20844"/>
    <cellStyle name="Normal 60 2 2 2 2 5" xfId="12547"/>
    <cellStyle name="Normal 60 2 2 2 3" xfId="5269"/>
    <cellStyle name="Normal 60 2 2 2 3 2" xfId="9425"/>
    <cellStyle name="Normal 60 2 2 2 3 2 2" xfId="26022"/>
    <cellStyle name="Normal 60 2 2 2 3 2 3" xfId="17725"/>
    <cellStyle name="Normal 60 2 2 2 3 3" xfId="21882"/>
    <cellStyle name="Normal 60 2 2 2 3 4" xfId="13585"/>
    <cellStyle name="Normal 60 2 2 2 4" xfId="7353"/>
    <cellStyle name="Normal 60 2 2 2 4 2" xfId="23950"/>
    <cellStyle name="Normal 60 2 2 2 4 3" xfId="15653"/>
    <cellStyle name="Normal 60 2 2 2 5" xfId="19810"/>
    <cellStyle name="Normal 60 2 2 2 6" xfId="11513"/>
    <cellStyle name="Normal 60 2 2 3" xfId="3660"/>
    <cellStyle name="Normal 60 2 2 3 2" xfId="5788"/>
    <cellStyle name="Normal 60 2 2 3 2 2" xfId="9944"/>
    <cellStyle name="Normal 60 2 2 3 2 2 2" xfId="26541"/>
    <cellStyle name="Normal 60 2 2 3 2 2 3" xfId="18244"/>
    <cellStyle name="Normal 60 2 2 3 2 3" xfId="22401"/>
    <cellStyle name="Normal 60 2 2 3 2 4" xfId="14104"/>
    <cellStyle name="Normal 60 2 2 3 3" xfId="7872"/>
    <cellStyle name="Normal 60 2 2 3 3 2" xfId="24469"/>
    <cellStyle name="Normal 60 2 2 3 3 3" xfId="16172"/>
    <cellStyle name="Normal 60 2 2 3 4" xfId="20329"/>
    <cellStyle name="Normal 60 2 2 3 5" xfId="12032"/>
    <cellStyle name="Normal 60 2 2 4" xfId="4740"/>
    <cellStyle name="Normal 60 2 2 4 2" xfId="8908"/>
    <cellStyle name="Normal 60 2 2 4 2 2" xfId="25505"/>
    <cellStyle name="Normal 60 2 2 4 2 3" xfId="17208"/>
    <cellStyle name="Normal 60 2 2 4 3" xfId="21365"/>
    <cellStyle name="Normal 60 2 2 4 4" xfId="13068"/>
    <cellStyle name="Normal 60 2 2 5" xfId="6831"/>
    <cellStyle name="Normal 60 2 2 5 2" xfId="23435"/>
    <cellStyle name="Normal 60 2 2 5 3" xfId="15138"/>
    <cellStyle name="Normal 60 2 2 6" xfId="19292"/>
    <cellStyle name="Normal 60 2 2 7" xfId="10995"/>
    <cellStyle name="Normal 60 2 3" xfId="3131"/>
    <cellStyle name="Normal 60 2 3 2" xfId="4177"/>
    <cellStyle name="Normal 60 2 3 2 2" xfId="6302"/>
    <cellStyle name="Normal 60 2 3 2 2 2" xfId="10458"/>
    <cellStyle name="Normal 60 2 3 2 2 2 2" xfId="27055"/>
    <cellStyle name="Normal 60 2 3 2 2 2 3" xfId="18758"/>
    <cellStyle name="Normal 60 2 3 2 2 3" xfId="22915"/>
    <cellStyle name="Normal 60 2 3 2 2 4" xfId="14618"/>
    <cellStyle name="Normal 60 2 3 2 3" xfId="8386"/>
    <cellStyle name="Normal 60 2 3 2 3 2" xfId="24983"/>
    <cellStyle name="Normal 60 2 3 2 3 3" xfId="16686"/>
    <cellStyle name="Normal 60 2 3 2 4" xfId="20843"/>
    <cellStyle name="Normal 60 2 3 2 5" xfId="12546"/>
    <cellStyle name="Normal 60 2 3 3" xfId="5268"/>
    <cellStyle name="Normal 60 2 3 3 2" xfId="9424"/>
    <cellStyle name="Normal 60 2 3 3 2 2" xfId="26021"/>
    <cellStyle name="Normal 60 2 3 3 2 3" xfId="17724"/>
    <cellStyle name="Normal 60 2 3 3 3" xfId="21881"/>
    <cellStyle name="Normal 60 2 3 3 4" xfId="13584"/>
    <cellStyle name="Normal 60 2 3 4" xfId="7352"/>
    <cellStyle name="Normal 60 2 3 4 2" xfId="23949"/>
    <cellStyle name="Normal 60 2 3 4 3" xfId="15652"/>
    <cellStyle name="Normal 60 2 3 5" xfId="19809"/>
    <cellStyle name="Normal 60 2 3 6" xfId="11512"/>
    <cellStyle name="Normal 60 2 4" xfId="3659"/>
    <cellStyle name="Normal 60 2 4 2" xfId="5787"/>
    <cellStyle name="Normal 60 2 4 2 2" xfId="9943"/>
    <cellStyle name="Normal 60 2 4 2 2 2" xfId="26540"/>
    <cellStyle name="Normal 60 2 4 2 2 3" xfId="18243"/>
    <cellStyle name="Normal 60 2 4 2 3" xfId="22400"/>
    <cellStyle name="Normal 60 2 4 2 4" xfId="14103"/>
    <cellStyle name="Normal 60 2 4 3" xfId="7871"/>
    <cellStyle name="Normal 60 2 4 3 2" xfId="24468"/>
    <cellStyle name="Normal 60 2 4 3 3" xfId="16171"/>
    <cellStyle name="Normal 60 2 4 4" xfId="20328"/>
    <cellStyle name="Normal 60 2 4 5" xfId="12031"/>
    <cellStyle name="Normal 60 2 5" xfId="4739"/>
    <cellStyle name="Normal 60 2 5 2" xfId="8907"/>
    <cellStyle name="Normal 60 2 5 2 2" xfId="25504"/>
    <cellStyle name="Normal 60 2 5 2 3" xfId="17207"/>
    <cellStyle name="Normal 60 2 5 3" xfId="21364"/>
    <cellStyle name="Normal 60 2 5 4" xfId="13067"/>
    <cellStyle name="Normal 60 2 6" xfId="6830"/>
    <cellStyle name="Normal 60 2 6 2" xfId="23434"/>
    <cellStyle name="Normal 60 2 6 3" xfId="15137"/>
    <cellStyle name="Normal 60 2 7" xfId="19291"/>
    <cellStyle name="Normal 60 2 8" xfId="10994"/>
    <cellStyle name="Normal 60 3" xfId="1801"/>
    <cellStyle name="Normal 60 3 2" xfId="1802"/>
    <cellStyle name="Normal 60 3 2 2" xfId="3134"/>
    <cellStyle name="Normal 60 3 2 2 2" xfId="4180"/>
    <cellStyle name="Normal 60 3 2 2 2 2" xfId="6305"/>
    <cellStyle name="Normal 60 3 2 2 2 2 2" xfId="10461"/>
    <cellStyle name="Normal 60 3 2 2 2 2 2 2" xfId="27058"/>
    <cellStyle name="Normal 60 3 2 2 2 2 2 3" xfId="18761"/>
    <cellStyle name="Normal 60 3 2 2 2 2 3" xfId="22918"/>
    <cellStyle name="Normal 60 3 2 2 2 2 4" xfId="14621"/>
    <cellStyle name="Normal 60 3 2 2 2 3" xfId="8389"/>
    <cellStyle name="Normal 60 3 2 2 2 3 2" xfId="24986"/>
    <cellStyle name="Normal 60 3 2 2 2 3 3" xfId="16689"/>
    <cellStyle name="Normal 60 3 2 2 2 4" xfId="20846"/>
    <cellStyle name="Normal 60 3 2 2 2 5" xfId="12549"/>
    <cellStyle name="Normal 60 3 2 2 3" xfId="5271"/>
    <cellStyle name="Normal 60 3 2 2 3 2" xfId="9427"/>
    <cellStyle name="Normal 60 3 2 2 3 2 2" xfId="26024"/>
    <cellStyle name="Normal 60 3 2 2 3 2 3" xfId="17727"/>
    <cellStyle name="Normal 60 3 2 2 3 3" xfId="21884"/>
    <cellStyle name="Normal 60 3 2 2 3 4" xfId="13587"/>
    <cellStyle name="Normal 60 3 2 2 4" xfId="7355"/>
    <cellStyle name="Normal 60 3 2 2 4 2" xfId="23952"/>
    <cellStyle name="Normal 60 3 2 2 4 3" xfId="15655"/>
    <cellStyle name="Normal 60 3 2 2 5" xfId="19812"/>
    <cellStyle name="Normal 60 3 2 2 6" xfId="11515"/>
    <cellStyle name="Normal 60 3 2 3" xfId="3662"/>
    <cellStyle name="Normal 60 3 2 3 2" xfId="5790"/>
    <cellStyle name="Normal 60 3 2 3 2 2" xfId="9946"/>
    <cellStyle name="Normal 60 3 2 3 2 2 2" xfId="26543"/>
    <cellStyle name="Normal 60 3 2 3 2 2 3" xfId="18246"/>
    <cellStyle name="Normal 60 3 2 3 2 3" xfId="22403"/>
    <cellStyle name="Normal 60 3 2 3 2 4" xfId="14106"/>
    <cellStyle name="Normal 60 3 2 3 3" xfId="7874"/>
    <cellStyle name="Normal 60 3 2 3 3 2" xfId="24471"/>
    <cellStyle name="Normal 60 3 2 3 3 3" xfId="16174"/>
    <cellStyle name="Normal 60 3 2 3 4" xfId="20331"/>
    <cellStyle name="Normal 60 3 2 3 5" xfId="12034"/>
    <cellStyle name="Normal 60 3 2 4" xfId="4742"/>
    <cellStyle name="Normal 60 3 2 4 2" xfId="8910"/>
    <cellStyle name="Normal 60 3 2 4 2 2" xfId="25507"/>
    <cellStyle name="Normal 60 3 2 4 2 3" xfId="17210"/>
    <cellStyle name="Normal 60 3 2 4 3" xfId="21367"/>
    <cellStyle name="Normal 60 3 2 4 4" xfId="13070"/>
    <cellStyle name="Normal 60 3 2 5" xfId="6833"/>
    <cellStyle name="Normal 60 3 2 5 2" xfId="23437"/>
    <cellStyle name="Normal 60 3 2 5 3" xfId="15140"/>
    <cellStyle name="Normal 60 3 2 6" xfId="19294"/>
    <cellStyle name="Normal 60 3 2 7" xfId="10997"/>
    <cellStyle name="Normal 60 3 3" xfId="3133"/>
    <cellStyle name="Normal 60 3 3 2" xfId="4179"/>
    <cellStyle name="Normal 60 3 3 2 2" xfId="6304"/>
    <cellStyle name="Normal 60 3 3 2 2 2" xfId="10460"/>
    <cellStyle name="Normal 60 3 3 2 2 2 2" xfId="27057"/>
    <cellStyle name="Normal 60 3 3 2 2 2 3" xfId="18760"/>
    <cellStyle name="Normal 60 3 3 2 2 3" xfId="22917"/>
    <cellStyle name="Normal 60 3 3 2 2 4" xfId="14620"/>
    <cellStyle name="Normal 60 3 3 2 3" xfId="8388"/>
    <cellStyle name="Normal 60 3 3 2 3 2" xfId="24985"/>
    <cellStyle name="Normal 60 3 3 2 3 3" xfId="16688"/>
    <cellStyle name="Normal 60 3 3 2 4" xfId="20845"/>
    <cellStyle name="Normal 60 3 3 2 5" xfId="12548"/>
    <cellStyle name="Normal 60 3 3 3" xfId="5270"/>
    <cellStyle name="Normal 60 3 3 3 2" xfId="9426"/>
    <cellStyle name="Normal 60 3 3 3 2 2" xfId="26023"/>
    <cellStyle name="Normal 60 3 3 3 2 3" xfId="17726"/>
    <cellStyle name="Normal 60 3 3 3 3" xfId="21883"/>
    <cellStyle name="Normal 60 3 3 3 4" xfId="13586"/>
    <cellStyle name="Normal 60 3 3 4" xfId="7354"/>
    <cellStyle name="Normal 60 3 3 4 2" xfId="23951"/>
    <cellStyle name="Normal 60 3 3 4 3" xfId="15654"/>
    <cellStyle name="Normal 60 3 3 5" xfId="19811"/>
    <cellStyle name="Normal 60 3 3 6" xfId="11514"/>
    <cellStyle name="Normal 60 3 4" xfId="3661"/>
    <cellStyle name="Normal 60 3 4 2" xfId="5789"/>
    <cellStyle name="Normal 60 3 4 2 2" xfId="9945"/>
    <cellStyle name="Normal 60 3 4 2 2 2" xfId="26542"/>
    <cellStyle name="Normal 60 3 4 2 2 3" xfId="18245"/>
    <cellStyle name="Normal 60 3 4 2 3" xfId="22402"/>
    <cellStyle name="Normal 60 3 4 2 4" xfId="14105"/>
    <cellStyle name="Normal 60 3 4 3" xfId="7873"/>
    <cellStyle name="Normal 60 3 4 3 2" xfId="24470"/>
    <cellStyle name="Normal 60 3 4 3 3" xfId="16173"/>
    <cellStyle name="Normal 60 3 4 4" xfId="20330"/>
    <cellStyle name="Normal 60 3 4 5" xfId="12033"/>
    <cellStyle name="Normal 60 3 5" xfId="4741"/>
    <cellStyle name="Normal 60 3 5 2" xfId="8909"/>
    <cellStyle name="Normal 60 3 5 2 2" xfId="25506"/>
    <cellStyle name="Normal 60 3 5 2 3" xfId="17209"/>
    <cellStyle name="Normal 60 3 5 3" xfId="21366"/>
    <cellStyle name="Normal 60 3 5 4" xfId="13069"/>
    <cellStyle name="Normal 60 3 6" xfId="6832"/>
    <cellStyle name="Normal 60 3 6 2" xfId="23436"/>
    <cellStyle name="Normal 60 3 6 3" xfId="15139"/>
    <cellStyle name="Normal 60 3 7" xfId="19293"/>
    <cellStyle name="Normal 60 3 8" xfId="10996"/>
    <cellStyle name="Normal 60 4" xfId="1803"/>
    <cellStyle name="Normal 60 4 2" xfId="3135"/>
    <cellStyle name="Normal 60 4 2 2" xfId="4181"/>
    <cellStyle name="Normal 60 4 2 2 2" xfId="6306"/>
    <cellStyle name="Normal 60 4 2 2 2 2" xfId="10462"/>
    <cellStyle name="Normal 60 4 2 2 2 2 2" xfId="27059"/>
    <cellStyle name="Normal 60 4 2 2 2 2 3" xfId="18762"/>
    <cellStyle name="Normal 60 4 2 2 2 3" xfId="22919"/>
    <cellStyle name="Normal 60 4 2 2 2 4" xfId="14622"/>
    <cellStyle name="Normal 60 4 2 2 3" xfId="8390"/>
    <cellStyle name="Normal 60 4 2 2 3 2" xfId="24987"/>
    <cellStyle name="Normal 60 4 2 2 3 3" xfId="16690"/>
    <cellStyle name="Normal 60 4 2 2 4" xfId="20847"/>
    <cellStyle name="Normal 60 4 2 2 5" xfId="12550"/>
    <cellStyle name="Normal 60 4 2 3" xfId="5272"/>
    <cellStyle name="Normal 60 4 2 3 2" xfId="9428"/>
    <cellStyle name="Normal 60 4 2 3 2 2" xfId="26025"/>
    <cellStyle name="Normal 60 4 2 3 2 3" xfId="17728"/>
    <cellStyle name="Normal 60 4 2 3 3" xfId="21885"/>
    <cellStyle name="Normal 60 4 2 3 4" xfId="13588"/>
    <cellStyle name="Normal 60 4 2 4" xfId="7356"/>
    <cellStyle name="Normal 60 4 2 4 2" xfId="23953"/>
    <cellStyle name="Normal 60 4 2 4 3" xfId="15656"/>
    <cellStyle name="Normal 60 4 2 5" xfId="19813"/>
    <cellStyle name="Normal 60 4 2 6" xfId="11516"/>
    <cellStyle name="Normal 60 4 3" xfId="3663"/>
    <cellStyle name="Normal 60 4 3 2" xfId="5791"/>
    <cellStyle name="Normal 60 4 3 2 2" xfId="9947"/>
    <cellStyle name="Normal 60 4 3 2 2 2" xfId="26544"/>
    <cellStyle name="Normal 60 4 3 2 2 3" xfId="18247"/>
    <cellStyle name="Normal 60 4 3 2 3" xfId="22404"/>
    <cellStyle name="Normal 60 4 3 2 4" xfId="14107"/>
    <cellStyle name="Normal 60 4 3 3" xfId="7875"/>
    <cellStyle name="Normal 60 4 3 3 2" xfId="24472"/>
    <cellStyle name="Normal 60 4 3 3 3" xfId="16175"/>
    <cellStyle name="Normal 60 4 3 4" xfId="20332"/>
    <cellStyle name="Normal 60 4 3 5" xfId="12035"/>
    <cellStyle name="Normal 60 4 4" xfId="4743"/>
    <cellStyle name="Normal 60 4 4 2" xfId="8911"/>
    <cellStyle name="Normal 60 4 4 2 2" xfId="25508"/>
    <cellStyle name="Normal 60 4 4 2 3" xfId="17211"/>
    <cellStyle name="Normal 60 4 4 3" xfId="21368"/>
    <cellStyle name="Normal 60 4 4 4" xfId="13071"/>
    <cellStyle name="Normal 60 4 5" xfId="6834"/>
    <cellStyle name="Normal 60 4 5 2" xfId="23438"/>
    <cellStyle name="Normal 60 4 5 3" xfId="15141"/>
    <cellStyle name="Normal 60 4 6" xfId="19295"/>
    <cellStyle name="Normal 60 4 7" xfId="10998"/>
    <cellStyle name="Normal 60 5" xfId="3130"/>
    <cellStyle name="Normal 60 5 2" xfId="4176"/>
    <cellStyle name="Normal 60 5 2 2" xfId="6301"/>
    <cellStyle name="Normal 60 5 2 2 2" xfId="10457"/>
    <cellStyle name="Normal 60 5 2 2 2 2" xfId="27054"/>
    <cellStyle name="Normal 60 5 2 2 2 3" xfId="18757"/>
    <cellStyle name="Normal 60 5 2 2 3" xfId="22914"/>
    <cellStyle name="Normal 60 5 2 2 4" xfId="14617"/>
    <cellStyle name="Normal 60 5 2 3" xfId="8385"/>
    <cellStyle name="Normal 60 5 2 3 2" xfId="24982"/>
    <cellStyle name="Normal 60 5 2 3 3" xfId="16685"/>
    <cellStyle name="Normal 60 5 2 4" xfId="20842"/>
    <cellStyle name="Normal 60 5 2 5" xfId="12545"/>
    <cellStyle name="Normal 60 5 3" xfId="5267"/>
    <cellStyle name="Normal 60 5 3 2" xfId="9423"/>
    <cellStyle name="Normal 60 5 3 2 2" xfId="26020"/>
    <cellStyle name="Normal 60 5 3 2 3" xfId="17723"/>
    <cellStyle name="Normal 60 5 3 3" xfId="21880"/>
    <cellStyle name="Normal 60 5 3 4" xfId="13583"/>
    <cellStyle name="Normal 60 5 4" xfId="7351"/>
    <cellStyle name="Normal 60 5 4 2" xfId="23948"/>
    <cellStyle name="Normal 60 5 4 3" xfId="15651"/>
    <cellStyle name="Normal 60 5 5" xfId="19808"/>
    <cellStyle name="Normal 60 5 6" xfId="11511"/>
    <cellStyle name="Normal 60 6" xfId="3658"/>
    <cellStyle name="Normal 60 6 2" xfId="5786"/>
    <cellStyle name="Normal 60 6 2 2" xfId="9942"/>
    <cellStyle name="Normal 60 6 2 2 2" xfId="26539"/>
    <cellStyle name="Normal 60 6 2 2 3" xfId="18242"/>
    <cellStyle name="Normal 60 6 2 3" xfId="22399"/>
    <cellStyle name="Normal 60 6 2 4" xfId="14102"/>
    <cellStyle name="Normal 60 6 3" xfId="7870"/>
    <cellStyle name="Normal 60 6 3 2" xfId="24467"/>
    <cellStyle name="Normal 60 6 3 3" xfId="16170"/>
    <cellStyle name="Normal 60 6 4" xfId="20327"/>
    <cellStyle name="Normal 60 6 5" xfId="12030"/>
    <cellStyle name="Normal 60 7" xfId="4738"/>
    <cellStyle name="Normal 60 7 2" xfId="8906"/>
    <cellStyle name="Normal 60 7 2 2" xfId="25503"/>
    <cellStyle name="Normal 60 7 2 3" xfId="17206"/>
    <cellStyle name="Normal 60 7 3" xfId="21363"/>
    <cellStyle name="Normal 60 7 4" xfId="13066"/>
    <cellStyle name="Normal 60 8" xfId="6829"/>
    <cellStyle name="Normal 60 8 2" xfId="23433"/>
    <cellStyle name="Normal 60 8 3" xfId="15136"/>
    <cellStyle name="Normal 60 9" xfId="19290"/>
    <cellStyle name="Normal 61" xfId="1804"/>
    <cellStyle name="Normal 61 10" xfId="10999"/>
    <cellStyle name="Normal 61 2" xfId="1805"/>
    <cellStyle name="Normal 61 2 2" xfId="1806"/>
    <cellStyle name="Normal 61 2 2 2" xfId="3138"/>
    <cellStyle name="Normal 61 2 2 2 2" xfId="4184"/>
    <cellStyle name="Normal 61 2 2 2 2 2" xfId="6309"/>
    <cellStyle name="Normal 61 2 2 2 2 2 2" xfId="10465"/>
    <cellStyle name="Normal 61 2 2 2 2 2 2 2" xfId="27062"/>
    <cellStyle name="Normal 61 2 2 2 2 2 2 3" xfId="18765"/>
    <cellStyle name="Normal 61 2 2 2 2 2 3" xfId="22922"/>
    <cellStyle name="Normal 61 2 2 2 2 2 4" xfId="14625"/>
    <cellStyle name="Normal 61 2 2 2 2 3" xfId="8393"/>
    <cellStyle name="Normal 61 2 2 2 2 3 2" xfId="24990"/>
    <cellStyle name="Normal 61 2 2 2 2 3 3" xfId="16693"/>
    <cellStyle name="Normal 61 2 2 2 2 4" xfId="20850"/>
    <cellStyle name="Normal 61 2 2 2 2 5" xfId="12553"/>
    <cellStyle name="Normal 61 2 2 2 3" xfId="5275"/>
    <cellStyle name="Normal 61 2 2 2 3 2" xfId="9431"/>
    <cellStyle name="Normal 61 2 2 2 3 2 2" xfId="26028"/>
    <cellStyle name="Normal 61 2 2 2 3 2 3" xfId="17731"/>
    <cellStyle name="Normal 61 2 2 2 3 3" xfId="21888"/>
    <cellStyle name="Normal 61 2 2 2 3 4" xfId="13591"/>
    <cellStyle name="Normal 61 2 2 2 4" xfId="7359"/>
    <cellStyle name="Normal 61 2 2 2 4 2" xfId="23956"/>
    <cellStyle name="Normal 61 2 2 2 4 3" xfId="15659"/>
    <cellStyle name="Normal 61 2 2 2 5" xfId="19816"/>
    <cellStyle name="Normal 61 2 2 2 6" xfId="11519"/>
    <cellStyle name="Normal 61 2 2 3" xfId="3666"/>
    <cellStyle name="Normal 61 2 2 3 2" xfId="5794"/>
    <cellStyle name="Normal 61 2 2 3 2 2" xfId="9950"/>
    <cellStyle name="Normal 61 2 2 3 2 2 2" xfId="26547"/>
    <cellStyle name="Normal 61 2 2 3 2 2 3" xfId="18250"/>
    <cellStyle name="Normal 61 2 2 3 2 3" xfId="22407"/>
    <cellStyle name="Normal 61 2 2 3 2 4" xfId="14110"/>
    <cellStyle name="Normal 61 2 2 3 3" xfId="7878"/>
    <cellStyle name="Normal 61 2 2 3 3 2" xfId="24475"/>
    <cellStyle name="Normal 61 2 2 3 3 3" xfId="16178"/>
    <cellStyle name="Normal 61 2 2 3 4" xfId="20335"/>
    <cellStyle name="Normal 61 2 2 3 5" xfId="12038"/>
    <cellStyle name="Normal 61 2 2 4" xfId="4746"/>
    <cellStyle name="Normal 61 2 2 4 2" xfId="8914"/>
    <cellStyle name="Normal 61 2 2 4 2 2" xfId="25511"/>
    <cellStyle name="Normal 61 2 2 4 2 3" xfId="17214"/>
    <cellStyle name="Normal 61 2 2 4 3" xfId="21371"/>
    <cellStyle name="Normal 61 2 2 4 4" xfId="13074"/>
    <cellStyle name="Normal 61 2 2 5" xfId="6837"/>
    <cellStyle name="Normal 61 2 2 5 2" xfId="23441"/>
    <cellStyle name="Normal 61 2 2 5 3" xfId="15144"/>
    <cellStyle name="Normal 61 2 2 6" xfId="19298"/>
    <cellStyle name="Normal 61 2 2 7" xfId="11001"/>
    <cellStyle name="Normal 61 2 3" xfId="3137"/>
    <cellStyle name="Normal 61 2 3 2" xfId="4183"/>
    <cellStyle name="Normal 61 2 3 2 2" xfId="6308"/>
    <cellStyle name="Normal 61 2 3 2 2 2" xfId="10464"/>
    <cellStyle name="Normal 61 2 3 2 2 2 2" xfId="27061"/>
    <cellStyle name="Normal 61 2 3 2 2 2 3" xfId="18764"/>
    <cellStyle name="Normal 61 2 3 2 2 3" xfId="22921"/>
    <cellStyle name="Normal 61 2 3 2 2 4" xfId="14624"/>
    <cellStyle name="Normal 61 2 3 2 3" xfId="8392"/>
    <cellStyle name="Normal 61 2 3 2 3 2" xfId="24989"/>
    <cellStyle name="Normal 61 2 3 2 3 3" xfId="16692"/>
    <cellStyle name="Normal 61 2 3 2 4" xfId="20849"/>
    <cellStyle name="Normal 61 2 3 2 5" xfId="12552"/>
    <cellStyle name="Normal 61 2 3 3" xfId="5274"/>
    <cellStyle name="Normal 61 2 3 3 2" xfId="9430"/>
    <cellStyle name="Normal 61 2 3 3 2 2" xfId="26027"/>
    <cellStyle name="Normal 61 2 3 3 2 3" xfId="17730"/>
    <cellStyle name="Normal 61 2 3 3 3" xfId="21887"/>
    <cellStyle name="Normal 61 2 3 3 4" xfId="13590"/>
    <cellStyle name="Normal 61 2 3 4" xfId="7358"/>
    <cellStyle name="Normal 61 2 3 4 2" xfId="23955"/>
    <cellStyle name="Normal 61 2 3 4 3" xfId="15658"/>
    <cellStyle name="Normal 61 2 3 5" xfId="19815"/>
    <cellStyle name="Normal 61 2 3 6" xfId="11518"/>
    <cellStyle name="Normal 61 2 4" xfId="3665"/>
    <cellStyle name="Normal 61 2 4 2" xfId="5793"/>
    <cellStyle name="Normal 61 2 4 2 2" xfId="9949"/>
    <cellStyle name="Normal 61 2 4 2 2 2" xfId="26546"/>
    <cellStyle name="Normal 61 2 4 2 2 3" xfId="18249"/>
    <cellStyle name="Normal 61 2 4 2 3" xfId="22406"/>
    <cellStyle name="Normal 61 2 4 2 4" xfId="14109"/>
    <cellStyle name="Normal 61 2 4 3" xfId="7877"/>
    <cellStyle name="Normal 61 2 4 3 2" xfId="24474"/>
    <cellStyle name="Normal 61 2 4 3 3" xfId="16177"/>
    <cellStyle name="Normal 61 2 4 4" xfId="20334"/>
    <cellStyle name="Normal 61 2 4 5" xfId="12037"/>
    <cellStyle name="Normal 61 2 5" xfId="4745"/>
    <cellStyle name="Normal 61 2 5 2" xfId="8913"/>
    <cellStyle name="Normal 61 2 5 2 2" xfId="25510"/>
    <cellStyle name="Normal 61 2 5 2 3" xfId="17213"/>
    <cellStyle name="Normal 61 2 5 3" xfId="21370"/>
    <cellStyle name="Normal 61 2 5 4" xfId="13073"/>
    <cellStyle name="Normal 61 2 6" xfId="6836"/>
    <cellStyle name="Normal 61 2 6 2" xfId="23440"/>
    <cellStyle name="Normal 61 2 6 3" xfId="15143"/>
    <cellStyle name="Normal 61 2 7" xfId="19297"/>
    <cellStyle name="Normal 61 2 8" xfId="11000"/>
    <cellStyle name="Normal 61 3" xfId="1807"/>
    <cellStyle name="Normal 61 3 2" xfId="1808"/>
    <cellStyle name="Normal 61 3 2 2" xfId="3140"/>
    <cellStyle name="Normal 61 3 2 2 2" xfId="4186"/>
    <cellStyle name="Normal 61 3 2 2 2 2" xfId="6311"/>
    <cellStyle name="Normal 61 3 2 2 2 2 2" xfId="10467"/>
    <cellStyle name="Normal 61 3 2 2 2 2 2 2" xfId="27064"/>
    <cellStyle name="Normal 61 3 2 2 2 2 2 3" xfId="18767"/>
    <cellStyle name="Normal 61 3 2 2 2 2 3" xfId="22924"/>
    <cellStyle name="Normal 61 3 2 2 2 2 4" xfId="14627"/>
    <cellStyle name="Normal 61 3 2 2 2 3" xfId="8395"/>
    <cellStyle name="Normal 61 3 2 2 2 3 2" xfId="24992"/>
    <cellStyle name="Normal 61 3 2 2 2 3 3" xfId="16695"/>
    <cellStyle name="Normal 61 3 2 2 2 4" xfId="20852"/>
    <cellStyle name="Normal 61 3 2 2 2 5" xfId="12555"/>
    <cellStyle name="Normal 61 3 2 2 3" xfId="5277"/>
    <cellStyle name="Normal 61 3 2 2 3 2" xfId="9433"/>
    <cellStyle name="Normal 61 3 2 2 3 2 2" xfId="26030"/>
    <cellStyle name="Normal 61 3 2 2 3 2 3" xfId="17733"/>
    <cellStyle name="Normal 61 3 2 2 3 3" xfId="21890"/>
    <cellStyle name="Normal 61 3 2 2 3 4" xfId="13593"/>
    <cellStyle name="Normal 61 3 2 2 4" xfId="7361"/>
    <cellStyle name="Normal 61 3 2 2 4 2" xfId="23958"/>
    <cellStyle name="Normal 61 3 2 2 4 3" xfId="15661"/>
    <cellStyle name="Normal 61 3 2 2 5" xfId="19818"/>
    <cellStyle name="Normal 61 3 2 2 6" xfId="11521"/>
    <cellStyle name="Normal 61 3 2 3" xfId="3668"/>
    <cellStyle name="Normal 61 3 2 3 2" xfId="5796"/>
    <cellStyle name="Normal 61 3 2 3 2 2" xfId="9952"/>
    <cellStyle name="Normal 61 3 2 3 2 2 2" xfId="26549"/>
    <cellStyle name="Normal 61 3 2 3 2 2 3" xfId="18252"/>
    <cellStyle name="Normal 61 3 2 3 2 3" xfId="22409"/>
    <cellStyle name="Normal 61 3 2 3 2 4" xfId="14112"/>
    <cellStyle name="Normal 61 3 2 3 3" xfId="7880"/>
    <cellStyle name="Normal 61 3 2 3 3 2" xfId="24477"/>
    <cellStyle name="Normal 61 3 2 3 3 3" xfId="16180"/>
    <cellStyle name="Normal 61 3 2 3 4" xfId="20337"/>
    <cellStyle name="Normal 61 3 2 3 5" xfId="12040"/>
    <cellStyle name="Normal 61 3 2 4" xfId="4748"/>
    <cellStyle name="Normal 61 3 2 4 2" xfId="8916"/>
    <cellStyle name="Normal 61 3 2 4 2 2" xfId="25513"/>
    <cellStyle name="Normal 61 3 2 4 2 3" xfId="17216"/>
    <cellStyle name="Normal 61 3 2 4 3" xfId="21373"/>
    <cellStyle name="Normal 61 3 2 4 4" xfId="13076"/>
    <cellStyle name="Normal 61 3 2 5" xfId="6839"/>
    <cellStyle name="Normal 61 3 2 5 2" xfId="23443"/>
    <cellStyle name="Normal 61 3 2 5 3" xfId="15146"/>
    <cellStyle name="Normal 61 3 2 6" xfId="19300"/>
    <cellStyle name="Normal 61 3 2 7" xfId="11003"/>
    <cellStyle name="Normal 61 3 3" xfId="3139"/>
    <cellStyle name="Normal 61 3 3 2" xfId="4185"/>
    <cellStyle name="Normal 61 3 3 2 2" xfId="6310"/>
    <cellStyle name="Normal 61 3 3 2 2 2" xfId="10466"/>
    <cellStyle name="Normal 61 3 3 2 2 2 2" xfId="27063"/>
    <cellStyle name="Normal 61 3 3 2 2 2 3" xfId="18766"/>
    <cellStyle name="Normal 61 3 3 2 2 3" xfId="22923"/>
    <cellStyle name="Normal 61 3 3 2 2 4" xfId="14626"/>
    <cellStyle name="Normal 61 3 3 2 3" xfId="8394"/>
    <cellStyle name="Normal 61 3 3 2 3 2" xfId="24991"/>
    <cellStyle name="Normal 61 3 3 2 3 3" xfId="16694"/>
    <cellStyle name="Normal 61 3 3 2 4" xfId="20851"/>
    <cellStyle name="Normal 61 3 3 2 5" xfId="12554"/>
    <cellStyle name="Normal 61 3 3 3" xfId="5276"/>
    <cellStyle name="Normal 61 3 3 3 2" xfId="9432"/>
    <cellStyle name="Normal 61 3 3 3 2 2" xfId="26029"/>
    <cellStyle name="Normal 61 3 3 3 2 3" xfId="17732"/>
    <cellStyle name="Normal 61 3 3 3 3" xfId="21889"/>
    <cellStyle name="Normal 61 3 3 3 4" xfId="13592"/>
    <cellStyle name="Normal 61 3 3 4" xfId="7360"/>
    <cellStyle name="Normal 61 3 3 4 2" xfId="23957"/>
    <cellStyle name="Normal 61 3 3 4 3" xfId="15660"/>
    <cellStyle name="Normal 61 3 3 5" xfId="19817"/>
    <cellStyle name="Normal 61 3 3 6" xfId="11520"/>
    <cellStyle name="Normal 61 3 4" xfId="3667"/>
    <cellStyle name="Normal 61 3 4 2" xfId="5795"/>
    <cellStyle name="Normal 61 3 4 2 2" xfId="9951"/>
    <cellStyle name="Normal 61 3 4 2 2 2" xfId="26548"/>
    <cellStyle name="Normal 61 3 4 2 2 3" xfId="18251"/>
    <cellStyle name="Normal 61 3 4 2 3" xfId="22408"/>
    <cellStyle name="Normal 61 3 4 2 4" xfId="14111"/>
    <cellStyle name="Normal 61 3 4 3" xfId="7879"/>
    <cellStyle name="Normal 61 3 4 3 2" xfId="24476"/>
    <cellStyle name="Normal 61 3 4 3 3" xfId="16179"/>
    <cellStyle name="Normal 61 3 4 4" xfId="20336"/>
    <cellStyle name="Normal 61 3 4 5" xfId="12039"/>
    <cellStyle name="Normal 61 3 5" xfId="4747"/>
    <cellStyle name="Normal 61 3 5 2" xfId="8915"/>
    <cellStyle name="Normal 61 3 5 2 2" xfId="25512"/>
    <cellStyle name="Normal 61 3 5 2 3" xfId="17215"/>
    <cellStyle name="Normal 61 3 5 3" xfId="21372"/>
    <cellStyle name="Normal 61 3 5 4" xfId="13075"/>
    <cellStyle name="Normal 61 3 6" xfId="6838"/>
    <cellStyle name="Normal 61 3 6 2" xfId="23442"/>
    <cellStyle name="Normal 61 3 6 3" xfId="15145"/>
    <cellStyle name="Normal 61 3 7" xfId="19299"/>
    <cellStyle name="Normal 61 3 8" xfId="11002"/>
    <cellStyle name="Normal 61 4" xfId="1809"/>
    <cellStyle name="Normal 61 4 2" xfId="3141"/>
    <cellStyle name="Normal 61 4 2 2" xfId="4187"/>
    <cellStyle name="Normal 61 4 2 2 2" xfId="6312"/>
    <cellStyle name="Normal 61 4 2 2 2 2" xfId="10468"/>
    <cellStyle name="Normal 61 4 2 2 2 2 2" xfId="27065"/>
    <cellStyle name="Normal 61 4 2 2 2 2 3" xfId="18768"/>
    <cellStyle name="Normal 61 4 2 2 2 3" xfId="22925"/>
    <cellStyle name="Normal 61 4 2 2 2 4" xfId="14628"/>
    <cellStyle name="Normal 61 4 2 2 3" xfId="8396"/>
    <cellStyle name="Normal 61 4 2 2 3 2" xfId="24993"/>
    <cellStyle name="Normal 61 4 2 2 3 3" xfId="16696"/>
    <cellStyle name="Normal 61 4 2 2 4" xfId="20853"/>
    <cellStyle name="Normal 61 4 2 2 5" xfId="12556"/>
    <cellStyle name="Normal 61 4 2 3" xfId="5278"/>
    <cellStyle name="Normal 61 4 2 3 2" xfId="9434"/>
    <cellStyle name="Normal 61 4 2 3 2 2" xfId="26031"/>
    <cellStyle name="Normal 61 4 2 3 2 3" xfId="17734"/>
    <cellStyle name="Normal 61 4 2 3 3" xfId="21891"/>
    <cellStyle name="Normal 61 4 2 3 4" xfId="13594"/>
    <cellStyle name="Normal 61 4 2 4" xfId="7362"/>
    <cellStyle name="Normal 61 4 2 4 2" xfId="23959"/>
    <cellStyle name="Normal 61 4 2 4 3" xfId="15662"/>
    <cellStyle name="Normal 61 4 2 5" xfId="19819"/>
    <cellStyle name="Normal 61 4 2 6" xfId="11522"/>
    <cellStyle name="Normal 61 4 3" xfId="3669"/>
    <cellStyle name="Normal 61 4 3 2" xfId="5797"/>
    <cellStyle name="Normal 61 4 3 2 2" xfId="9953"/>
    <cellStyle name="Normal 61 4 3 2 2 2" xfId="26550"/>
    <cellStyle name="Normal 61 4 3 2 2 3" xfId="18253"/>
    <cellStyle name="Normal 61 4 3 2 3" xfId="22410"/>
    <cellStyle name="Normal 61 4 3 2 4" xfId="14113"/>
    <cellStyle name="Normal 61 4 3 3" xfId="7881"/>
    <cellStyle name="Normal 61 4 3 3 2" xfId="24478"/>
    <cellStyle name="Normal 61 4 3 3 3" xfId="16181"/>
    <cellStyle name="Normal 61 4 3 4" xfId="20338"/>
    <cellStyle name="Normal 61 4 3 5" xfId="12041"/>
    <cellStyle name="Normal 61 4 4" xfId="4749"/>
    <cellStyle name="Normal 61 4 4 2" xfId="8917"/>
    <cellStyle name="Normal 61 4 4 2 2" xfId="25514"/>
    <cellStyle name="Normal 61 4 4 2 3" xfId="17217"/>
    <cellStyle name="Normal 61 4 4 3" xfId="21374"/>
    <cellStyle name="Normal 61 4 4 4" xfId="13077"/>
    <cellStyle name="Normal 61 4 5" xfId="6840"/>
    <cellStyle name="Normal 61 4 5 2" xfId="23444"/>
    <cellStyle name="Normal 61 4 5 3" xfId="15147"/>
    <cellStyle name="Normal 61 4 6" xfId="19301"/>
    <cellStyle name="Normal 61 4 7" xfId="11004"/>
    <cellStyle name="Normal 61 5" xfId="3136"/>
    <cellStyle name="Normal 61 5 2" xfId="4182"/>
    <cellStyle name="Normal 61 5 2 2" xfId="6307"/>
    <cellStyle name="Normal 61 5 2 2 2" xfId="10463"/>
    <cellStyle name="Normal 61 5 2 2 2 2" xfId="27060"/>
    <cellStyle name="Normal 61 5 2 2 2 3" xfId="18763"/>
    <cellStyle name="Normal 61 5 2 2 3" xfId="22920"/>
    <cellStyle name="Normal 61 5 2 2 4" xfId="14623"/>
    <cellStyle name="Normal 61 5 2 3" xfId="8391"/>
    <cellStyle name="Normal 61 5 2 3 2" xfId="24988"/>
    <cellStyle name="Normal 61 5 2 3 3" xfId="16691"/>
    <cellStyle name="Normal 61 5 2 4" xfId="20848"/>
    <cellStyle name="Normal 61 5 2 5" xfId="12551"/>
    <cellStyle name="Normal 61 5 3" xfId="5273"/>
    <cellStyle name="Normal 61 5 3 2" xfId="9429"/>
    <cellStyle name="Normal 61 5 3 2 2" xfId="26026"/>
    <cellStyle name="Normal 61 5 3 2 3" xfId="17729"/>
    <cellStyle name="Normal 61 5 3 3" xfId="21886"/>
    <cellStyle name="Normal 61 5 3 4" xfId="13589"/>
    <cellStyle name="Normal 61 5 4" xfId="7357"/>
    <cellStyle name="Normal 61 5 4 2" xfId="23954"/>
    <cellStyle name="Normal 61 5 4 3" xfId="15657"/>
    <cellStyle name="Normal 61 5 5" xfId="19814"/>
    <cellStyle name="Normal 61 5 6" xfId="11517"/>
    <cellStyle name="Normal 61 6" xfId="3664"/>
    <cellStyle name="Normal 61 6 2" xfId="5792"/>
    <cellStyle name="Normal 61 6 2 2" xfId="9948"/>
    <cellStyle name="Normal 61 6 2 2 2" xfId="26545"/>
    <cellStyle name="Normal 61 6 2 2 3" xfId="18248"/>
    <cellStyle name="Normal 61 6 2 3" xfId="22405"/>
    <cellStyle name="Normal 61 6 2 4" xfId="14108"/>
    <cellStyle name="Normal 61 6 3" xfId="7876"/>
    <cellStyle name="Normal 61 6 3 2" xfId="24473"/>
    <cellStyle name="Normal 61 6 3 3" xfId="16176"/>
    <cellStyle name="Normal 61 6 4" xfId="20333"/>
    <cellStyle name="Normal 61 6 5" xfId="12036"/>
    <cellStyle name="Normal 61 7" xfId="4744"/>
    <cellStyle name="Normal 61 7 2" xfId="8912"/>
    <cellStyle name="Normal 61 7 2 2" xfId="25509"/>
    <cellStyle name="Normal 61 7 2 3" xfId="17212"/>
    <cellStyle name="Normal 61 7 3" xfId="21369"/>
    <cellStyle name="Normal 61 7 4" xfId="13072"/>
    <cellStyle name="Normal 61 8" xfId="6835"/>
    <cellStyle name="Normal 61 8 2" xfId="23439"/>
    <cellStyle name="Normal 61 8 3" xfId="15142"/>
    <cellStyle name="Normal 61 9" xfId="19296"/>
    <cellStyle name="Normal 62" xfId="1810"/>
    <cellStyle name="Normal 62 10" xfId="11005"/>
    <cellStyle name="Normal 62 2" xfId="1811"/>
    <cellStyle name="Normal 62 2 2" xfId="1812"/>
    <cellStyle name="Normal 62 2 2 2" xfId="3144"/>
    <cellStyle name="Normal 62 2 2 2 2" xfId="4190"/>
    <cellStyle name="Normal 62 2 2 2 2 2" xfId="6315"/>
    <cellStyle name="Normal 62 2 2 2 2 2 2" xfId="10471"/>
    <cellStyle name="Normal 62 2 2 2 2 2 2 2" xfId="27068"/>
    <cellStyle name="Normal 62 2 2 2 2 2 2 3" xfId="18771"/>
    <cellStyle name="Normal 62 2 2 2 2 2 3" xfId="22928"/>
    <cellStyle name="Normal 62 2 2 2 2 2 4" xfId="14631"/>
    <cellStyle name="Normal 62 2 2 2 2 3" xfId="8399"/>
    <cellStyle name="Normal 62 2 2 2 2 3 2" xfId="24996"/>
    <cellStyle name="Normal 62 2 2 2 2 3 3" xfId="16699"/>
    <cellStyle name="Normal 62 2 2 2 2 4" xfId="20856"/>
    <cellStyle name="Normal 62 2 2 2 2 5" xfId="12559"/>
    <cellStyle name="Normal 62 2 2 2 3" xfId="5281"/>
    <cellStyle name="Normal 62 2 2 2 3 2" xfId="9437"/>
    <cellStyle name="Normal 62 2 2 2 3 2 2" xfId="26034"/>
    <cellStyle name="Normal 62 2 2 2 3 2 3" xfId="17737"/>
    <cellStyle name="Normal 62 2 2 2 3 3" xfId="21894"/>
    <cellStyle name="Normal 62 2 2 2 3 4" xfId="13597"/>
    <cellStyle name="Normal 62 2 2 2 4" xfId="7365"/>
    <cellStyle name="Normal 62 2 2 2 4 2" xfId="23962"/>
    <cellStyle name="Normal 62 2 2 2 4 3" xfId="15665"/>
    <cellStyle name="Normal 62 2 2 2 5" xfId="19822"/>
    <cellStyle name="Normal 62 2 2 2 6" xfId="11525"/>
    <cellStyle name="Normal 62 2 2 3" xfId="3672"/>
    <cellStyle name="Normal 62 2 2 3 2" xfId="5800"/>
    <cellStyle name="Normal 62 2 2 3 2 2" xfId="9956"/>
    <cellStyle name="Normal 62 2 2 3 2 2 2" xfId="26553"/>
    <cellStyle name="Normal 62 2 2 3 2 2 3" xfId="18256"/>
    <cellStyle name="Normal 62 2 2 3 2 3" xfId="22413"/>
    <cellStyle name="Normal 62 2 2 3 2 4" xfId="14116"/>
    <cellStyle name="Normal 62 2 2 3 3" xfId="7884"/>
    <cellStyle name="Normal 62 2 2 3 3 2" xfId="24481"/>
    <cellStyle name="Normal 62 2 2 3 3 3" xfId="16184"/>
    <cellStyle name="Normal 62 2 2 3 4" xfId="20341"/>
    <cellStyle name="Normal 62 2 2 3 5" xfId="12044"/>
    <cellStyle name="Normal 62 2 2 4" xfId="4752"/>
    <cellStyle name="Normal 62 2 2 4 2" xfId="8920"/>
    <cellStyle name="Normal 62 2 2 4 2 2" xfId="25517"/>
    <cellStyle name="Normal 62 2 2 4 2 3" xfId="17220"/>
    <cellStyle name="Normal 62 2 2 4 3" xfId="21377"/>
    <cellStyle name="Normal 62 2 2 4 4" xfId="13080"/>
    <cellStyle name="Normal 62 2 2 5" xfId="6843"/>
    <cellStyle name="Normal 62 2 2 5 2" xfId="23447"/>
    <cellStyle name="Normal 62 2 2 5 3" xfId="15150"/>
    <cellStyle name="Normal 62 2 2 6" xfId="19304"/>
    <cellStyle name="Normal 62 2 2 7" xfId="11007"/>
    <cellStyle name="Normal 62 2 3" xfId="3143"/>
    <cellStyle name="Normal 62 2 3 2" xfId="4189"/>
    <cellStyle name="Normal 62 2 3 2 2" xfId="6314"/>
    <cellStyle name="Normal 62 2 3 2 2 2" xfId="10470"/>
    <cellStyle name="Normal 62 2 3 2 2 2 2" xfId="27067"/>
    <cellStyle name="Normal 62 2 3 2 2 2 3" xfId="18770"/>
    <cellStyle name="Normal 62 2 3 2 2 3" xfId="22927"/>
    <cellStyle name="Normal 62 2 3 2 2 4" xfId="14630"/>
    <cellStyle name="Normal 62 2 3 2 3" xfId="8398"/>
    <cellStyle name="Normal 62 2 3 2 3 2" xfId="24995"/>
    <cellStyle name="Normal 62 2 3 2 3 3" xfId="16698"/>
    <cellStyle name="Normal 62 2 3 2 4" xfId="20855"/>
    <cellStyle name="Normal 62 2 3 2 5" xfId="12558"/>
    <cellStyle name="Normal 62 2 3 3" xfId="5280"/>
    <cellStyle name="Normal 62 2 3 3 2" xfId="9436"/>
    <cellStyle name="Normal 62 2 3 3 2 2" xfId="26033"/>
    <cellStyle name="Normal 62 2 3 3 2 3" xfId="17736"/>
    <cellStyle name="Normal 62 2 3 3 3" xfId="21893"/>
    <cellStyle name="Normal 62 2 3 3 4" xfId="13596"/>
    <cellStyle name="Normal 62 2 3 4" xfId="7364"/>
    <cellStyle name="Normal 62 2 3 4 2" xfId="23961"/>
    <cellStyle name="Normal 62 2 3 4 3" xfId="15664"/>
    <cellStyle name="Normal 62 2 3 5" xfId="19821"/>
    <cellStyle name="Normal 62 2 3 6" xfId="11524"/>
    <cellStyle name="Normal 62 2 4" xfId="3671"/>
    <cellStyle name="Normal 62 2 4 2" xfId="5799"/>
    <cellStyle name="Normal 62 2 4 2 2" xfId="9955"/>
    <cellStyle name="Normal 62 2 4 2 2 2" xfId="26552"/>
    <cellStyle name="Normal 62 2 4 2 2 3" xfId="18255"/>
    <cellStyle name="Normal 62 2 4 2 3" xfId="22412"/>
    <cellStyle name="Normal 62 2 4 2 4" xfId="14115"/>
    <cellStyle name="Normal 62 2 4 3" xfId="7883"/>
    <cellStyle name="Normal 62 2 4 3 2" xfId="24480"/>
    <cellStyle name="Normal 62 2 4 3 3" xfId="16183"/>
    <cellStyle name="Normal 62 2 4 4" xfId="20340"/>
    <cellStyle name="Normal 62 2 4 5" xfId="12043"/>
    <cellStyle name="Normal 62 2 5" xfId="4751"/>
    <cellStyle name="Normal 62 2 5 2" xfId="8919"/>
    <cellStyle name="Normal 62 2 5 2 2" xfId="25516"/>
    <cellStyle name="Normal 62 2 5 2 3" xfId="17219"/>
    <cellStyle name="Normal 62 2 5 3" xfId="21376"/>
    <cellStyle name="Normal 62 2 5 4" xfId="13079"/>
    <cellStyle name="Normal 62 2 6" xfId="6842"/>
    <cellStyle name="Normal 62 2 6 2" xfId="23446"/>
    <cellStyle name="Normal 62 2 6 3" xfId="15149"/>
    <cellStyle name="Normal 62 2 7" xfId="19303"/>
    <cellStyle name="Normal 62 2 8" xfId="11006"/>
    <cellStyle name="Normal 62 3" xfId="1813"/>
    <cellStyle name="Normal 62 3 2" xfId="1814"/>
    <cellStyle name="Normal 62 3 2 2" xfId="3146"/>
    <cellStyle name="Normal 62 3 2 2 2" xfId="4192"/>
    <cellStyle name="Normal 62 3 2 2 2 2" xfId="6317"/>
    <cellStyle name="Normal 62 3 2 2 2 2 2" xfId="10473"/>
    <cellStyle name="Normal 62 3 2 2 2 2 2 2" xfId="27070"/>
    <cellStyle name="Normal 62 3 2 2 2 2 2 3" xfId="18773"/>
    <cellStyle name="Normal 62 3 2 2 2 2 3" xfId="22930"/>
    <cellStyle name="Normal 62 3 2 2 2 2 4" xfId="14633"/>
    <cellStyle name="Normal 62 3 2 2 2 3" xfId="8401"/>
    <cellStyle name="Normal 62 3 2 2 2 3 2" xfId="24998"/>
    <cellStyle name="Normal 62 3 2 2 2 3 3" xfId="16701"/>
    <cellStyle name="Normal 62 3 2 2 2 4" xfId="20858"/>
    <cellStyle name="Normal 62 3 2 2 2 5" xfId="12561"/>
    <cellStyle name="Normal 62 3 2 2 3" xfId="5283"/>
    <cellStyle name="Normal 62 3 2 2 3 2" xfId="9439"/>
    <cellStyle name="Normal 62 3 2 2 3 2 2" xfId="26036"/>
    <cellStyle name="Normal 62 3 2 2 3 2 3" xfId="17739"/>
    <cellStyle name="Normal 62 3 2 2 3 3" xfId="21896"/>
    <cellStyle name="Normal 62 3 2 2 3 4" xfId="13599"/>
    <cellStyle name="Normal 62 3 2 2 4" xfId="7367"/>
    <cellStyle name="Normal 62 3 2 2 4 2" xfId="23964"/>
    <cellStyle name="Normal 62 3 2 2 4 3" xfId="15667"/>
    <cellStyle name="Normal 62 3 2 2 5" xfId="19824"/>
    <cellStyle name="Normal 62 3 2 2 6" xfId="11527"/>
    <cellStyle name="Normal 62 3 2 3" xfId="3674"/>
    <cellStyle name="Normal 62 3 2 3 2" xfId="5802"/>
    <cellStyle name="Normal 62 3 2 3 2 2" xfId="9958"/>
    <cellStyle name="Normal 62 3 2 3 2 2 2" xfId="26555"/>
    <cellStyle name="Normal 62 3 2 3 2 2 3" xfId="18258"/>
    <cellStyle name="Normal 62 3 2 3 2 3" xfId="22415"/>
    <cellStyle name="Normal 62 3 2 3 2 4" xfId="14118"/>
    <cellStyle name="Normal 62 3 2 3 3" xfId="7886"/>
    <cellStyle name="Normal 62 3 2 3 3 2" xfId="24483"/>
    <cellStyle name="Normal 62 3 2 3 3 3" xfId="16186"/>
    <cellStyle name="Normal 62 3 2 3 4" xfId="20343"/>
    <cellStyle name="Normal 62 3 2 3 5" xfId="12046"/>
    <cellStyle name="Normal 62 3 2 4" xfId="4754"/>
    <cellStyle name="Normal 62 3 2 4 2" xfId="8922"/>
    <cellStyle name="Normal 62 3 2 4 2 2" xfId="25519"/>
    <cellStyle name="Normal 62 3 2 4 2 3" xfId="17222"/>
    <cellStyle name="Normal 62 3 2 4 3" xfId="21379"/>
    <cellStyle name="Normal 62 3 2 4 4" xfId="13082"/>
    <cellStyle name="Normal 62 3 2 5" xfId="6845"/>
    <cellStyle name="Normal 62 3 2 5 2" xfId="23449"/>
    <cellStyle name="Normal 62 3 2 5 3" xfId="15152"/>
    <cellStyle name="Normal 62 3 2 6" xfId="19306"/>
    <cellStyle name="Normal 62 3 2 7" xfId="11009"/>
    <cellStyle name="Normal 62 3 3" xfId="3145"/>
    <cellStyle name="Normal 62 3 3 2" xfId="4191"/>
    <cellStyle name="Normal 62 3 3 2 2" xfId="6316"/>
    <cellStyle name="Normal 62 3 3 2 2 2" xfId="10472"/>
    <cellStyle name="Normal 62 3 3 2 2 2 2" xfId="27069"/>
    <cellStyle name="Normal 62 3 3 2 2 2 3" xfId="18772"/>
    <cellStyle name="Normal 62 3 3 2 2 3" xfId="22929"/>
    <cellStyle name="Normal 62 3 3 2 2 4" xfId="14632"/>
    <cellStyle name="Normal 62 3 3 2 3" xfId="8400"/>
    <cellStyle name="Normal 62 3 3 2 3 2" xfId="24997"/>
    <cellStyle name="Normal 62 3 3 2 3 3" xfId="16700"/>
    <cellStyle name="Normal 62 3 3 2 4" xfId="20857"/>
    <cellStyle name="Normal 62 3 3 2 5" xfId="12560"/>
    <cellStyle name="Normal 62 3 3 3" xfId="5282"/>
    <cellStyle name="Normal 62 3 3 3 2" xfId="9438"/>
    <cellStyle name="Normal 62 3 3 3 2 2" xfId="26035"/>
    <cellStyle name="Normal 62 3 3 3 2 3" xfId="17738"/>
    <cellStyle name="Normal 62 3 3 3 3" xfId="21895"/>
    <cellStyle name="Normal 62 3 3 3 4" xfId="13598"/>
    <cellStyle name="Normal 62 3 3 4" xfId="7366"/>
    <cellStyle name="Normal 62 3 3 4 2" xfId="23963"/>
    <cellStyle name="Normal 62 3 3 4 3" xfId="15666"/>
    <cellStyle name="Normal 62 3 3 5" xfId="19823"/>
    <cellStyle name="Normal 62 3 3 6" xfId="11526"/>
    <cellStyle name="Normal 62 3 4" xfId="3673"/>
    <cellStyle name="Normal 62 3 4 2" xfId="5801"/>
    <cellStyle name="Normal 62 3 4 2 2" xfId="9957"/>
    <cellStyle name="Normal 62 3 4 2 2 2" xfId="26554"/>
    <cellStyle name="Normal 62 3 4 2 2 3" xfId="18257"/>
    <cellStyle name="Normal 62 3 4 2 3" xfId="22414"/>
    <cellStyle name="Normal 62 3 4 2 4" xfId="14117"/>
    <cellStyle name="Normal 62 3 4 3" xfId="7885"/>
    <cellStyle name="Normal 62 3 4 3 2" xfId="24482"/>
    <cellStyle name="Normal 62 3 4 3 3" xfId="16185"/>
    <cellStyle name="Normal 62 3 4 4" xfId="20342"/>
    <cellStyle name="Normal 62 3 4 5" xfId="12045"/>
    <cellStyle name="Normal 62 3 5" xfId="4753"/>
    <cellStyle name="Normal 62 3 5 2" xfId="8921"/>
    <cellStyle name="Normal 62 3 5 2 2" xfId="25518"/>
    <cellStyle name="Normal 62 3 5 2 3" xfId="17221"/>
    <cellStyle name="Normal 62 3 5 3" xfId="21378"/>
    <cellStyle name="Normal 62 3 5 4" xfId="13081"/>
    <cellStyle name="Normal 62 3 6" xfId="6844"/>
    <cellStyle name="Normal 62 3 6 2" xfId="23448"/>
    <cellStyle name="Normal 62 3 6 3" xfId="15151"/>
    <cellStyle name="Normal 62 3 7" xfId="19305"/>
    <cellStyle name="Normal 62 3 8" xfId="11008"/>
    <cellStyle name="Normal 62 4" xfId="1815"/>
    <cellStyle name="Normal 62 4 2" xfId="3147"/>
    <cellStyle name="Normal 62 4 2 2" xfId="4193"/>
    <cellStyle name="Normal 62 4 2 2 2" xfId="6318"/>
    <cellStyle name="Normal 62 4 2 2 2 2" xfId="10474"/>
    <cellStyle name="Normal 62 4 2 2 2 2 2" xfId="27071"/>
    <cellStyle name="Normal 62 4 2 2 2 2 3" xfId="18774"/>
    <cellStyle name="Normal 62 4 2 2 2 3" xfId="22931"/>
    <cellStyle name="Normal 62 4 2 2 2 4" xfId="14634"/>
    <cellStyle name="Normal 62 4 2 2 3" xfId="8402"/>
    <cellStyle name="Normal 62 4 2 2 3 2" xfId="24999"/>
    <cellStyle name="Normal 62 4 2 2 3 3" xfId="16702"/>
    <cellStyle name="Normal 62 4 2 2 4" xfId="20859"/>
    <cellStyle name="Normal 62 4 2 2 5" xfId="12562"/>
    <cellStyle name="Normal 62 4 2 3" xfId="5284"/>
    <cellStyle name="Normal 62 4 2 3 2" xfId="9440"/>
    <cellStyle name="Normal 62 4 2 3 2 2" xfId="26037"/>
    <cellStyle name="Normal 62 4 2 3 2 3" xfId="17740"/>
    <cellStyle name="Normal 62 4 2 3 3" xfId="21897"/>
    <cellStyle name="Normal 62 4 2 3 4" xfId="13600"/>
    <cellStyle name="Normal 62 4 2 4" xfId="7368"/>
    <cellStyle name="Normal 62 4 2 4 2" xfId="23965"/>
    <cellStyle name="Normal 62 4 2 4 3" xfId="15668"/>
    <cellStyle name="Normal 62 4 2 5" xfId="19825"/>
    <cellStyle name="Normal 62 4 2 6" xfId="11528"/>
    <cellStyle name="Normal 62 4 3" xfId="3675"/>
    <cellStyle name="Normal 62 4 3 2" xfId="5803"/>
    <cellStyle name="Normal 62 4 3 2 2" xfId="9959"/>
    <cellStyle name="Normal 62 4 3 2 2 2" xfId="26556"/>
    <cellStyle name="Normal 62 4 3 2 2 3" xfId="18259"/>
    <cellStyle name="Normal 62 4 3 2 3" xfId="22416"/>
    <cellStyle name="Normal 62 4 3 2 4" xfId="14119"/>
    <cellStyle name="Normal 62 4 3 3" xfId="7887"/>
    <cellStyle name="Normal 62 4 3 3 2" xfId="24484"/>
    <cellStyle name="Normal 62 4 3 3 3" xfId="16187"/>
    <cellStyle name="Normal 62 4 3 4" xfId="20344"/>
    <cellStyle name="Normal 62 4 3 5" xfId="12047"/>
    <cellStyle name="Normal 62 4 4" xfId="4755"/>
    <cellStyle name="Normal 62 4 4 2" xfId="8923"/>
    <cellStyle name="Normal 62 4 4 2 2" xfId="25520"/>
    <cellStyle name="Normal 62 4 4 2 3" xfId="17223"/>
    <cellStyle name="Normal 62 4 4 3" xfId="21380"/>
    <cellStyle name="Normal 62 4 4 4" xfId="13083"/>
    <cellStyle name="Normal 62 4 5" xfId="6846"/>
    <cellStyle name="Normal 62 4 5 2" xfId="23450"/>
    <cellStyle name="Normal 62 4 5 3" xfId="15153"/>
    <cellStyle name="Normal 62 4 6" xfId="19307"/>
    <cellStyle name="Normal 62 4 7" xfId="11010"/>
    <cellStyle name="Normal 62 5" xfId="3142"/>
    <cellStyle name="Normal 62 5 2" xfId="4188"/>
    <cellStyle name="Normal 62 5 2 2" xfId="6313"/>
    <cellStyle name="Normal 62 5 2 2 2" xfId="10469"/>
    <cellStyle name="Normal 62 5 2 2 2 2" xfId="27066"/>
    <cellStyle name="Normal 62 5 2 2 2 3" xfId="18769"/>
    <cellStyle name="Normal 62 5 2 2 3" xfId="22926"/>
    <cellStyle name="Normal 62 5 2 2 4" xfId="14629"/>
    <cellStyle name="Normal 62 5 2 3" xfId="8397"/>
    <cellStyle name="Normal 62 5 2 3 2" xfId="24994"/>
    <cellStyle name="Normal 62 5 2 3 3" xfId="16697"/>
    <cellStyle name="Normal 62 5 2 4" xfId="20854"/>
    <cellStyle name="Normal 62 5 2 5" xfId="12557"/>
    <cellStyle name="Normal 62 5 3" xfId="5279"/>
    <cellStyle name="Normal 62 5 3 2" xfId="9435"/>
    <cellStyle name="Normal 62 5 3 2 2" xfId="26032"/>
    <cellStyle name="Normal 62 5 3 2 3" xfId="17735"/>
    <cellStyle name="Normal 62 5 3 3" xfId="21892"/>
    <cellStyle name="Normal 62 5 3 4" xfId="13595"/>
    <cellStyle name="Normal 62 5 4" xfId="7363"/>
    <cellStyle name="Normal 62 5 4 2" xfId="23960"/>
    <cellStyle name="Normal 62 5 4 3" xfId="15663"/>
    <cellStyle name="Normal 62 5 5" xfId="19820"/>
    <cellStyle name="Normal 62 5 6" xfId="11523"/>
    <cellStyle name="Normal 62 6" xfId="3670"/>
    <cellStyle name="Normal 62 6 2" xfId="5798"/>
    <cellStyle name="Normal 62 6 2 2" xfId="9954"/>
    <cellStyle name="Normal 62 6 2 2 2" xfId="26551"/>
    <cellStyle name="Normal 62 6 2 2 3" xfId="18254"/>
    <cellStyle name="Normal 62 6 2 3" xfId="22411"/>
    <cellStyle name="Normal 62 6 2 4" xfId="14114"/>
    <cellStyle name="Normal 62 6 3" xfId="7882"/>
    <cellStyle name="Normal 62 6 3 2" xfId="24479"/>
    <cellStyle name="Normal 62 6 3 3" xfId="16182"/>
    <cellStyle name="Normal 62 6 4" xfId="20339"/>
    <cellStyle name="Normal 62 6 5" xfId="12042"/>
    <cellStyle name="Normal 62 7" xfId="4750"/>
    <cellStyle name="Normal 62 7 2" xfId="8918"/>
    <cellStyle name="Normal 62 7 2 2" xfId="25515"/>
    <cellStyle name="Normal 62 7 2 3" xfId="17218"/>
    <cellStyle name="Normal 62 7 3" xfId="21375"/>
    <cellStyle name="Normal 62 7 4" xfId="13078"/>
    <cellStyle name="Normal 62 8" xfId="6841"/>
    <cellStyle name="Normal 62 8 2" xfId="23445"/>
    <cellStyle name="Normal 62 8 3" xfId="15148"/>
    <cellStyle name="Normal 62 9" xfId="19302"/>
    <cellStyle name="Normal 63" xfId="1816"/>
    <cellStyle name="Normal 63 10" xfId="11011"/>
    <cellStyle name="Normal 63 2" xfId="1817"/>
    <cellStyle name="Normal 63 2 2" xfId="1818"/>
    <cellStyle name="Normal 63 2 2 2" xfId="3150"/>
    <cellStyle name="Normal 63 2 2 2 2" xfId="4196"/>
    <cellStyle name="Normal 63 2 2 2 2 2" xfId="6321"/>
    <cellStyle name="Normal 63 2 2 2 2 2 2" xfId="10477"/>
    <cellStyle name="Normal 63 2 2 2 2 2 2 2" xfId="27074"/>
    <cellStyle name="Normal 63 2 2 2 2 2 2 3" xfId="18777"/>
    <cellStyle name="Normal 63 2 2 2 2 2 3" xfId="22934"/>
    <cellStyle name="Normal 63 2 2 2 2 2 4" xfId="14637"/>
    <cellStyle name="Normal 63 2 2 2 2 3" xfId="8405"/>
    <cellStyle name="Normal 63 2 2 2 2 3 2" xfId="25002"/>
    <cellStyle name="Normal 63 2 2 2 2 3 3" xfId="16705"/>
    <cellStyle name="Normal 63 2 2 2 2 4" xfId="20862"/>
    <cellStyle name="Normal 63 2 2 2 2 5" xfId="12565"/>
    <cellStyle name="Normal 63 2 2 2 3" xfId="5287"/>
    <cellStyle name="Normal 63 2 2 2 3 2" xfId="9443"/>
    <cellStyle name="Normal 63 2 2 2 3 2 2" xfId="26040"/>
    <cellStyle name="Normal 63 2 2 2 3 2 3" xfId="17743"/>
    <cellStyle name="Normal 63 2 2 2 3 3" xfId="21900"/>
    <cellStyle name="Normal 63 2 2 2 3 4" xfId="13603"/>
    <cellStyle name="Normal 63 2 2 2 4" xfId="7371"/>
    <cellStyle name="Normal 63 2 2 2 4 2" xfId="23968"/>
    <cellStyle name="Normal 63 2 2 2 4 3" xfId="15671"/>
    <cellStyle name="Normal 63 2 2 2 5" xfId="19828"/>
    <cellStyle name="Normal 63 2 2 2 6" xfId="11531"/>
    <cellStyle name="Normal 63 2 2 3" xfId="3678"/>
    <cellStyle name="Normal 63 2 2 3 2" xfId="5806"/>
    <cellStyle name="Normal 63 2 2 3 2 2" xfId="9962"/>
    <cellStyle name="Normal 63 2 2 3 2 2 2" xfId="26559"/>
    <cellStyle name="Normal 63 2 2 3 2 2 3" xfId="18262"/>
    <cellStyle name="Normal 63 2 2 3 2 3" xfId="22419"/>
    <cellStyle name="Normal 63 2 2 3 2 4" xfId="14122"/>
    <cellStyle name="Normal 63 2 2 3 3" xfId="7890"/>
    <cellStyle name="Normal 63 2 2 3 3 2" xfId="24487"/>
    <cellStyle name="Normal 63 2 2 3 3 3" xfId="16190"/>
    <cellStyle name="Normal 63 2 2 3 4" xfId="20347"/>
    <cellStyle name="Normal 63 2 2 3 5" xfId="12050"/>
    <cellStyle name="Normal 63 2 2 4" xfId="4758"/>
    <cellStyle name="Normal 63 2 2 4 2" xfId="8926"/>
    <cellStyle name="Normal 63 2 2 4 2 2" xfId="25523"/>
    <cellStyle name="Normal 63 2 2 4 2 3" xfId="17226"/>
    <cellStyle name="Normal 63 2 2 4 3" xfId="21383"/>
    <cellStyle name="Normal 63 2 2 4 4" xfId="13086"/>
    <cellStyle name="Normal 63 2 2 5" xfId="6849"/>
    <cellStyle name="Normal 63 2 2 5 2" xfId="23453"/>
    <cellStyle name="Normal 63 2 2 5 3" xfId="15156"/>
    <cellStyle name="Normal 63 2 2 6" xfId="19310"/>
    <cellStyle name="Normal 63 2 2 7" xfId="11013"/>
    <cellStyle name="Normal 63 2 3" xfId="3149"/>
    <cellStyle name="Normal 63 2 3 2" xfId="4195"/>
    <cellStyle name="Normal 63 2 3 2 2" xfId="6320"/>
    <cellStyle name="Normal 63 2 3 2 2 2" xfId="10476"/>
    <cellStyle name="Normal 63 2 3 2 2 2 2" xfId="27073"/>
    <cellStyle name="Normal 63 2 3 2 2 2 3" xfId="18776"/>
    <cellStyle name="Normal 63 2 3 2 2 3" xfId="22933"/>
    <cellStyle name="Normal 63 2 3 2 2 4" xfId="14636"/>
    <cellStyle name="Normal 63 2 3 2 3" xfId="8404"/>
    <cellStyle name="Normal 63 2 3 2 3 2" xfId="25001"/>
    <cellStyle name="Normal 63 2 3 2 3 3" xfId="16704"/>
    <cellStyle name="Normal 63 2 3 2 4" xfId="20861"/>
    <cellStyle name="Normal 63 2 3 2 5" xfId="12564"/>
    <cellStyle name="Normal 63 2 3 3" xfId="5286"/>
    <cellStyle name="Normal 63 2 3 3 2" xfId="9442"/>
    <cellStyle name="Normal 63 2 3 3 2 2" xfId="26039"/>
    <cellStyle name="Normal 63 2 3 3 2 3" xfId="17742"/>
    <cellStyle name="Normal 63 2 3 3 3" xfId="21899"/>
    <cellStyle name="Normal 63 2 3 3 4" xfId="13602"/>
    <cellStyle name="Normal 63 2 3 4" xfId="7370"/>
    <cellStyle name="Normal 63 2 3 4 2" xfId="23967"/>
    <cellStyle name="Normal 63 2 3 4 3" xfId="15670"/>
    <cellStyle name="Normal 63 2 3 5" xfId="19827"/>
    <cellStyle name="Normal 63 2 3 6" xfId="11530"/>
    <cellStyle name="Normal 63 2 4" xfId="3677"/>
    <cellStyle name="Normal 63 2 4 2" xfId="5805"/>
    <cellStyle name="Normal 63 2 4 2 2" xfId="9961"/>
    <cellStyle name="Normal 63 2 4 2 2 2" xfId="26558"/>
    <cellStyle name="Normal 63 2 4 2 2 3" xfId="18261"/>
    <cellStyle name="Normal 63 2 4 2 3" xfId="22418"/>
    <cellStyle name="Normal 63 2 4 2 4" xfId="14121"/>
    <cellStyle name="Normal 63 2 4 3" xfId="7889"/>
    <cellStyle name="Normal 63 2 4 3 2" xfId="24486"/>
    <cellStyle name="Normal 63 2 4 3 3" xfId="16189"/>
    <cellStyle name="Normal 63 2 4 4" xfId="20346"/>
    <cellStyle name="Normal 63 2 4 5" xfId="12049"/>
    <cellStyle name="Normal 63 2 5" xfId="4757"/>
    <cellStyle name="Normal 63 2 5 2" xfId="8925"/>
    <cellStyle name="Normal 63 2 5 2 2" xfId="25522"/>
    <cellStyle name="Normal 63 2 5 2 3" xfId="17225"/>
    <cellStyle name="Normal 63 2 5 3" xfId="21382"/>
    <cellStyle name="Normal 63 2 5 4" xfId="13085"/>
    <cellStyle name="Normal 63 2 6" xfId="6848"/>
    <cellStyle name="Normal 63 2 6 2" xfId="23452"/>
    <cellStyle name="Normal 63 2 6 3" xfId="15155"/>
    <cellStyle name="Normal 63 2 7" xfId="19309"/>
    <cellStyle name="Normal 63 2 8" xfId="11012"/>
    <cellStyle name="Normal 63 3" xfId="1819"/>
    <cellStyle name="Normal 63 3 2" xfId="1820"/>
    <cellStyle name="Normal 63 3 2 2" xfId="3152"/>
    <cellStyle name="Normal 63 3 2 2 2" xfId="4198"/>
    <cellStyle name="Normal 63 3 2 2 2 2" xfId="6323"/>
    <cellStyle name="Normal 63 3 2 2 2 2 2" xfId="10479"/>
    <cellStyle name="Normal 63 3 2 2 2 2 2 2" xfId="27076"/>
    <cellStyle name="Normal 63 3 2 2 2 2 2 3" xfId="18779"/>
    <cellStyle name="Normal 63 3 2 2 2 2 3" xfId="22936"/>
    <cellStyle name="Normal 63 3 2 2 2 2 4" xfId="14639"/>
    <cellStyle name="Normal 63 3 2 2 2 3" xfId="8407"/>
    <cellStyle name="Normal 63 3 2 2 2 3 2" xfId="25004"/>
    <cellStyle name="Normal 63 3 2 2 2 3 3" xfId="16707"/>
    <cellStyle name="Normal 63 3 2 2 2 4" xfId="20864"/>
    <cellStyle name="Normal 63 3 2 2 2 5" xfId="12567"/>
    <cellStyle name="Normal 63 3 2 2 3" xfId="5289"/>
    <cellStyle name="Normal 63 3 2 2 3 2" xfId="9445"/>
    <cellStyle name="Normal 63 3 2 2 3 2 2" xfId="26042"/>
    <cellStyle name="Normal 63 3 2 2 3 2 3" xfId="17745"/>
    <cellStyle name="Normal 63 3 2 2 3 3" xfId="21902"/>
    <cellStyle name="Normal 63 3 2 2 3 4" xfId="13605"/>
    <cellStyle name="Normal 63 3 2 2 4" xfId="7373"/>
    <cellStyle name="Normal 63 3 2 2 4 2" xfId="23970"/>
    <cellStyle name="Normal 63 3 2 2 4 3" xfId="15673"/>
    <cellStyle name="Normal 63 3 2 2 5" xfId="19830"/>
    <cellStyle name="Normal 63 3 2 2 6" xfId="11533"/>
    <cellStyle name="Normal 63 3 2 3" xfId="3680"/>
    <cellStyle name="Normal 63 3 2 3 2" xfId="5808"/>
    <cellStyle name="Normal 63 3 2 3 2 2" xfId="9964"/>
    <cellStyle name="Normal 63 3 2 3 2 2 2" xfId="26561"/>
    <cellStyle name="Normal 63 3 2 3 2 2 3" xfId="18264"/>
    <cellStyle name="Normal 63 3 2 3 2 3" xfId="22421"/>
    <cellStyle name="Normal 63 3 2 3 2 4" xfId="14124"/>
    <cellStyle name="Normal 63 3 2 3 3" xfId="7892"/>
    <cellStyle name="Normal 63 3 2 3 3 2" xfId="24489"/>
    <cellStyle name="Normal 63 3 2 3 3 3" xfId="16192"/>
    <cellStyle name="Normal 63 3 2 3 4" xfId="20349"/>
    <cellStyle name="Normal 63 3 2 3 5" xfId="12052"/>
    <cellStyle name="Normal 63 3 2 4" xfId="4760"/>
    <cellStyle name="Normal 63 3 2 4 2" xfId="8928"/>
    <cellStyle name="Normal 63 3 2 4 2 2" xfId="25525"/>
    <cellStyle name="Normal 63 3 2 4 2 3" xfId="17228"/>
    <cellStyle name="Normal 63 3 2 4 3" xfId="21385"/>
    <cellStyle name="Normal 63 3 2 4 4" xfId="13088"/>
    <cellStyle name="Normal 63 3 2 5" xfId="6851"/>
    <cellStyle name="Normal 63 3 2 5 2" xfId="23455"/>
    <cellStyle name="Normal 63 3 2 5 3" xfId="15158"/>
    <cellStyle name="Normal 63 3 2 6" xfId="19312"/>
    <cellStyle name="Normal 63 3 2 7" xfId="11015"/>
    <cellStyle name="Normal 63 3 3" xfId="3151"/>
    <cellStyle name="Normal 63 3 3 2" xfId="4197"/>
    <cellStyle name="Normal 63 3 3 2 2" xfId="6322"/>
    <cellStyle name="Normal 63 3 3 2 2 2" xfId="10478"/>
    <cellStyle name="Normal 63 3 3 2 2 2 2" xfId="27075"/>
    <cellStyle name="Normal 63 3 3 2 2 2 3" xfId="18778"/>
    <cellStyle name="Normal 63 3 3 2 2 3" xfId="22935"/>
    <cellStyle name="Normal 63 3 3 2 2 4" xfId="14638"/>
    <cellStyle name="Normal 63 3 3 2 3" xfId="8406"/>
    <cellStyle name="Normal 63 3 3 2 3 2" xfId="25003"/>
    <cellStyle name="Normal 63 3 3 2 3 3" xfId="16706"/>
    <cellStyle name="Normal 63 3 3 2 4" xfId="20863"/>
    <cellStyle name="Normal 63 3 3 2 5" xfId="12566"/>
    <cellStyle name="Normal 63 3 3 3" xfId="5288"/>
    <cellStyle name="Normal 63 3 3 3 2" xfId="9444"/>
    <cellStyle name="Normal 63 3 3 3 2 2" xfId="26041"/>
    <cellStyle name="Normal 63 3 3 3 2 3" xfId="17744"/>
    <cellStyle name="Normal 63 3 3 3 3" xfId="21901"/>
    <cellStyle name="Normal 63 3 3 3 4" xfId="13604"/>
    <cellStyle name="Normal 63 3 3 4" xfId="7372"/>
    <cellStyle name="Normal 63 3 3 4 2" xfId="23969"/>
    <cellStyle name="Normal 63 3 3 4 3" xfId="15672"/>
    <cellStyle name="Normal 63 3 3 5" xfId="19829"/>
    <cellStyle name="Normal 63 3 3 6" xfId="11532"/>
    <cellStyle name="Normal 63 3 4" xfId="3679"/>
    <cellStyle name="Normal 63 3 4 2" xfId="5807"/>
    <cellStyle name="Normal 63 3 4 2 2" xfId="9963"/>
    <cellStyle name="Normal 63 3 4 2 2 2" xfId="26560"/>
    <cellStyle name="Normal 63 3 4 2 2 3" xfId="18263"/>
    <cellStyle name="Normal 63 3 4 2 3" xfId="22420"/>
    <cellStyle name="Normal 63 3 4 2 4" xfId="14123"/>
    <cellStyle name="Normal 63 3 4 3" xfId="7891"/>
    <cellStyle name="Normal 63 3 4 3 2" xfId="24488"/>
    <cellStyle name="Normal 63 3 4 3 3" xfId="16191"/>
    <cellStyle name="Normal 63 3 4 4" xfId="20348"/>
    <cellStyle name="Normal 63 3 4 5" xfId="12051"/>
    <cellStyle name="Normal 63 3 5" xfId="4759"/>
    <cellStyle name="Normal 63 3 5 2" xfId="8927"/>
    <cellStyle name="Normal 63 3 5 2 2" xfId="25524"/>
    <cellStyle name="Normal 63 3 5 2 3" xfId="17227"/>
    <cellStyle name="Normal 63 3 5 3" xfId="21384"/>
    <cellStyle name="Normal 63 3 5 4" xfId="13087"/>
    <cellStyle name="Normal 63 3 6" xfId="6850"/>
    <cellStyle name="Normal 63 3 6 2" xfId="23454"/>
    <cellStyle name="Normal 63 3 6 3" xfId="15157"/>
    <cellStyle name="Normal 63 3 7" xfId="19311"/>
    <cellStyle name="Normal 63 3 8" xfId="11014"/>
    <cellStyle name="Normal 63 4" xfId="1821"/>
    <cellStyle name="Normal 63 4 2" xfId="3153"/>
    <cellStyle name="Normal 63 4 2 2" xfId="4199"/>
    <cellStyle name="Normal 63 4 2 2 2" xfId="6324"/>
    <cellStyle name="Normal 63 4 2 2 2 2" xfId="10480"/>
    <cellStyle name="Normal 63 4 2 2 2 2 2" xfId="27077"/>
    <cellStyle name="Normal 63 4 2 2 2 2 3" xfId="18780"/>
    <cellStyle name="Normal 63 4 2 2 2 3" xfId="22937"/>
    <cellStyle name="Normal 63 4 2 2 2 4" xfId="14640"/>
    <cellStyle name="Normal 63 4 2 2 3" xfId="8408"/>
    <cellStyle name="Normal 63 4 2 2 3 2" xfId="25005"/>
    <cellStyle name="Normal 63 4 2 2 3 3" xfId="16708"/>
    <cellStyle name="Normal 63 4 2 2 4" xfId="20865"/>
    <cellStyle name="Normal 63 4 2 2 5" xfId="12568"/>
    <cellStyle name="Normal 63 4 2 3" xfId="5290"/>
    <cellStyle name="Normal 63 4 2 3 2" xfId="9446"/>
    <cellStyle name="Normal 63 4 2 3 2 2" xfId="26043"/>
    <cellStyle name="Normal 63 4 2 3 2 3" xfId="17746"/>
    <cellStyle name="Normal 63 4 2 3 3" xfId="21903"/>
    <cellStyle name="Normal 63 4 2 3 4" xfId="13606"/>
    <cellStyle name="Normal 63 4 2 4" xfId="7374"/>
    <cellStyle name="Normal 63 4 2 4 2" xfId="23971"/>
    <cellStyle name="Normal 63 4 2 4 3" xfId="15674"/>
    <cellStyle name="Normal 63 4 2 5" xfId="19831"/>
    <cellStyle name="Normal 63 4 2 6" xfId="11534"/>
    <cellStyle name="Normal 63 4 3" xfId="3681"/>
    <cellStyle name="Normal 63 4 3 2" xfId="5809"/>
    <cellStyle name="Normal 63 4 3 2 2" xfId="9965"/>
    <cellStyle name="Normal 63 4 3 2 2 2" xfId="26562"/>
    <cellStyle name="Normal 63 4 3 2 2 3" xfId="18265"/>
    <cellStyle name="Normal 63 4 3 2 3" xfId="22422"/>
    <cellStyle name="Normal 63 4 3 2 4" xfId="14125"/>
    <cellStyle name="Normal 63 4 3 3" xfId="7893"/>
    <cellStyle name="Normal 63 4 3 3 2" xfId="24490"/>
    <cellStyle name="Normal 63 4 3 3 3" xfId="16193"/>
    <cellStyle name="Normal 63 4 3 4" xfId="20350"/>
    <cellStyle name="Normal 63 4 3 5" xfId="12053"/>
    <cellStyle name="Normal 63 4 4" xfId="4761"/>
    <cellStyle name="Normal 63 4 4 2" xfId="8929"/>
    <cellStyle name="Normal 63 4 4 2 2" xfId="25526"/>
    <cellStyle name="Normal 63 4 4 2 3" xfId="17229"/>
    <cellStyle name="Normal 63 4 4 3" xfId="21386"/>
    <cellStyle name="Normal 63 4 4 4" xfId="13089"/>
    <cellStyle name="Normal 63 4 5" xfId="6852"/>
    <cellStyle name="Normal 63 4 5 2" xfId="23456"/>
    <cellStyle name="Normal 63 4 5 3" xfId="15159"/>
    <cellStyle name="Normal 63 4 6" xfId="19313"/>
    <cellStyle name="Normal 63 4 7" xfId="11016"/>
    <cellStyle name="Normal 63 5" xfId="3148"/>
    <cellStyle name="Normal 63 5 2" xfId="4194"/>
    <cellStyle name="Normal 63 5 2 2" xfId="6319"/>
    <cellStyle name="Normal 63 5 2 2 2" xfId="10475"/>
    <cellStyle name="Normal 63 5 2 2 2 2" xfId="27072"/>
    <cellStyle name="Normal 63 5 2 2 2 3" xfId="18775"/>
    <cellStyle name="Normal 63 5 2 2 3" xfId="22932"/>
    <cellStyle name="Normal 63 5 2 2 4" xfId="14635"/>
    <cellStyle name="Normal 63 5 2 3" xfId="8403"/>
    <cellStyle name="Normal 63 5 2 3 2" xfId="25000"/>
    <cellStyle name="Normal 63 5 2 3 3" xfId="16703"/>
    <cellStyle name="Normal 63 5 2 4" xfId="20860"/>
    <cellStyle name="Normal 63 5 2 5" xfId="12563"/>
    <cellStyle name="Normal 63 5 3" xfId="5285"/>
    <cellStyle name="Normal 63 5 3 2" xfId="9441"/>
    <cellStyle name="Normal 63 5 3 2 2" xfId="26038"/>
    <cellStyle name="Normal 63 5 3 2 3" xfId="17741"/>
    <cellStyle name="Normal 63 5 3 3" xfId="21898"/>
    <cellStyle name="Normal 63 5 3 4" xfId="13601"/>
    <cellStyle name="Normal 63 5 4" xfId="7369"/>
    <cellStyle name="Normal 63 5 4 2" xfId="23966"/>
    <cellStyle name="Normal 63 5 4 3" xfId="15669"/>
    <cellStyle name="Normal 63 5 5" xfId="19826"/>
    <cellStyle name="Normal 63 5 6" xfId="11529"/>
    <cellStyle name="Normal 63 6" xfId="3676"/>
    <cellStyle name="Normal 63 6 2" xfId="5804"/>
    <cellStyle name="Normal 63 6 2 2" xfId="9960"/>
    <cellStyle name="Normal 63 6 2 2 2" xfId="26557"/>
    <cellStyle name="Normal 63 6 2 2 3" xfId="18260"/>
    <cellStyle name="Normal 63 6 2 3" xfId="22417"/>
    <cellStyle name="Normal 63 6 2 4" xfId="14120"/>
    <cellStyle name="Normal 63 6 3" xfId="7888"/>
    <cellStyle name="Normal 63 6 3 2" xfId="24485"/>
    <cellStyle name="Normal 63 6 3 3" xfId="16188"/>
    <cellStyle name="Normal 63 6 4" xfId="20345"/>
    <cellStyle name="Normal 63 6 5" xfId="12048"/>
    <cellStyle name="Normal 63 7" xfId="4756"/>
    <cellStyle name="Normal 63 7 2" xfId="8924"/>
    <cellStyle name="Normal 63 7 2 2" xfId="25521"/>
    <cellStyle name="Normal 63 7 2 3" xfId="17224"/>
    <cellStyle name="Normal 63 7 3" xfId="21381"/>
    <cellStyle name="Normal 63 7 4" xfId="13084"/>
    <cellStyle name="Normal 63 8" xfId="6847"/>
    <cellStyle name="Normal 63 8 2" xfId="23451"/>
    <cellStyle name="Normal 63 8 3" xfId="15154"/>
    <cellStyle name="Normal 63 9" xfId="19308"/>
    <cellStyle name="Normal 64" xfId="1822"/>
    <cellStyle name="Normal 64 10" xfId="11017"/>
    <cellStyle name="Normal 64 2" xfId="1823"/>
    <cellStyle name="Normal 64 2 2" xfId="1824"/>
    <cellStyle name="Normal 64 2 2 2" xfId="3156"/>
    <cellStyle name="Normal 64 2 2 2 2" xfId="4202"/>
    <cellStyle name="Normal 64 2 2 2 2 2" xfId="6327"/>
    <cellStyle name="Normal 64 2 2 2 2 2 2" xfId="10483"/>
    <cellStyle name="Normal 64 2 2 2 2 2 2 2" xfId="27080"/>
    <cellStyle name="Normal 64 2 2 2 2 2 2 3" xfId="18783"/>
    <cellStyle name="Normal 64 2 2 2 2 2 3" xfId="22940"/>
    <cellStyle name="Normal 64 2 2 2 2 2 4" xfId="14643"/>
    <cellStyle name="Normal 64 2 2 2 2 3" xfId="8411"/>
    <cellStyle name="Normal 64 2 2 2 2 3 2" xfId="25008"/>
    <cellStyle name="Normal 64 2 2 2 2 3 3" xfId="16711"/>
    <cellStyle name="Normal 64 2 2 2 2 4" xfId="20868"/>
    <cellStyle name="Normal 64 2 2 2 2 5" xfId="12571"/>
    <cellStyle name="Normal 64 2 2 2 3" xfId="5293"/>
    <cellStyle name="Normal 64 2 2 2 3 2" xfId="9449"/>
    <cellStyle name="Normal 64 2 2 2 3 2 2" xfId="26046"/>
    <cellStyle name="Normal 64 2 2 2 3 2 3" xfId="17749"/>
    <cellStyle name="Normal 64 2 2 2 3 3" xfId="21906"/>
    <cellStyle name="Normal 64 2 2 2 3 4" xfId="13609"/>
    <cellStyle name="Normal 64 2 2 2 4" xfId="7377"/>
    <cellStyle name="Normal 64 2 2 2 4 2" xfId="23974"/>
    <cellStyle name="Normal 64 2 2 2 4 3" xfId="15677"/>
    <cellStyle name="Normal 64 2 2 2 5" xfId="19834"/>
    <cellStyle name="Normal 64 2 2 2 6" xfId="11537"/>
    <cellStyle name="Normal 64 2 2 3" xfId="3684"/>
    <cellStyle name="Normal 64 2 2 3 2" xfId="5812"/>
    <cellStyle name="Normal 64 2 2 3 2 2" xfId="9968"/>
    <cellStyle name="Normal 64 2 2 3 2 2 2" xfId="26565"/>
    <cellStyle name="Normal 64 2 2 3 2 2 3" xfId="18268"/>
    <cellStyle name="Normal 64 2 2 3 2 3" xfId="22425"/>
    <cellStyle name="Normal 64 2 2 3 2 4" xfId="14128"/>
    <cellStyle name="Normal 64 2 2 3 3" xfId="7896"/>
    <cellStyle name="Normal 64 2 2 3 3 2" xfId="24493"/>
    <cellStyle name="Normal 64 2 2 3 3 3" xfId="16196"/>
    <cellStyle name="Normal 64 2 2 3 4" xfId="20353"/>
    <cellStyle name="Normal 64 2 2 3 5" xfId="12056"/>
    <cellStyle name="Normal 64 2 2 4" xfId="4764"/>
    <cellStyle name="Normal 64 2 2 4 2" xfId="8932"/>
    <cellStyle name="Normal 64 2 2 4 2 2" xfId="25529"/>
    <cellStyle name="Normal 64 2 2 4 2 3" xfId="17232"/>
    <cellStyle name="Normal 64 2 2 4 3" xfId="21389"/>
    <cellStyle name="Normal 64 2 2 4 4" xfId="13092"/>
    <cellStyle name="Normal 64 2 2 5" xfId="6855"/>
    <cellStyle name="Normal 64 2 2 5 2" xfId="23459"/>
    <cellStyle name="Normal 64 2 2 5 3" xfId="15162"/>
    <cellStyle name="Normal 64 2 2 6" xfId="19316"/>
    <cellStyle name="Normal 64 2 2 7" xfId="11019"/>
    <cellStyle name="Normal 64 2 3" xfId="3155"/>
    <cellStyle name="Normal 64 2 3 2" xfId="4201"/>
    <cellStyle name="Normal 64 2 3 2 2" xfId="6326"/>
    <cellStyle name="Normal 64 2 3 2 2 2" xfId="10482"/>
    <cellStyle name="Normal 64 2 3 2 2 2 2" xfId="27079"/>
    <cellStyle name="Normal 64 2 3 2 2 2 3" xfId="18782"/>
    <cellStyle name="Normal 64 2 3 2 2 3" xfId="22939"/>
    <cellStyle name="Normal 64 2 3 2 2 4" xfId="14642"/>
    <cellStyle name="Normal 64 2 3 2 3" xfId="8410"/>
    <cellStyle name="Normal 64 2 3 2 3 2" xfId="25007"/>
    <cellStyle name="Normal 64 2 3 2 3 3" xfId="16710"/>
    <cellStyle name="Normal 64 2 3 2 4" xfId="20867"/>
    <cellStyle name="Normal 64 2 3 2 5" xfId="12570"/>
    <cellStyle name="Normal 64 2 3 3" xfId="5292"/>
    <cellStyle name="Normal 64 2 3 3 2" xfId="9448"/>
    <cellStyle name="Normal 64 2 3 3 2 2" xfId="26045"/>
    <cellStyle name="Normal 64 2 3 3 2 3" xfId="17748"/>
    <cellStyle name="Normal 64 2 3 3 3" xfId="21905"/>
    <cellStyle name="Normal 64 2 3 3 4" xfId="13608"/>
    <cellStyle name="Normal 64 2 3 4" xfId="7376"/>
    <cellStyle name="Normal 64 2 3 4 2" xfId="23973"/>
    <cellStyle name="Normal 64 2 3 4 3" xfId="15676"/>
    <cellStyle name="Normal 64 2 3 5" xfId="19833"/>
    <cellStyle name="Normal 64 2 3 6" xfId="11536"/>
    <cellStyle name="Normal 64 2 4" xfId="3683"/>
    <cellStyle name="Normal 64 2 4 2" xfId="5811"/>
    <cellStyle name="Normal 64 2 4 2 2" xfId="9967"/>
    <cellStyle name="Normal 64 2 4 2 2 2" xfId="26564"/>
    <cellStyle name="Normal 64 2 4 2 2 3" xfId="18267"/>
    <cellStyle name="Normal 64 2 4 2 3" xfId="22424"/>
    <cellStyle name="Normal 64 2 4 2 4" xfId="14127"/>
    <cellStyle name="Normal 64 2 4 3" xfId="7895"/>
    <cellStyle name="Normal 64 2 4 3 2" xfId="24492"/>
    <cellStyle name="Normal 64 2 4 3 3" xfId="16195"/>
    <cellStyle name="Normal 64 2 4 4" xfId="20352"/>
    <cellStyle name="Normal 64 2 4 5" xfId="12055"/>
    <cellStyle name="Normal 64 2 5" xfId="4763"/>
    <cellStyle name="Normal 64 2 5 2" xfId="8931"/>
    <cellStyle name="Normal 64 2 5 2 2" xfId="25528"/>
    <cellStyle name="Normal 64 2 5 2 3" xfId="17231"/>
    <cellStyle name="Normal 64 2 5 3" xfId="21388"/>
    <cellStyle name="Normal 64 2 5 4" xfId="13091"/>
    <cellStyle name="Normal 64 2 6" xfId="6854"/>
    <cellStyle name="Normal 64 2 6 2" xfId="23458"/>
    <cellStyle name="Normal 64 2 6 3" xfId="15161"/>
    <cellStyle name="Normal 64 2 7" xfId="19315"/>
    <cellStyle name="Normal 64 2 8" xfId="11018"/>
    <cellStyle name="Normal 64 3" xfId="1825"/>
    <cellStyle name="Normal 64 3 2" xfId="1826"/>
    <cellStyle name="Normal 64 3 2 2" xfId="3158"/>
    <cellStyle name="Normal 64 3 2 2 2" xfId="4204"/>
    <cellStyle name="Normal 64 3 2 2 2 2" xfId="6329"/>
    <cellStyle name="Normal 64 3 2 2 2 2 2" xfId="10485"/>
    <cellStyle name="Normal 64 3 2 2 2 2 2 2" xfId="27082"/>
    <cellStyle name="Normal 64 3 2 2 2 2 2 3" xfId="18785"/>
    <cellStyle name="Normal 64 3 2 2 2 2 3" xfId="22942"/>
    <cellStyle name="Normal 64 3 2 2 2 2 4" xfId="14645"/>
    <cellStyle name="Normal 64 3 2 2 2 3" xfId="8413"/>
    <cellStyle name="Normal 64 3 2 2 2 3 2" xfId="25010"/>
    <cellStyle name="Normal 64 3 2 2 2 3 3" xfId="16713"/>
    <cellStyle name="Normal 64 3 2 2 2 4" xfId="20870"/>
    <cellStyle name="Normal 64 3 2 2 2 5" xfId="12573"/>
    <cellStyle name="Normal 64 3 2 2 3" xfId="5295"/>
    <cellStyle name="Normal 64 3 2 2 3 2" xfId="9451"/>
    <cellStyle name="Normal 64 3 2 2 3 2 2" xfId="26048"/>
    <cellStyle name="Normal 64 3 2 2 3 2 3" xfId="17751"/>
    <cellStyle name="Normal 64 3 2 2 3 3" xfId="21908"/>
    <cellStyle name="Normal 64 3 2 2 3 4" xfId="13611"/>
    <cellStyle name="Normal 64 3 2 2 4" xfId="7379"/>
    <cellStyle name="Normal 64 3 2 2 4 2" xfId="23976"/>
    <cellStyle name="Normal 64 3 2 2 4 3" xfId="15679"/>
    <cellStyle name="Normal 64 3 2 2 5" xfId="19836"/>
    <cellStyle name="Normal 64 3 2 2 6" xfId="11539"/>
    <cellStyle name="Normal 64 3 2 3" xfId="3686"/>
    <cellStyle name="Normal 64 3 2 3 2" xfId="5814"/>
    <cellStyle name="Normal 64 3 2 3 2 2" xfId="9970"/>
    <cellStyle name="Normal 64 3 2 3 2 2 2" xfId="26567"/>
    <cellStyle name="Normal 64 3 2 3 2 2 3" xfId="18270"/>
    <cellStyle name="Normal 64 3 2 3 2 3" xfId="22427"/>
    <cellStyle name="Normal 64 3 2 3 2 4" xfId="14130"/>
    <cellStyle name="Normal 64 3 2 3 3" xfId="7898"/>
    <cellStyle name="Normal 64 3 2 3 3 2" xfId="24495"/>
    <cellStyle name="Normal 64 3 2 3 3 3" xfId="16198"/>
    <cellStyle name="Normal 64 3 2 3 4" xfId="20355"/>
    <cellStyle name="Normal 64 3 2 3 5" xfId="12058"/>
    <cellStyle name="Normal 64 3 2 4" xfId="4766"/>
    <cellStyle name="Normal 64 3 2 4 2" xfId="8934"/>
    <cellStyle name="Normal 64 3 2 4 2 2" xfId="25531"/>
    <cellStyle name="Normal 64 3 2 4 2 3" xfId="17234"/>
    <cellStyle name="Normal 64 3 2 4 3" xfId="21391"/>
    <cellStyle name="Normal 64 3 2 4 4" xfId="13094"/>
    <cellStyle name="Normal 64 3 2 5" xfId="6857"/>
    <cellStyle name="Normal 64 3 2 5 2" xfId="23461"/>
    <cellStyle name="Normal 64 3 2 5 3" xfId="15164"/>
    <cellStyle name="Normal 64 3 2 6" xfId="19318"/>
    <cellStyle name="Normal 64 3 2 7" xfId="11021"/>
    <cellStyle name="Normal 64 3 3" xfId="3157"/>
    <cellStyle name="Normal 64 3 3 2" xfId="4203"/>
    <cellStyle name="Normal 64 3 3 2 2" xfId="6328"/>
    <cellStyle name="Normal 64 3 3 2 2 2" xfId="10484"/>
    <cellStyle name="Normal 64 3 3 2 2 2 2" xfId="27081"/>
    <cellStyle name="Normal 64 3 3 2 2 2 3" xfId="18784"/>
    <cellStyle name="Normal 64 3 3 2 2 3" xfId="22941"/>
    <cellStyle name="Normal 64 3 3 2 2 4" xfId="14644"/>
    <cellStyle name="Normal 64 3 3 2 3" xfId="8412"/>
    <cellStyle name="Normal 64 3 3 2 3 2" xfId="25009"/>
    <cellStyle name="Normal 64 3 3 2 3 3" xfId="16712"/>
    <cellStyle name="Normal 64 3 3 2 4" xfId="20869"/>
    <cellStyle name="Normal 64 3 3 2 5" xfId="12572"/>
    <cellStyle name="Normal 64 3 3 3" xfId="5294"/>
    <cellStyle name="Normal 64 3 3 3 2" xfId="9450"/>
    <cellStyle name="Normal 64 3 3 3 2 2" xfId="26047"/>
    <cellStyle name="Normal 64 3 3 3 2 3" xfId="17750"/>
    <cellStyle name="Normal 64 3 3 3 3" xfId="21907"/>
    <cellStyle name="Normal 64 3 3 3 4" xfId="13610"/>
    <cellStyle name="Normal 64 3 3 4" xfId="7378"/>
    <cellStyle name="Normal 64 3 3 4 2" xfId="23975"/>
    <cellStyle name="Normal 64 3 3 4 3" xfId="15678"/>
    <cellStyle name="Normal 64 3 3 5" xfId="19835"/>
    <cellStyle name="Normal 64 3 3 6" xfId="11538"/>
    <cellStyle name="Normal 64 3 4" xfId="3685"/>
    <cellStyle name="Normal 64 3 4 2" xfId="5813"/>
    <cellStyle name="Normal 64 3 4 2 2" xfId="9969"/>
    <cellStyle name="Normal 64 3 4 2 2 2" xfId="26566"/>
    <cellStyle name="Normal 64 3 4 2 2 3" xfId="18269"/>
    <cellStyle name="Normal 64 3 4 2 3" xfId="22426"/>
    <cellStyle name="Normal 64 3 4 2 4" xfId="14129"/>
    <cellStyle name="Normal 64 3 4 3" xfId="7897"/>
    <cellStyle name="Normal 64 3 4 3 2" xfId="24494"/>
    <cellStyle name="Normal 64 3 4 3 3" xfId="16197"/>
    <cellStyle name="Normal 64 3 4 4" xfId="20354"/>
    <cellStyle name="Normal 64 3 4 5" xfId="12057"/>
    <cellStyle name="Normal 64 3 5" xfId="4765"/>
    <cellStyle name="Normal 64 3 5 2" xfId="8933"/>
    <cellStyle name="Normal 64 3 5 2 2" xfId="25530"/>
    <cellStyle name="Normal 64 3 5 2 3" xfId="17233"/>
    <cellStyle name="Normal 64 3 5 3" xfId="21390"/>
    <cellStyle name="Normal 64 3 5 4" xfId="13093"/>
    <cellStyle name="Normal 64 3 6" xfId="6856"/>
    <cellStyle name="Normal 64 3 6 2" xfId="23460"/>
    <cellStyle name="Normal 64 3 6 3" xfId="15163"/>
    <cellStyle name="Normal 64 3 7" xfId="19317"/>
    <cellStyle name="Normal 64 3 8" xfId="11020"/>
    <cellStyle name="Normal 64 4" xfId="1827"/>
    <cellStyle name="Normal 64 4 2" xfId="3159"/>
    <cellStyle name="Normal 64 4 2 2" xfId="4205"/>
    <cellStyle name="Normal 64 4 2 2 2" xfId="6330"/>
    <cellStyle name="Normal 64 4 2 2 2 2" xfId="10486"/>
    <cellStyle name="Normal 64 4 2 2 2 2 2" xfId="27083"/>
    <cellStyle name="Normal 64 4 2 2 2 2 3" xfId="18786"/>
    <cellStyle name="Normal 64 4 2 2 2 3" xfId="22943"/>
    <cellStyle name="Normal 64 4 2 2 2 4" xfId="14646"/>
    <cellStyle name="Normal 64 4 2 2 3" xfId="8414"/>
    <cellStyle name="Normal 64 4 2 2 3 2" xfId="25011"/>
    <cellStyle name="Normal 64 4 2 2 3 3" xfId="16714"/>
    <cellStyle name="Normal 64 4 2 2 4" xfId="20871"/>
    <cellStyle name="Normal 64 4 2 2 5" xfId="12574"/>
    <cellStyle name="Normal 64 4 2 3" xfId="5296"/>
    <cellStyle name="Normal 64 4 2 3 2" xfId="9452"/>
    <cellStyle name="Normal 64 4 2 3 2 2" xfId="26049"/>
    <cellStyle name="Normal 64 4 2 3 2 3" xfId="17752"/>
    <cellStyle name="Normal 64 4 2 3 3" xfId="21909"/>
    <cellStyle name="Normal 64 4 2 3 4" xfId="13612"/>
    <cellStyle name="Normal 64 4 2 4" xfId="7380"/>
    <cellStyle name="Normal 64 4 2 4 2" xfId="23977"/>
    <cellStyle name="Normal 64 4 2 4 3" xfId="15680"/>
    <cellStyle name="Normal 64 4 2 5" xfId="19837"/>
    <cellStyle name="Normal 64 4 2 6" xfId="11540"/>
    <cellStyle name="Normal 64 4 3" xfId="3687"/>
    <cellStyle name="Normal 64 4 3 2" xfId="5815"/>
    <cellStyle name="Normal 64 4 3 2 2" xfId="9971"/>
    <cellStyle name="Normal 64 4 3 2 2 2" xfId="26568"/>
    <cellStyle name="Normal 64 4 3 2 2 3" xfId="18271"/>
    <cellStyle name="Normal 64 4 3 2 3" xfId="22428"/>
    <cellStyle name="Normal 64 4 3 2 4" xfId="14131"/>
    <cellStyle name="Normal 64 4 3 3" xfId="7899"/>
    <cellStyle name="Normal 64 4 3 3 2" xfId="24496"/>
    <cellStyle name="Normal 64 4 3 3 3" xfId="16199"/>
    <cellStyle name="Normal 64 4 3 4" xfId="20356"/>
    <cellStyle name="Normal 64 4 3 5" xfId="12059"/>
    <cellStyle name="Normal 64 4 4" xfId="4767"/>
    <cellStyle name="Normal 64 4 4 2" xfId="8935"/>
    <cellStyle name="Normal 64 4 4 2 2" xfId="25532"/>
    <cellStyle name="Normal 64 4 4 2 3" xfId="17235"/>
    <cellStyle name="Normal 64 4 4 3" xfId="21392"/>
    <cellStyle name="Normal 64 4 4 4" xfId="13095"/>
    <cellStyle name="Normal 64 4 5" xfId="6858"/>
    <cellStyle name="Normal 64 4 5 2" xfId="23462"/>
    <cellStyle name="Normal 64 4 5 3" xfId="15165"/>
    <cellStyle name="Normal 64 4 6" xfId="19319"/>
    <cellStyle name="Normal 64 4 7" xfId="11022"/>
    <cellStyle name="Normal 64 5" xfId="3154"/>
    <cellStyle name="Normal 64 5 2" xfId="4200"/>
    <cellStyle name="Normal 64 5 2 2" xfId="6325"/>
    <cellStyle name="Normal 64 5 2 2 2" xfId="10481"/>
    <cellStyle name="Normal 64 5 2 2 2 2" xfId="27078"/>
    <cellStyle name="Normal 64 5 2 2 2 3" xfId="18781"/>
    <cellStyle name="Normal 64 5 2 2 3" xfId="22938"/>
    <cellStyle name="Normal 64 5 2 2 4" xfId="14641"/>
    <cellStyle name="Normal 64 5 2 3" xfId="8409"/>
    <cellStyle name="Normal 64 5 2 3 2" xfId="25006"/>
    <cellStyle name="Normal 64 5 2 3 3" xfId="16709"/>
    <cellStyle name="Normal 64 5 2 4" xfId="20866"/>
    <cellStyle name="Normal 64 5 2 5" xfId="12569"/>
    <cellStyle name="Normal 64 5 3" xfId="5291"/>
    <cellStyle name="Normal 64 5 3 2" xfId="9447"/>
    <cellStyle name="Normal 64 5 3 2 2" xfId="26044"/>
    <cellStyle name="Normal 64 5 3 2 3" xfId="17747"/>
    <cellStyle name="Normal 64 5 3 3" xfId="21904"/>
    <cellStyle name="Normal 64 5 3 4" xfId="13607"/>
    <cellStyle name="Normal 64 5 4" xfId="7375"/>
    <cellStyle name="Normal 64 5 4 2" xfId="23972"/>
    <cellStyle name="Normal 64 5 4 3" xfId="15675"/>
    <cellStyle name="Normal 64 5 5" xfId="19832"/>
    <cellStyle name="Normal 64 5 6" xfId="11535"/>
    <cellStyle name="Normal 64 6" xfId="3682"/>
    <cellStyle name="Normal 64 6 2" xfId="5810"/>
    <cellStyle name="Normal 64 6 2 2" xfId="9966"/>
    <cellStyle name="Normal 64 6 2 2 2" xfId="26563"/>
    <cellStyle name="Normal 64 6 2 2 3" xfId="18266"/>
    <cellStyle name="Normal 64 6 2 3" xfId="22423"/>
    <cellStyle name="Normal 64 6 2 4" xfId="14126"/>
    <cellStyle name="Normal 64 6 3" xfId="7894"/>
    <cellStyle name="Normal 64 6 3 2" xfId="24491"/>
    <cellStyle name="Normal 64 6 3 3" xfId="16194"/>
    <cellStyle name="Normal 64 6 4" xfId="20351"/>
    <cellStyle name="Normal 64 6 5" xfId="12054"/>
    <cellStyle name="Normal 64 7" xfId="4762"/>
    <cellStyle name="Normal 64 7 2" xfId="8930"/>
    <cellStyle name="Normal 64 7 2 2" xfId="25527"/>
    <cellStyle name="Normal 64 7 2 3" xfId="17230"/>
    <cellStyle name="Normal 64 7 3" xfId="21387"/>
    <cellStyle name="Normal 64 7 4" xfId="13090"/>
    <cellStyle name="Normal 64 8" xfId="6853"/>
    <cellStyle name="Normal 64 8 2" xfId="23457"/>
    <cellStyle name="Normal 64 8 3" xfId="15160"/>
    <cellStyle name="Normal 64 9" xfId="19314"/>
    <cellStyle name="Normal 65" xfId="1828"/>
    <cellStyle name="Normal 65 10" xfId="11023"/>
    <cellStyle name="Normal 65 2" xfId="1829"/>
    <cellStyle name="Normal 65 2 2" xfId="1830"/>
    <cellStyle name="Normal 65 2 2 2" xfId="3162"/>
    <cellStyle name="Normal 65 2 2 2 2" xfId="4208"/>
    <cellStyle name="Normal 65 2 2 2 2 2" xfId="6333"/>
    <cellStyle name="Normal 65 2 2 2 2 2 2" xfId="10489"/>
    <cellStyle name="Normal 65 2 2 2 2 2 2 2" xfId="27086"/>
    <cellStyle name="Normal 65 2 2 2 2 2 2 3" xfId="18789"/>
    <cellStyle name="Normal 65 2 2 2 2 2 3" xfId="22946"/>
    <cellStyle name="Normal 65 2 2 2 2 2 4" xfId="14649"/>
    <cellStyle name="Normal 65 2 2 2 2 3" xfId="8417"/>
    <cellStyle name="Normal 65 2 2 2 2 3 2" xfId="25014"/>
    <cellStyle name="Normal 65 2 2 2 2 3 3" xfId="16717"/>
    <cellStyle name="Normal 65 2 2 2 2 4" xfId="20874"/>
    <cellStyle name="Normal 65 2 2 2 2 5" xfId="12577"/>
    <cellStyle name="Normal 65 2 2 2 3" xfId="5299"/>
    <cellStyle name="Normal 65 2 2 2 3 2" xfId="9455"/>
    <cellStyle name="Normal 65 2 2 2 3 2 2" xfId="26052"/>
    <cellStyle name="Normal 65 2 2 2 3 2 3" xfId="17755"/>
    <cellStyle name="Normal 65 2 2 2 3 3" xfId="21912"/>
    <cellStyle name="Normal 65 2 2 2 3 4" xfId="13615"/>
    <cellStyle name="Normal 65 2 2 2 4" xfId="7383"/>
    <cellStyle name="Normal 65 2 2 2 4 2" xfId="23980"/>
    <cellStyle name="Normal 65 2 2 2 4 3" xfId="15683"/>
    <cellStyle name="Normal 65 2 2 2 5" xfId="19840"/>
    <cellStyle name="Normal 65 2 2 2 6" xfId="11543"/>
    <cellStyle name="Normal 65 2 2 3" xfId="3690"/>
    <cellStyle name="Normal 65 2 2 3 2" xfId="5818"/>
    <cellStyle name="Normal 65 2 2 3 2 2" xfId="9974"/>
    <cellStyle name="Normal 65 2 2 3 2 2 2" xfId="26571"/>
    <cellStyle name="Normal 65 2 2 3 2 2 3" xfId="18274"/>
    <cellStyle name="Normal 65 2 2 3 2 3" xfId="22431"/>
    <cellStyle name="Normal 65 2 2 3 2 4" xfId="14134"/>
    <cellStyle name="Normal 65 2 2 3 3" xfId="7902"/>
    <cellStyle name="Normal 65 2 2 3 3 2" xfId="24499"/>
    <cellStyle name="Normal 65 2 2 3 3 3" xfId="16202"/>
    <cellStyle name="Normal 65 2 2 3 4" xfId="20359"/>
    <cellStyle name="Normal 65 2 2 3 5" xfId="12062"/>
    <cellStyle name="Normal 65 2 2 4" xfId="4770"/>
    <cellStyle name="Normal 65 2 2 4 2" xfId="8938"/>
    <cellStyle name="Normal 65 2 2 4 2 2" xfId="25535"/>
    <cellStyle name="Normal 65 2 2 4 2 3" xfId="17238"/>
    <cellStyle name="Normal 65 2 2 4 3" xfId="21395"/>
    <cellStyle name="Normal 65 2 2 4 4" xfId="13098"/>
    <cellStyle name="Normal 65 2 2 5" xfId="6861"/>
    <cellStyle name="Normal 65 2 2 5 2" xfId="23465"/>
    <cellStyle name="Normal 65 2 2 5 3" xfId="15168"/>
    <cellStyle name="Normal 65 2 2 6" xfId="19322"/>
    <cellStyle name="Normal 65 2 2 7" xfId="11025"/>
    <cellStyle name="Normal 65 2 3" xfId="3161"/>
    <cellStyle name="Normal 65 2 3 2" xfId="4207"/>
    <cellStyle name="Normal 65 2 3 2 2" xfId="6332"/>
    <cellStyle name="Normal 65 2 3 2 2 2" xfId="10488"/>
    <cellStyle name="Normal 65 2 3 2 2 2 2" xfId="27085"/>
    <cellStyle name="Normal 65 2 3 2 2 2 3" xfId="18788"/>
    <cellStyle name="Normal 65 2 3 2 2 3" xfId="22945"/>
    <cellStyle name="Normal 65 2 3 2 2 4" xfId="14648"/>
    <cellStyle name="Normal 65 2 3 2 3" xfId="8416"/>
    <cellStyle name="Normal 65 2 3 2 3 2" xfId="25013"/>
    <cellStyle name="Normal 65 2 3 2 3 3" xfId="16716"/>
    <cellStyle name="Normal 65 2 3 2 4" xfId="20873"/>
    <cellStyle name="Normal 65 2 3 2 5" xfId="12576"/>
    <cellStyle name="Normal 65 2 3 3" xfId="5298"/>
    <cellStyle name="Normal 65 2 3 3 2" xfId="9454"/>
    <cellStyle name="Normal 65 2 3 3 2 2" xfId="26051"/>
    <cellStyle name="Normal 65 2 3 3 2 3" xfId="17754"/>
    <cellStyle name="Normal 65 2 3 3 3" xfId="21911"/>
    <cellStyle name="Normal 65 2 3 3 4" xfId="13614"/>
    <cellStyle name="Normal 65 2 3 4" xfId="7382"/>
    <cellStyle name="Normal 65 2 3 4 2" xfId="23979"/>
    <cellStyle name="Normal 65 2 3 4 3" xfId="15682"/>
    <cellStyle name="Normal 65 2 3 5" xfId="19839"/>
    <cellStyle name="Normal 65 2 3 6" xfId="11542"/>
    <cellStyle name="Normal 65 2 4" xfId="3689"/>
    <cellStyle name="Normal 65 2 4 2" xfId="5817"/>
    <cellStyle name="Normal 65 2 4 2 2" xfId="9973"/>
    <cellStyle name="Normal 65 2 4 2 2 2" xfId="26570"/>
    <cellStyle name="Normal 65 2 4 2 2 3" xfId="18273"/>
    <cellStyle name="Normal 65 2 4 2 3" xfId="22430"/>
    <cellStyle name="Normal 65 2 4 2 4" xfId="14133"/>
    <cellStyle name="Normal 65 2 4 3" xfId="7901"/>
    <cellStyle name="Normal 65 2 4 3 2" xfId="24498"/>
    <cellStyle name="Normal 65 2 4 3 3" xfId="16201"/>
    <cellStyle name="Normal 65 2 4 4" xfId="20358"/>
    <cellStyle name="Normal 65 2 4 5" xfId="12061"/>
    <cellStyle name="Normal 65 2 5" xfId="4769"/>
    <cellStyle name="Normal 65 2 5 2" xfId="8937"/>
    <cellStyle name="Normal 65 2 5 2 2" xfId="25534"/>
    <cellStyle name="Normal 65 2 5 2 3" xfId="17237"/>
    <cellStyle name="Normal 65 2 5 3" xfId="21394"/>
    <cellStyle name="Normal 65 2 5 4" xfId="13097"/>
    <cellStyle name="Normal 65 2 6" xfId="6860"/>
    <cellStyle name="Normal 65 2 6 2" xfId="23464"/>
    <cellStyle name="Normal 65 2 6 3" xfId="15167"/>
    <cellStyle name="Normal 65 2 7" xfId="19321"/>
    <cellStyle name="Normal 65 2 8" xfId="11024"/>
    <cellStyle name="Normal 65 3" xfId="1831"/>
    <cellStyle name="Normal 65 3 2" xfId="1832"/>
    <cellStyle name="Normal 65 3 2 2" xfId="3164"/>
    <cellStyle name="Normal 65 3 2 2 2" xfId="4210"/>
    <cellStyle name="Normal 65 3 2 2 2 2" xfId="6335"/>
    <cellStyle name="Normal 65 3 2 2 2 2 2" xfId="10491"/>
    <cellStyle name="Normal 65 3 2 2 2 2 2 2" xfId="27088"/>
    <cellStyle name="Normal 65 3 2 2 2 2 2 3" xfId="18791"/>
    <cellStyle name="Normal 65 3 2 2 2 2 3" xfId="22948"/>
    <cellStyle name="Normal 65 3 2 2 2 2 4" xfId="14651"/>
    <cellStyle name="Normal 65 3 2 2 2 3" xfId="8419"/>
    <cellStyle name="Normal 65 3 2 2 2 3 2" xfId="25016"/>
    <cellStyle name="Normal 65 3 2 2 2 3 3" xfId="16719"/>
    <cellStyle name="Normal 65 3 2 2 2 4" xfId="20876"/>
    <cellStyle name="Normal 65 3 2 2 2 5" xfId="12579"/>
    <cellStyle name="Normal 65 3 2 2 3" xfId="5301"/>
    <cellStyle name="Normal 65 3 2 2 3 2" xfId="9457"/>
    <cellStyle name="Normal 65 3 2 2 3 2 2" xfId="26054"/>
    <cellStyle name="Normal 65 3 2 2 3 2 3" xfId="17757"/>
    <cellStyle name="Normal 65 3 2 2 3 3" xfId="21914"/>
    <cellStyle name="Normal 65 3 2 2 3 4" xfId="13617"/>
    <cellStyle name="Normal 65 3 2 2 4" xfId="7385"/>
    <cellStyle name="Normal 65 3 2 2 4 2" xfId="23982"/>
    <cellStyle name="Normal 65 3 2 2 4 3" xfId="15685"/>
    <cellStyle name="Normal 65 3 2 2 5" xfId="19842"/>
    <cellStyle name="Normal 65 3 2 2 6" xfId="11545"/>
    <cellStyle name="Normal 65 3 2 3" xfId="3692"/>
    <cellStyle name="Normal 65 3 2 3 2" xfId="5820"/>
    <cellStyle name="Normal 65 3 2 3 2 2" xfId="9976"/>
    <cellStyle name="Normal 65 3 2 3 2 2 2" xfId="26573"/>
    <cellStyle name="Normal 65 3 2 3 2 2 3" xfId="18276"/>
    <cellStyle name="Normal 65 3 2 3 2 3" xfId="22433"/>
    <cellStyle name="Normal 65 3 2 3 2 4" xfId="14136"/>
    <cellStyle name="Normal 65 3 2 3 3" xfId="7904"/>
    <cellStyle name="Normal 65 3 2 3 3 2" xfId="24501"/>
    <cellStyle name="Normal 65 3 2 3 3 3" xfId="16204"/>
    <cellStyle name="Normal 65 3 2 3 4" xfId="20361"/>
    <cellStyle name="Normal 65 3 2 3 5" xfId="12064"/>
    <cellStyle name="Normal 65 3 2 4" xfId="4772"/>
    <cellStyle name="Normal 65 3 2 4 2" xfId="8940"/>
    <cellStyle name="Normal 65 3 2 4 2 2" xfId="25537"/>
    <cellStyle name="Normal 65 3 2 4 2 3" xfId="17240"/>
    <cellStyle name="Normal 65 3 2 4 3" xfId="21397"/>
    <cellStyle name="Normal 65 3 2 4 4" xfId="13100"/>
    <cellStyle name="Normal 65 3 2 5" xfId="6863"/>
    <cellStyle name="Normal 65 3 2 5 2" xfId="23467"/>
    <cellStyle name="Normal 65 3 2 5 3" xfId="15170"/>
    <cellStyle name="Normal 65 3 2 6" xfId="19324"/>
    <cellStyle name="Normal 65 3 2 7" xfId="11027"/>
    <cellStyle name="Normal 65 3 3" xfId="3163"/>
    <cellStyle name="Normal 65 3 3 2" xfId="4209"/>
    <cellStyle name="Normal 65 3 3 2 2" xfId="6334"/>
    <cellStyle name="Normal 65 3 3 2 2 2" xfId="10490"/>
    <cellStyle name="Normal 65 3 3 2 2 2 2" xfId="27087"/>
    <cellStyle name="Normal 65 3 3 2 2 2 3" xfId="18790"/>
    <cellStyle name="Normal 65 3 3 2 2 3" xfId="22947"/>
    <cellStyle name="Normal 65 3 3 2 2 4" xfId="14650"/>
    <cellStyle name="Normal 65 3 3 2 3" xfId="8418"/>
    <cellStyle name="Normal 65 3 3 2 3 2" xfId="25015"/>
    <cellStyle name="Normal 65 3 3 2 3 3" xfId="16718"/>
    <cellStyle name="Normal 65 3 3 2 4" xfId="20875"/>
    <cellStyle name="Normal 65 3 3 2 5" xfId="12578"/>
    <cellStyle name="Normal 65 3 3 3" xfId="5300"/>
    <cellStyle name="Normal 65 3 3 3 2" xfId="9456"/>
    <cellStyle name="Normal 65 3 3 3 2 2" xfId="26053"/>
    <cellStyle name="Normal 65 3 3 3 2 3" xfId="17756"/>
    <cellStyle name="Normal 65 3 3 3 3" xfId="21913"/>
    <cellStyle name="Normal 65 3 3 3 4" xfId="13616"/>
    <cellStyle name="Normal 65 3 3 4" xfId="7384"/>
    <cellStyle name="Normal 65 3 3 4 2" xfId="23981"/>
    <cellStyle name="Normal 65 3 3 4 3" xfId="15684"/>
    <cellStyle name="Normal 65 3 3 5" xfId="19841"/>
    <cellStyle name="Normal 65 3 3 6" xfId="11544"/>
    <cellStyle name="Normal 65 3 4" xfId="3691"/>
    <cellStyle name="Normal 65 3 4 2" xfId="5819"/>
    <cellStyle name="Normal 65 3 4 2 2" xfId="9975"/>
    <cellStyle name="Normal 65 3 4 2 2 2" xfId="26572"/>
    <cellStyle name="Normal 65 3 4 2 2 3" xfId="18275"/>
    <cellStyle name="Normal 65 3 4 2 3" xfId="22432"/>
    <cellStyle name="Normal 65 3 4 2 4" xfId="14135"/>
    <cellStyle name="Normal 65 3 4 3" xfId="7903"/>
    <cellStyle name="Normal 65 3 4 3 2" xfId="24500"/>
    <cellStyle name="Normal 65 3 4 3 3" xfId="16203"/>
    <cellStyle name="Normal 65 3 4 4" xfId="20360"/>
    <cellStyle name="Normal 65 3 4 5" xfId="12063"/>
    <cellStyle name="Normal 65 3 5" xfId="4771"/>
    <cellStyle name="Normal 65 3 5 2" xfId="8939"/>
    <cellStyle name="Normal 65 3 5 2 2" xfId="25536"/>
    <cellStyle name="Normal 65 3 5 2 3" xfId="17239"/>
    <cellStyle name="Normal 65 3 5 3" xfId="21396"/>
    <cellStyle name="Normal 65 3 5 4" xfId="13099"/>
    <cellStyle name="Normal 65 3 6" xfId="6862"/>
    <cellStyle name="Normal 65 3 6 2" xfId="23466"/>
    <cellStyle name="Normal 65 3 6 3" xfId="15169"/>
    <cellStyle name="Normal 65 3 7" xfId="19323"/>
    <cellStyle name="Normal 65 3 8" xfId="11026"/>
    <cellStyle name="Normal 65 4" xfId="1833"/>
    <cellStyle name="Normal 65 4 2" xfId="3165"/>
    <cellStyle name="Normal 65 4 2 2" xfId="4211"/>
    <cellStyle name="Normal 65 4 2 2 2" xfId="6336"/>
    <cellStyle name="Normal 65 4 2 2 2 2" xfId="10492"/>
    <cellStyle name="Normal 65 4 2 2 2 2 2" xfId="27089"/>
    <cellStyle name="Normal 65 4 2 2 2 2 3" xfId="18792"/>
    <cellStyle name="Normal 65 4 2 2 2 3" xfId="22949"/>
    <cellStyle name="Normal 65 4 2 2 2 4" xfId="14652"/>
    <cellStyle name="Normal 65 4 2 2 3" xfId="8420"/>
    <cellStyle name="Normal 65 4 2 2 3 2" xfId="25017"/>
    <cellStyle name="Normal 65 4 2 2 3 3" xfId="16720"/>
    <cellStyle name="Normal 65 4 2 2 4" xfId="20877"/>
    <cellStyle name="Normal 65 4 2 2 5" xfId="12580"/>
    <cellStyle name="Normal 65 4 2 3" xfId="5302"/>
    <cellStyle name="Normal 65 4 2 3 2" xfId="9458"/>
    <cellStyle name="Normal 65 4 2 3 2 2" xfId="26055"/>
    <cellStyle name="Normal 65 4 2 3 2 3" xfId="17758"/>
    <cellStyle name="Normal 65 4 2 3 3" xfId="21915"/>
    <cellStyle name="Normal 65 4 2 3 4" xfId="13618"/>
    <cellStyle name="Normal 65 4 2 4" xfId="7386"/>
    <cellStyle name="Normal 65 4 2 4 2" xfId="23983"/>
    <cellStyle name="Normal 65 4 2 4 3" xfId="15686"/>
    <cellStyle name="Normal 65 4 2 5" xfId="19843"/>
    <cellStyle name="Normal 65 4 2 6" xfId="11546"/>
    <cellStyle name="Normal 65 4 3" xfId="3693"/>
    <cellStyle name="Normal 65 4 3 2" xfId="5821"/>
    <cellStyle name="Normal 65 4 3 2 2" xfId="9977"/>
    <cellStyle name="Normal 65 4 3 2 2 2" xfId="26574"/>
    <cellStyle name="Normal 65 4 3 2 2 3" xfId="18277"/>
    <cellStyle name="Normal 65 4 3 2 3" xfId="22434"/>
    <cellStyle name="Normal 65 4 3 2 4" xfId="14137"/>
    <cellStyle name="Normal 65 4 3 3" xfId="7905"/>
    <cellStyle name="Normal 65 4 3 3 2" xfId="24502"/>
    <cellStyle name="Normal 65 4 3 3 3" xfId="16205"/>
    <cellStyle name="Normal 65 4 3 4" xfId="20362"/>
    <cellStyle name="Normal 65 4 3 5" xfId="12065"/>
    <cellStyle name="Normal 65 4 4" xfId="4773"/>
    <cellStyle name="Normal 65 4 4 2" xfId="8941"/>
    <cellStyle name="Normal 65 4 4 2 2" xfId="25538"/>
    <cellStyle name="Normal 65 4 4 2 3" xfId="17241"/>
    <cellStyle name="Normal 65 4 4 3" xfId="21398"/>
    <cellStyle name="Normal 65 4 4 4" xfId="13101"/>
    <cellStyle name="Normal 65 4 5" xfId="6864"/>
    <cellStyle name="Normal 65 4 5 2" xfId="23468"/>
    <cellStyle name="Normal 65 4 5 3" xfId="15171"/>
    <cellStyle name="Normal 65 4 6" xfId="19325"/>
    <cellStyle name="Normal 65 4 7" xfId="11028"/>
    <cellStyle name="Normal 65 5" xfId="3160"/>
    <cellStyle name="Normal 65 5 2" xfId="4206"/>
    <cellStyle name="Normal 65 5 2 2" xfId="6331"/>
    <cellStyle name="Normal 65 5 2 2 2" xfId="10487"/>
    <cellStyle name="Normal 65 5 2 2 2 2" xfId="27084"/>
    <cellStyle name="Normal 65 5 2 2 2 3" xfId="18787"/>
    <cellStyle name="Normal 65 5 2 2 3" xfId="22944"/>
    <cellStyle name="Normal 65 5 2 2 4" xfId="14647"/>
    <cellStyle name="Normal 65 5 2 3" xfId="8415"/>
    <cellStyle name="Normal 65 5 2 3 2" xfId="25012"/>
    <cellStyle name="Normal 65 5 2 3 3" xfId="16715"/>
    <cellStyle name="Normal 65 5 2 4" xfId="20872"/>
    <cellStyle name="Normal 65 5 2 5" xfId="12575"/>
    <cellStyle name="Normal 65 5 3" xfId="5297"/>
    <cellStyle name="Normal 65 5 3 2" xfId="9453"/>
    <cellStyle name="Normal 65 5 3 2 2" xfId="26050"/>
    <cellStyle name="Normal 65 5 3 2 3" xfId="17753"/>
    <cellStyle name="Normal 65 5 3 3" xfId="21910"/>
    <cellStyle name="Normal 65 5 3 4" xfId="13613"/>
    <cellStyle name="Normal 65 5 4" xfId="7381"/>
    <cellStyle name="Normal 65 5 4 2" xfId="23978"/>
    <cellStyle name="Normal 65 5 4 3" xfId="15681"/>
    <cellStyle name="Normal 65 5 5" xfId="19838"/>
    <cellStyle name="Normal 65 5 6" xfId="11541"/>
    <cellStyle name="Normal 65 6" xfId="3688"/>
    <cellStyle name="Normal 65 6 2" xfId="5816"/>
    <cellStyle name="Normal 65 6 2 2" xfId="9972"/>
    <cellStyle name="Normal 65 6 2 2 2" xfId="26569"/>
    <cellStyle name="Normal 65 6 2 2 3" xfId="18272"/>
    <cellStyle name="Normal 65 6 2 3" xfId="22429"/>
    <cellStyle name="Normal 65 6 2 4" xfId="14132"/>
    <cellStyle name="Normal 65 6 3" xfId="7900"/>
    <cellStyle name="Normal 65 6 3 2" xfId="24497"/>
    <cellStyle name="Normal 65 6 3 3" xfId="16200"/>
    <cellStyle name="Normal 65 6 4" xfId="20357"/>
    <cellStyle name="Normal 65 6 5" xfId="12060"/>
    <cellStyle name="Normal 65 7" xfId="4768"/>
    <cellStyle name="Normal 65 7 2" xfId="8936"/>
    <cellStyle name="Normal 65 7 2 2" xfId="25533"/>
    <cellStyle name="Normal 65 7 2 3" xfId="17236"/>
    <cellStyle name="Normal 65 7 3" xfId="21393"/>
    <cellStyle name="Normal 65 7 4" xfId="13096"/>
    <cellStyle name="Normal 65 8" xfId="6859"/>
    <cellStyle name="Normal 65 8 2" xfId="23463"/>
    <cellStyle name="Normal 65 8 3" xfId="15166"/>
    <cellStyle name="Normal 65 9" xfId="19320"/>
    <cellStyle name="Normal 66" xfId="1834"/>
    <cellStyle name="Normal 66 10" xfId="11029"/>
    <cellStyle name="Normal 66 2" xfId="1835"/>
    <cellStyle name="Normal 66 2 2" xfId="1836"/>
    <cellStyle name="Normal 66 2 2 2" xfId="3168"/>
    <cellStyle name="Normal 66 2 2 2 2" xfId="4214"/>
    <cellStyle name="Normal 66 2 2 2 2 2" xfId="6339"/>
    <cellStyle name="Normal 66 2 2 2 2 2 2" xfId="10495"/>
    <cellStyle name="Normal 66 2 2 2 2 2 2 2" xfId="27092"/>
    <cellStyle name="Normal 66 2 2 2 2 2 2 3" xfId="18795"/>
    <cellStyle name="Normal 66 2 2 2 2 2 3" xfId="22952"/>
    <cellStyle name="Normal 66 2 2 2 2 2 4" xfId="14655"/>
    <cellStyle name="Normal 66 2 2 2 2 3" xfId="8423"/>
    <cellStyle name="Normal 66 2 2 2 2 3 2" xfId="25020"/>
    <cellStyle name="Normal 66 2 2 2 2 3 3" xfId="16723"/>
    <cellStyle name="Normal 66 2 2 2 2 4" xfId="20880"/>
    <cellStyle name="Normal 66 2 2 2 2 5" xfId="12583"/>
    <cellStyle name="Normal 66 2 2 2 3" xfId="5305"/>
    <cellStyle name="Normal 66 2 2 2 3 2" xfId="9461"/>
    <cellStyle name="Normal 66 2 2 2 3 2 2" xfId="26058"/>
    <cellStyle name="Normal 66 2 2 2 3 2 3" xfId="17761"/>
    <cellStyle name="Normal 66 2 2 2 3 3" xfId="21918"/>
    <cellStyle name="Normal 66 2 2 2 3 4" xfId="13621"/>
    <cellStyle name="Normal 66 2 2 2 4" xfId="7389"/>
    <cellStyle name="Normal 66 2 2 2 4 2" xfId="23986"/>
    <cellStyle name="Normal 66 2 2 2 4 3" xfId="15689"/>
    <cellStyle name="Normal 66 2 2 2 5" xfId="19846"/>
    <cellStyle name="Normal 66 2 2 2 6" xfId="11549"/>
    <cellStyle name="Normal 66 2 2 3" xfId="3696"/>
    <cellStyle name="Normal 66 2 2 3 2" xfId="5824"/>
    <cellStyle name="Normal 66 2 2 3 2 2" xfId="9980"/>
    <cellStyle name="Normal 66 2 2 3 2 2 2" xfId="26577"/>
    <cellStyle name="Normal 66 2 2 3 2 2 3" xfId="18280"/>
    <cellStyle name="Normal 66 2 2 3 2 3" xfId="22437"/>
    <cellStyle name="Normal 66 2 2 3 2 4" xfId="14140"/>
    <cellStyle name="Normal 66 2 2 3 3" xfId="7908"/>
    <cellStyle name="Normal 66 2 2 3 3 2" xfId="24505"/>
    <cellStyle name="Normal 66 2 2 3 3 3" xfId="16208"/>
    <cellStyle name="Normal 66 2 2 3 4" xfId="20365"/>
    <cellStyle name="Normal 66 2 2 3 5" xfId="12068"/>
    <cellStyle name="Normal 66 2 2 4" xfId="4776"/>
    <cellStyle name="Normal 66 2 2 4 2" xfId="8944"/>
    <cellStyle name="Normal 66 2 2 4 2 2" xfId="25541"/>
    <cellStyle name="Normal 66 2 2 4 2 3" xfId="17244"/>
    <cellStyle name="Normal 66 2 2 4 3" xfId="21401"/>
    <cellStyle name="Normal 66 2 2 4 4" xfId="13104"/>
    <cellStyle name="Normal 66 2 2 5" xfId="6867"/>
    <cellStyle name="Normal 66 2 2 5 2" xfId="23471"/>
    <cellStyle name="Normal 66 2 2 5 3" xfId="15174"/>
    <cellStyle name="Normal 66 2 2 6" xfId="19328"/>
    <cellStyle name="Normal 66 2 2 7" xfId="11031"/>
    <cellStyle name="Normal 66 2 3" xfId="3167"/>
    <cellStyle name="Normal 66 2 3 2" xfId="4213"/>
    <cellStyle name="Normal 66 2 3 2 2" xfId="6338"/>
    <cellStyle name="Normal 66 2 3 2 2 2" xfId="10494"/>
    <cellStyle name="Normal 66 2 3 2 2 2 2" xfId="27091"/>
    <cellStyle name="Normal 66 2 3 2 2 2 3" xfId="18794"/>
    <cellStyle name="Normal 66 2 3 2 2 3" xfId="22951"/>
    <cellStyle name="Normal 66 2 3 2 2 4" xfId="14654"/>
    <cellStyle name="Normal 66 2 3 2 3" xfId="8422"/>
    <cellStyle name="Normal 66 2 3 2 3 2" xfId="25019"/>
    <cellStyle name="Normal 66 2 3 2 3 3" xfId="16722"/>
    <cellStyle name="Normal 66 2 3 2 4" xfId="20879"/>
    <cellStyle name="Normal 66 2 3 2 5" xfId="12582"/>
    <cellStyle name="Normal 66 2 3 3" xfId="5304"/>
    <cellStyle name="Normal 66 2 3 3 2" xfId="9460"/>
    <cellStyle name="Normal 66 2 3 3 2 2" xfId="26057"/>
    <cellStyle name="Normal 66 2 3 3 2 3" xfId="17760"/>
    <cellStyle name="Normal 66 2 3 3 3" xfId="21917"/>
    <cellStyle name="Normal 66 2 3 3 4" xfId="13620"/>
    <cellStyle name="Normal 66 2 3 4" xfId="7388"/>
    <cellStyle name="Normal 66 2 3 4 2" xfId="23985"/>
    <cellStyle name="Normal 66 2 3 4 3" xfId="15688"/>
    <cellStyle name="Normal 66 2 3 5" xfId="19845"/>
    <cellStyle name="Normal 66 2 3 6" xfId="11548"/>
    <cellStyle name="Normal 66 2 4" xfId="3695"/>
    <cellStyle name="Normal 66 2 4 2" xfId="5823"/>
    <cellStyle name="Normal 66 2 4 2 2" xfId="9979"/>
    <cellStyle name="Normal 66 2 4 2 2 2" xfId="26576"/>
    <cellStyle name="Normal 66 2 4 2 2 3" xfId="18279"/>
    <cellStyle name="Normal 66 2 4 2 3" xfId="22436"/>
    <cellStyle name="Normal 66 2 4 2 4" xfId="14139"/>
    <cellStyle name="Normal 66 2 4 3" xfId="7907"/>
    <cellStyle name="Normal 66 2 4 3 2" xfId="24504"/>
    <cellStyle name="Normal 66 2 4 3 3" xfId="16207"/>
    <cellStyle name="Normal 66 2 4 4" xfId="20364"/>
    <cellStyle name="Normal 66 2 4 5" xfId="12067"/>
    <cellStyle name="Normal 66 2 5" xfId="4775"/>
    <cellStyle name="Normal 66 2 5 2" xfId="8943"/>
    <cellStyle name="Normal 66 2 5 2 2" xfId="25540"/>
    <cellStyle name="Normal 66 2 5 2 3" xfId="17243"/>
    <cellStyle name="Normal 66 2 5 3" xfId="21400"/>
    <cellStyle name="Normal 66 2 5 4" xfId="13103"/>
    <cellStyle name="Normal 66 2 6" xfId="6866"/>
    <cellStyle name="Normal 66 2 6 2" xfId="23470"/>
    <cellStyle name="Normal 66 2 6 3" xfId="15173"/>
    <cellStyle name="Normal 66 2 7" xfId="19327"/>
    <cellStyle name="Normal 66 2 8" xfId="11030"/>
    <cellStyle name="Normal 66 3" xfId="1837"/>
    <cellStyle name="Normal 66 3 2" xfId="1838"/>
    <cellStyle name="Normal 66 3 2 2" xfId="3170"/>
    <cellStyle name="Normal 66 3 2 2 2" xfId="4216"/>
    <cellStyle name="Normal 66 3 2 2 2 2" xfId="6341"/>
    <cellStyle name="Normal 66 3 2 2 2 2 2" xfId="10497"/>
    <cellStyle name="Normal 66 3 2 2 2 2 2 2" xfId="27094"/>
    <cellStyle name="Normal 66 3 2 2 2 2 2 3" xfId="18797"/>
    <cellStyle name="Normal 66 3 2 2 2 2 3" xfId="22954"/>
    <cellStyle name="Normal 66 3 2 2 2 2 4" xfId="14657"/>
    <cellStyle name="Normal 66 3 2 2 2 3" xfId="8425"/>
    <cellStyle name="Normal 66 3 2 2 2 3 2" xfId="25022"/>
    <cellStyle name="Normal 66 3 2 2 2 3 3" xfId="16725"/>
    <cellStyle name="Normal 66 3 2 2 2 4" xfId="20882"/>
    <cellStyle name="Normal 66 3 2 2 2 5" xfId="12585"/>
    <cellStyle name="Normal 66 3 2 2 3" xfId="5307"/>
    <cellStyle name="Normal 66 3 2 2 3 2" xfId="9463"/>
    <cellStyle name="Normal 66 3 2 2 3 2 2" xfId="26060"/>
    <cellStyle name="Normal 66 3 2 2 3 2 3" xfId="17763"/>
    <cellStyle name="Normal 66 3 2 2 3 3" xfId="21920"/>
    <cellStyle name="Normal 66 3 2 2 3 4" xfId="13623"/>
    <cellStyle name="Normal 66 3 2 2 4" xfId="7391"/>
    <cellStyle name="Normal 66 3 2 2 4 2" xfId="23988"/>
    <cellStyle name="Normal 66 3 2 2 4 3" xfId="15691"/>
    <cellStyle name="Normal 66 3 2 2 5" xfId="19848"/>
    <cellStyle name="Normal 66 3 2 2 6" xfId="11551"/>
    <cellStyle name="Normal 66 3 2 3" xfId="3698"/>
    <cellStyle name="Normal 66 3 2 3 2" xfId="5826"/>
    <cellStyle name="Normal 66 3 2 3 2 2" xfId="9982"/>
    <cellStyle name="Normal 66 3 2 3 2 2 2" xfId="26579"/>
    <cellStyle name="Normal 66 3 2 3 2 2 3" xfId="18282"/>
    <cellStyle name="Normal 66 3 2 3 2 3" xfId="22439"/>
    <cellStyle name="Normal 66 3 2 3 2 4" xfId="14142"/>
    <cellStyle name="Normal 66 3 2 3 3" xfId="7910"/>
    <cellStyle name="Normal 66 3 2 3 3 2" xfId="24507"/>
    <cellStyle name="Normal 66 3 2 3 3 3" xfId="16210"/>
    <cellStyle name="Normal 66 3 2 3 4" xfId="20367"/>
    <cellStyle name="Normal 66 3 2 3 5" xfId="12070"/>
    <cellStyle name="Normal 66 3 2 4" xfId="4778"/>
    <cellStyle name="Normal 66 3 2 4 2" xfId="8946"/>
    <cellStyle name="Normal 66 3 2 4 2 2" xfId="25543"/>
    <cellStyle name="Normal 66 3 2 4 2 3" xfId="17246"/>
    <cellStyle name="Normal 66 3 2 4 3" xfId="21403"/>
    <cellStyle name="Normal 66 3 2 4 4" xfId="13106"/>
    <cellStyle name="Normal 66 3 2 5" xfId="6869"/>
    <cellStyle name="Normal 66 3 2 5 2" xfId="23473"/>
    <cellStyle name="Normal 66 3 2 5 3" xfId="15176"/>
    <cellStyle name="Normal 66 3 2 6" xfId="19330"/>
    <cellStyle name="Normal 66 3 2 7" xfId="11033"/>
    <cellStyle name="Normal 66 3 3" xfId="3169"/>
    <cellStyle name="Normal 66 3 3 2" xfId="4215"/>
    <cellStyle name="Normal 66 3 3 2 2" xfId="6340"/>
    <cellStyle name="Normal 66 3 3 2 2 2" xfId="10496"/>
    <cellStyle name="Normal 66 3 3 2 2 2 2" xfId="27093"/>
    <cellStyle name="Normal 66 3 3 2 2 2 3" xfId="18796"/>
    <cellStyle name="Normal 66 3 3 2 2 3" xfId="22953"/>
    <cellStyle name="Normal 66 3 3 2 2 4" xfId="14656"/>
    <cellStyle name="Normal 66 3 3 2 3" xfId="8424"/>
    <cellStyle name="Normal 66 3 3 2 3 2" xfId="25021"/>
    <cellStyle name="Normal 66 3 3 2 3 3" xfId="16724"/>
    <cellStyle name="Normal 66 3 3 2 4" xfId="20881"/>
    <cellStyle name="Normal 66 3 3 2 5" xfId="12584"/>
    <cellStyle name="Normal 66 3 3 3" xfId="5306"/>
    <cellStyle name="Normal 66 3 3 3 2" xfId="9462"/>
    <cellStyle name="Normal 66 3 3 3 2 2" xfId="26059"/>
    <cellStyle name="Normal 66 3 3 3 2 3" xfId="17762"/>
    <cellStyle name="Normal 66 3 3 3 3" xfId="21919"/>
    <cellStyle name="Normal 66 3 3 3 4" xfId="13622"/>
    <cellStyle name="Normal 66 3 3 4" xfId="7390"/>
    <cellStyle name="Normal 66 3 3 4 2" xfId="23987"/>
    <cellStyle name="Normal 66 3 3 4 3" xfId="15690"/>
    <cellStyle name="Normal 66 3 3 5" xfId="19847"/>
    <cellStyle name="Normal 66 3 3 6" xfId="11550"/>
    <cellStyle name="Normal 66 3 4" xfId="3697"/>
    <cellStyle name="Normal 66 3 4 2" xfId="5825"/>
    <cellStyle name="Normal 66 3 4 2 2" xfId="9981"/>
    <cellStyle name="Normal 66 3 4 2 2 2" xfId="26578"/>
    <cellStyle name="Normal 66 3 4 2 2 3" xfId="18281"/>
    <cellStyle name="Normal 66 3 4 2 3" xfId="22438"/>
    <cellStyle name="Normal 66 3 4 2 4" xfId="14141"/>
    <cellStyle name="Normal 66 3 4 3" xfId="7909"/>
    <cellStyle name="Normal 66 3 4 3 2" xfId="24506"/>
    <cellStyle name="Normal 66 3 4 3 3" xfId="16209"/>
    <cellStyle name="Normal 66 3 4 4" xfId="20366"/>
    <cellStyle name="Normal 66 3 4 5" xfId="12069"/>
    <cellStyle name="Normal 66 3 5" xfId="4777"/>
    <cellStyle name="Normal 66 3 5 2" xfId="8945"/>
    <cellStyle name="Normal 66 3 5 2 2" xfId="25542"/>
    <cellStyle name="Normal 66 3 5 2 3" xfId="17245"/>
    <cellStyle name="Normal 66 3 5 3" xfId="21402"/>
    <cellStyle name="Normal 66 3 5 4" xfId="13105"/>
    <cellStyle name="Normal 66 3 6" xfId="6868"/>
    <cellStyle name="Normal 66 3 6 2" xfId="23472"/>
    <cellStyle name="Normal 66 3 6 3" xfId="15175"/>
    <cellStyle name="Normal 66 3 7" xfId="19329"/>
    <cellStyle name="Normal 66 3 8" xfId="11032"/>
    <cellStyle name="Normal 66 4" xfId="1839"/>
    <cellStyle name="Normal 66 4 2" xfId="3171"/>
    <cellStyle name="Normal 66 4 2 2" xfId="4217"/>
    <cellStyle name="Normal 66 4 2 2 2" xfId="6342"/>
    <cellStyle name="Normal 66 4 2 2 2 2" xfId="10498"/>
    <cellStyle name="Normal 66 4 2 2 2 2 2" xfId="27095"/>
    <cellStyle name="Normal 66 4 2 2 2 2 3" xfId="18798"/>
    <cellStyle name="Normal 66 4 2 2 2 3" xfId="22955"/>
    <cellStyle name="Normal 66 4 2 2 2 4" xfId="14658"/>
    <cellStyle name="Normal 66 4 2 2 3" xfId="8426"/>
    <cellStyle name="Normal 66 4 2 2 3 2" xfId="25023"/>
    <cellStyle name="Normal 66 4 2 2 3 3" xfId="16726"/>
    <cellStyle name="Normal 66 4 2 2 4" xfId="20883"/>
    <cellStyle name="Normal 66 4 2 2 5" xfId="12586"/>
    <cellStyle name="Normal 66 4 2 3" xfId="5308"/>
    <cellStyle name="Normal 66 4 2 3 2" xfId="9464"/>
    <cellStyle name="Normal 66 4 2 3 2 2" xfId="26061"/>
    <cellStyle name="Normal 66 4 2 3 2 3" xfId="17764"/>
    <cellStyle name="Normal 66 4 2 3 3" xfId="21921"/>
    <cellStyle name="Normal 66 4 2 3 4" xfId="13624"/>
    <cellStyle name="Normal 66 4 2 4" xfId="7392"/>
    <cellStyle name="Normal 66 4 2 4 2" xfId="23989"/>
    <cellStyle name="Normal 66 4 2 4 3" xfId="15692"/>
    <cellStyle name="Normal 66 4 2 5" xfId="19849"/>
    <cellStyle name="Normal 66 4 2 6" xfId="11552"/>
    <cellStyle name="Normal 66 4 3" xfId="3699"/>
    <cellStyle name="Normal 66 4 3 2" xfId="5827"/>
    <cellStyle name="Normal 66 4 3 2 2" xfId="9983"/>
    <cellStyle name="Normal 66 4 3 2 2 2" xfId="26580"/>
    <cellStyle name="Normal 66 4 3 2 2 3" xfId="18283"/>
    <cellStyle name="Normal 66 4 3 2 3" xfId="22440"/>
    <cellStyle name="Normal 66 4 3 2 4" xfId="14143"/>
    <cellStyle name="Normal 66 4 3 3" xfId="7911"/>
    <cellStyle name="Normal 66 4 3 3 2" xfId="24508"/>
    <cellStyle name="Normal 66 4 3 3 3" xfId="16211"/>
    <cellStyle name="Normal 66 4 3 4" xfId="20368"/>
    <cellStyle name="Normal 66 4 3 5" xfId="12071"/>
    <cellStyle name="Normal 66 4 4" xfId="4779"/>
    <cellStyle name="Normal 66 4 4 2" xfId="8947"/>
    <cellStyle name="Normal 66 4 4 2 2" xfId="25544"/>
    <cellStyle name="Normal 66 4 4 2 3" xfId="17247"/>
    <cellStyle name="Normal 66 4 4 3" xfId="21404"/>
    <cellStyle name="Normal 66 4 4 4" xfId="13107"/>
    <cellStyle name="Normal 66 4 5" xfId="6870"/>
    <cellStyle name="Normal 66 4 5 2" xfId="23474"/>
    <cellStyle name="Normal 66 4 5 3" xfId="15177"/>
    <cellStyle name="Normal 66 4 6" xfId="19331"/>
    <cellStyle name="Normal 66 4 7" xfId="11034"/>
    <cellStyle name="Normal 66 5" xfId="3166"/>
    <cellStyle name="Normal 66 5 2" xfId="4212"/>
    <cellStyle name="Normal 66 5 2 2" xfId="6337"/>
    <cellStyle name="Normal 66 5 2 2 2" xfId="10493"/>
    <cellStyle name="Normal 66 5 2 2 2 2" xfId="27090"/>
    <cellStyle name="Normal 66 5 2 2 2 3" xfId="18793"/>
    <cellStyle name="Normal 66 5 2 2 3" xfId="22950"/>
    <cellStyle name="Normal 66 5 2 2 4" xfId="14653"/>
    <cellStyle name="Normal 66 5 2 3" xfId="8421"/>
    <cellStyle name="Normal 66 5 2 3 2" xfId="25018"/>
    <cellStyle name="Normal 66 5 2 3 3" xfId="16721"/>
    <cellStyle name="Normal 66 5 2 4" xfId="20878"/>
    <cellStyle name="Normal 66 5 2 5" xfId="12581"/>
    <cellStyle name="Normal 66 5 3" xfId="5303"/>
    <cellStyle name="Normal 66 5 3 2" xfId="9459"/>
    <cellStyle name="Normal 66 5 3 2 2" xfId="26056"/>
    <cellStyle name="Normal 66 5 3 2 3" xfId="17759"/>
    <cellStyle name="Normal 66 5 3 3" xfId="21916"/>
    <cellStyle name="Normal 66 5 3 4" xfId="13619"/>
    <cellStyle name="Normal 66 5 4" xfId="7387"/>
    <cellStyle name="Normal 66 5 4 2" xfId="23984"/>
    <cellStyle name="Normal 66 5 4 3" xfId="15687"/>
    <cellStyle name="Normal 66 5 5" xfId="19844"/>
    <cellStyle name="Normal 66 5 6" xfId="11547"/>
    <cellStyle name="Normal 66 6" xfId="3694"/>
    <cellStyle name="Normal 66 6 2" xfId="5822"/>
    <cellStyle name="Normal 66 6 2 2" xfId="9978"/>
    <cellStyle name="Normal 66 6 2 2 2" xfId="26575"/>
    <cellStyle name="Normal 66 6 2 2 3" xfId="18278"/>
    <cellStyle name="Normal 66 6 2 3" xfId="22435"/>
    <cellStyle name="Normal 66 6 2 4" xfId="14138"/>
    <cellStyle name="Normal 66 6 3" xfId="7906"/>
    <cellStyle name="Normal 66 6 3 2" xfId="24503"/>
    <cellStyle name="Normal 66 6 3 3" xfId="16206"/>
    <cellStyle name="Normal 66 6 4" xfId="20363"/>
    <cellStyle name="Normal 66 6 5" xfId="12066"/>
    <cellStyle name="Normal 66 7" xfId="4774"/>
    <cellStyle name="Normal 66 7 2" xfId="8942"/>
    <cellStyle name="Normal 66 7 2 2" xfId="25539"/>
    <cellStyle name="Normal 66 7 2 3" xfId="17242"/>
    <cellStyle name="Normal 66 7 3" xfId="21399"/>
    <cellStyle name="Normal 66 7 4" xfId="13102"/>
    <cellStyle name="Normal 66 8" xfId="6865"/>
    <cellStyle name="Normal 66 8 2" xfId="23469"/>
    <cellStyle name="Normal 66 8 3" xfId="15172"/>
    <cellStyle name="Normal 66 9" xfId="19326"/>
    <cellStyle name="Normal 67" xfId="1840"/>
    <cellStyle name="Normal 67 10" xfId="11035"/>
    <cellStyle name="Normal 67 2" xfId="1841"/>
    <cellStyle name="Normal 67 2 2" xfId="1842"/>
    <cellStyle name="Normal 67 2 2 2" xfId="3174"/>
    <cellStyle name="Normal 67 2 2 2 2" xfId="4220"/>
    <cellStyle name="Normal 67 2 2 2 2 2" xfId="6345"/>
    <cellStyle name="Normal 67 2 2 2 2 2 2" xfId="10501"/>
    <cellStyle name="Normal 67 2 2 2 2 2 2 2" xfId="27098"/>
    <cellStyle name="Normal 67 2 2 2 2 2 2 3" xfId="18801"/>
    <cellStyle name="Normal 67 2 2 2 2 2 3" xfId="22958"/>
    <cellStyle name="Normal 67 2 2 2 2 2 4" xfId="14661"/>
    <cellStyle name="Normal 67 2 2 2 2 3" xfId="8429"/>
    <cellStyle name="Normal 67 2 2 2 2 3 2" xfId="25026"/>
    <cellStyle name="Normal 67 2 2 2 2 3 3" xfId="16729"/>
    <cellStyle name="Normal 67 2 2 2 2 4" xfId="20886"/>
    <cellStyle name="Normal 67 2 2 2 2 5" xfId="12589"/>
    <cellStyle name="Normal 67 2 2 2 3" xfId="5311"/>
    <cellStyle name="Normal 67 2 2 2 3 2" xfId="9467"/>
    <cellStyle name="Normal 67 2 2 2 3 2 2" xfId="26064"/>
    <cellStyle name="Normal 67 2 2 2 3 2 3" xfId="17767"/>
    <cellStyle name="Normal 67 2 2 2 3 3" xfId="21924"/>
    <cellStyle name="Normal 67 2 2 2 3 4" xfId="13627"/>
    <cellStyle name="Normal 67 2 2 2 4" xfId="7395"/>
    <cellStyle name="Normal 67 2 2 2 4 2" xfId="23992"/>
    <cellStyle name="Normal 67 2 2 2 4 3" xfId="15695"/>
    <cellStyle name="Normal 67 2 2 2 5" xfId="19852"/>
    <cellStyle name="Normal 67 2 2 2 6" xfId="11555"/>
    <cellStyle name="Normal 67 2 2 3" xfId="3702"/>
    <cellStyle name="Normal 67 2 2 3 2" xfId="5830"/>
    <cellStyle name="Normal 67 2 2 3 2 2" xfId="9986"/>
    <cellStyle name="Normal 67 2 2 3 2 2 2" xfId="26583"/>
    <cellStyle name="Normal 67 2 2 3 2 2 3" xfId="18286"/>
    <cellStyle name="Normal 67 2 2 3 2 3" xfId="22443"/>
    <cellStyle name="Normal 67 2 2 3 2 4" xfId="14146"/>
    <cellStyle name="Normal 67 2 2 3 3" xfId="7914"/>
    <cellStyle name="Normal 67 2 2 3 3 2" xfId="24511"/>
    <cellStyle name="Normal 67 2 2 3 3 3" xfId="16214"/>
    <cellStyle name="Normal 67 2 2 3 4" xfId="20371"/>
    <cellStyle name="Normal 67 2 2 3 5" xfId="12074"/>
    <cellStyle name="Normal 67 2 2 4" xfId="4782"/>
    <cellStyle name="Normal 67 2 2 4 2" xfId="8950"/>
    <cellStyle name="Normal 67 2 2 4 2 2" xfId="25547"/>
    <cellStyle name="Normal 67 2 2 4 2 3" xfId="17250"/>
    <cellStyle name="Normal 67 2 2 4 3" xfId="21407"/>
    <cellStyle name="Normal 67 2 2 4 4" xfId="13110"/>
    <cellStyle name="Normal 67 2 2 5" xfId="6873"/>
    <cellStyle name="Normal 67 2 2 5 2" xfId="23477"/>
    <cellStyle name="Normal 67 2 2 5 3" xfId="15180"/>
    <cellStyle name="Normal 67 2 2 6" xfId="19334"/>
    <cellStyle name="Normal 67 2 2 7" xfId="11037"/>
    <cellStyle name="Normal 67 2 3" xfId="3173"/>
    <cellStyle name="Normal 67 2 3 2" xfId="4219"/>
    <cellStyle name="Normal 67 2 3 2 2" xfId="6344"/>
    <cellStyle name="Normal 67 2 3 2 2 2" xfId="10500"/>
    <cellStyle name="Normal 67 2 3 2 2 2 2" xfId="27097"/>
    <cellStyle name="Normal 67 2 3 2 2 2 3" xfId="18800"/>
    <cellStyle name="Normal 67 2 3 2 2 3" xfId="22957"/>
    <cellStyle name="Normal 67 2 3 2 2 4" xfId="14660"/>
    <cellStyle name="Normal 67 2 3 2 3" xfId="8428"/>
    <cellStyle name="Normal 67 2 3 2 3 2" xfId="25025"/>
    <cellStyle name="Normal 67 2 3 2 3 3" xfId="16728"/>
    <cellStyle name="Normal 67 2 3 2 4" xfId="20885"/>
    <cellStyle name="Normal 67 2 3 2 5" xfId="12588"/>
    <cellStyle name="Normal 67 2 3 3" xfId="5310"/>
    <cellStyle name="Normal 67 2 3 3 2" xfId="9466"/>
    <cellStyle name="Normal 67 2 3 3 2 2" xfId="26063"/>
    <cellStyle name="Normal 67 2 3 3 2 3" xfId="17766"/>
    <cellStyle name="Normal 67 2 3 3 3" xfId="21923"/>
    <cellStyle name="Normal 67 2 3 3 4" xfId="13626"/>
    <cellStyle name="Normal 67 2 3 4" xfId="7394"/>
    <cellStyle name="Normal 67 2 3 4 2" xfId="23991"/>
    <cellStyle name="Normal 67 2 3 4 3" xfId="15694"/>
    <cellStyle name="Normal 67 2 3 5" xfId="19851"/>
    <cellStyle name="Normal 67 2 3 6" xfId="11554"/>
    <cellStyle name="Normal 67 2 4" xfId="3701"/>
    <cellStyle name="Normal 67 2 4 2" xfId="5829"/>
    <cellStyle name="Normal 67 2 4 2 2" xfId="9985"/>
    <cellStyle name="Normal 67 2 4 2 2 2" xfId="26582"/>
    <cellStyle name="Normal 67 2 4 2 2 3" xfId="18285"/>
    <cellStyle name="Normal 67 2 4 2 3" xfId="22442"/>
    <cellStyle name="Normal 67 2 4 2 4" xfId="14145"/>
    <cellStyle name="Normal 67 2 4 3" xfId="7913"/>
    <cellStyle name="Normal 67 2 4 3 2" xfId="24510"/>
    <cellStyle name="Normal 67 2 4 3 3" xfId="16213"/>
    <cellStyle name="Normal 67 2 4 4" xfId="20370"/>
    <cellStyle name="Normal 67 2 4 5" xfId="12073"/>
    <cellStyle name="Normal 67 2 5" xfId="4781"/>
    <cellStyle name="Normal 67 2 5 2" xfId="8949"/>
    <cellStyle name="Normal 67 2 5 2 2" xfId="25546"/>
    <cellStyle name="Normal 67 2 5 2 3" xfId="17249"/>
    <cellStyle name="Normal 67 2 5 3" xfId="21406"/>
    <cellStyle name="Normal 67 2 5 4" xfId="13109"/>
    <cellStyle name="Normal 67 2 6" xfId="6872"/>
    <cellStyle name="Normal 67 2 6 2" xfId="23476"/>
    <cellStyle name="Normal 67 2 6 3" xfId="15179"/>
    <cellStyle name="Normal 67 2 7" xfId="19333"/>
    <cellStyle name="Normal 67 2 8" xfId="11036"/>
    <cellStyle name="Normal 67 3" xfId="1843"/>
    <cellStyle name="Normal 67 3 2" xfId="1844"/>
    <cellStyle name="Normal 67 3 2 2" xfId="3176"/>
    <cellStyle name="Normal 67 3 2 2 2" xfId="4222"/>
    <cellStyle name="Normal 67 3 2 2 2 2" xfId="6347"/>
    <cellStyle name="Normal 67 3 2 2 2 2 2" xfId="10503"/>
    <cellStyle name="Normal 67 3 2 2 2 2 2 2" xfId="27100"/>
    <cellStyle name="Normal 67 3 2 2 2 2 2 3" xfId="18803"/>
    <cellStyle name="Normal 67 3 2 2 2 2 3" xfId="22960"/>
    <cellStyle name="Normal 67 3 2 2 2 2 4" xfId="14663"/>
    <cellStyle name="Normal 67 3 2 2 2 3" xfId="8431"/>
    <cellStyle name="Normal 67 3 2 2 2 3 2" xfId="25028"/>
    <cellStyle name="Normal 67 3 2 2 2 3 3" xfId="16731"/>
    <cellStyle name="Normal 67 3 2 2 2 4" xfId="20888"/>
    <cellStyle name="Normal 67 3 2 2 2 5" xfId="12591"/>
    <cellStyle name="Normal 67 3 2 2 3" xfId="5313"/>
    <cellStyle name="Normal 67 3 2 2 3 2" xfId="9469"/>
    <cellStyle name="Normal 67 3 2 2 3 2 2" xfId="26066"/>
    <cellStyle name="Normal 67 3 2 2 3 2 3" xfId="17769"/>
    <cellStyle name="Normal 67 3 2 2 3 3" xfId="21926"/>
    <cellStyle name="Normal 67 3 2 2 3 4" xfId="13629"/>
    <cellStyle name="Normal 67 3 2 2 4" xfId="7397"/>
    <cellStyle name="Normal 67 3 2 2 4 2" xfId="23994"/>
    <cellStyle name="Normal 67 3 2 2 4 3" xfId="15697"/>
    <cellStyle name="Normal 67 3 2 2 5" xfId="19854"/>
    <cellStyle name="Normal 67 3 2 2 6" xfId="11557"/>
    <cellStyle name="Normal 67 3 2 3" xfId="3704"/>
    <cellStyle name="Normal 67 3 2 3 2" xfId="5832"/>
    <cellStyle name="Normal 67 3 2 3 2 2" xfId="9988"/>
    <cellStyle name="Normal 67 3 2 3 2 2 2" xfId="26585"/>
    <cellStyle name="Normal 67 3 2 3 2 2 3" xfId="18288"/>
    <cellStyle name="Normal 67 3 2 3 2 3" xfId="22445"/>
    <cellStyle name="Normal 67 3 2 3 2 4" xfId="14148"/>
    <cellStyle name="Normal 67 3 2 3 3" xfId="7916"/>
    <cellStyle name="Normal 67 3 2 3 3 2" xfId="24513"/>
    <cellStyle name="Normal 67 3 2 3 3 3" xfId="16216"/>
    <cellStyle name="Normal 67 3 2 3 4" xfId="20373"/>
    <cellStyle name="Normal 67 3 2 3 5" xfId="12076"/>
    <cellStyle name="Normal 67 3 2 4" xfId="4784"/>
    <cellStyle name="Normal 67 3 2 4 2" xfId="8952"/>
    <cellStyle name="Normal 67 3 2 4 2 2" xfId="25549"/>
    <cellStyle name="Normal 67 3 2 4 2 3" xfId="17252"/>
    <cellStyle name="Normal 67 3 2 4 3" xfId="21409"/>
    <cellStyle name="Normal 67 3 2 4 4" xfId="13112"/>
    <cellStyle name="Normal 67 3 2 5" xfId="6875"/>
    <cellStyle name="Normal 67 3 2 5 2" xfId="23479"/>
    <cellStyle name="Normal 67 3 2 5 3" xfId="15182"/>
    <cellStyle name="Normal 67 3 2 6" xfId="19336"/>
    <cellStyle name="Normal 67 3 2 7" xfId="11039"/>
    <cellStyle name="Normal 67 3 3" xfId="3175"/>
    <cellStyle name="Normal 67 3 3 2" xfId="4221"/>
    <cellStyle name="Normal 67 3 3 2 2" xfId="6346"/>
    <cellStyle name="Normal 67 3 3 2 2 2" xfId="10502"/>
    <cellStyle name="Normal 67 3 3 2 2 2 2" xfId="27099"/>
    <cellStyle name="Normal 67 3 3 2 2 2 3" xfId="18802"/>
    <cellStyle name="Normal 67 3 3 2 2 3" xfId="22959"/>
    <cellStyle name="Normal 67 3 3 2 2 4" xfId="14662"/>
    <cellStyle name="Normal 67 3 3 2 3" xfId="8430"/>
    <cellStyle name="Normal 67 3 3 2 3 2" xfId="25027"/>
    <cellStyle name="Normal 67 3 3 2 3 3" xfId="16730"/>
    <cellStyle name="Normal 67 3 3 2 4" xfId="20887"/>
    <cellStyle name="Normal 67 3 3 2 5" xfId="12590"/>
    <cellStyle name="Normal 67 3 3 3" xfId="5312"/>
    <cellStyle name="Normal 67 3 3 3 2" xfId="9468"/>
    <cellStyle name="Normal 67 3 3 3 2 2" xfId="26065"/>
    <cellStyle name="Normal 67 3 3 3 2 3" xfId="17768"/>
    <cellStyle name="Normal 67 3 3 3 3" xfId="21925"/>
    <cellStyle name="Normal 67 3 3 3 4" xfId="13628"/>
    <cellStyle name="Normal 67 3 3 4" xfId="7396"/>
    <cellStyle name="Normal 67 3 3 4 2" xfId="23993"/>
    <cellStyle name="Normal 67 3 3 4 3" xfId="15696"/>
    <cellStyle name="Normal 67 3 3 5" xfId="19853"/>
    <cellStyle name="Normal 67 3 3 6" xfId="11556"/>
    <cellStyle name="Normal 67 3 4" xfId="3703"/>
    <cellStyle name="Normal 67 3 4 2" xfId="5831"/>
    <cellStyle name="Normal 67 3 4 2 2" xfId="9987"/>
    <cellStyle name="Normal 67 3 4 2 2 2" xfId="26584"/>
    <cellStyle name="Normal 67 3 4 2 2 3" xfId="18287"/>
    <cellStyle name="Normal 67 3 4 2 3" xfId="22444"/>
    <cellStyle name="Normal 67 3 4 2 4" xfId="14147"/>
    <cellStyle name="Normal 67 3 4 3" xfId="7915"/>
    <cellStyle name="Normal 67 3 4 3 2" xfId="24512"/>
    <cellStyle name="Normal 67 3 4 3 3" xfId="16215"/>
    <cellStyle name="Normal 67 3 4 4" xfId="20372"/>
    <cellStyle name="Normal 67 3 4 5" xfId="12075"/>
    <cellStyle name="Normal 67 3 5" xfId="4783"/>
    <cellStyle name="Normal 67 3 5 2" xfId="8951"/>
    <cellStyle name="Normal 67 3 5 2 2" xfId="25548"/>
    <cellStyle name="Normal 67 3 5 2 3" xfId="17251"/>
    <cellStyle name="Normal 67 3 5 3" xfId="21408"/>
    <cellStyle name="Normal 67 3 5 4" xfId="13111"/>
    <cellStyle name="Normal 67 3 6" xfId="6874"/>
    <cellStyle name="Normal 67 3 6 2" xfId="23478"/>
    <cellStyle name="Normal 67 3 6 3" xfId="15181"/>
    <cellStyle name="Normal 67 3 7" xfId="19335"/>
    <cellStyle name="Normal 67 3 8" xfId="11038"/>
    <cellStyle name="Normal 67 4" xfId="1845"/>
    <cellStyle name="Normal 67 4 2" xfId="3177"/>
    <cellStyle name="Normal 67 4 2 2" xfId="4223"/>
    <cellStyle name="Normal 67 4 2 2 2" xfId="6348"/>
    <cellStyle name="Normal 67 4 2 2 2 2" xfId="10504"/>
    <cellStyle name="Normal 67 4 2 2 2 2 2" xfId="27101"/>
    <cellStyle name="Normal 67 4 2 2 2 2 3" xfId="18804"/>
    <cellStyle name="Normal 67 4 2 2 2 3" xfId="22961"/>
    <cellStyle name="Normal 67 4 2 2 2 4" xfId="14664"/>
    <cellStyle name="Normal 67 4 2 2 3" xfId="8432"/>
    <cellStyle name="Normal 67 4 2 2 3 2" xfId="25029"/>
    <cellStyle name="Normal 67 4 2 2 3 3" xfId="16732"/>
    <cellStyle name="Normal 67 4 2 2 4" xfId="20889"/>
    <cellStyle name="Normal 67 4 2 2 5" xfId="12592"/>
    <cellStyle name="Normal 67 4 2 3" xfId="5314"/>
    <cellStyle name="Normal 67 4 2 3 2" xfId="9470"/>
    <cellStyle name="Normal 67 4 2 3 2 2" xfId="26067"/>
    <cellStyle name="Normal 67 4 2 3 2 3" xfId="17770"/>
    <cellStyle name="Normal 67 4 2 3 3" xfId="21927"/>
    <cellStyle name="Normal 67 4 2 3 4" xfId="13630"/>
    <cellStyle name="Normal 67 4 2 4" xfId="7398"/>
    <cellStyle name="Normal 67 4 2 4 2" xfId="23995"/>
    <cellStyle name="Normal 67 4 2 4 3" xfId="15698"/>
    <cellStyle name="Normal 67 4 2 5" xfId="19855"/>
    <cellStyle name="Normal 67 4 2 6" xfId="11558"/>
    <cellStyle name="Normal 67 4 3" xfId="3705"/>
    <cellStyle name="Normal 67 4 3 2" xfId="5833"/>
    <cellStyle name="Normal 67 4 3 2 2" xfId="9989"/>
    <cellStyle name="Normal 67 4 3 2 2 2" xfId="26586"/>
    <cellStyle name="Normal 67 4 3 2 2 3" xfId="18289"/>
    <cellStyle name="Normal 67 4 3 2 3" xfId="22446"/>
    <cellStyle name="Normal 67 4 3 2 4" xfId="14149"/>
    <cellStyle name="Normal 67 4 3 3" xfId="7917"/>
    <cellStyle name="Normal 67 4 3 3 2" xfId="24514"/>
    <cellStyle name="Normal 67 4 3 3 3" xfId="16217"/>
    <cellStyle name="Normal 67 4 3 4" xfId="20374"/>
    <cellStyle name="Normal 67 4 3 5" xfId="12077"/>
    <cellStyle name="Normal 67 4 4" xfId="4785"/>
    <cellStyle name="Normal 67 4 4 2" xfId="8953"/>
    <cellStyle name="Normal 67 4 4 2 2" xfId="25550"/>
    <cellStyle name="Normal 67 4 4 2 3" xfId="17253"/>
    <cellStyle name="Normal 67 4 4 3" xfId="21410"/>
    <cellStyle name="Normal 67 4 4 4" xfId="13113"/>
    <cellStyle name="Normal 67 4 5" xfId="6876"/>
    <cellStyle name="Normal 67 4 5 2" xfId="23480"/>
    <cellStyle name="Normal 67 4 5 3" xfId="15183"/>
    <cellStyle name="Normal 67 4 6" xfId="19337"/>
    <cellStyle name="Normal 67 4 7" xfId="11040"/>
    <cellStyle name="Normal 67 5" xfId="3172"/>
    <cellStyle name="Normal 67 5 2" xfId="4218"/>
    <cellStyle name="Normal 67 5 2 2" xfId="6343"/>
    <cellStyle name="Normal 67 5 2 2 2" xfId="10499"/>
    <cellStyle name="Normal 67 5 2 2 2 2" xfId="27096"/>
    <cellStyle name="Normal 67 5 2 2 2 3" xfId="18799"/>
    <cellStyle name="Normal 67 5 2 2 3" xfId="22956"/>
    <cellStyle name="Normal 67 5 2 2 4" xfId="14659"/>
    <cellStyle name="Normal 67 5 2 3" xfId="8427"/>
    <cellStyle name="Normal 67 5 2 3 2" xfId="25024"/>
    <cellStyle name="Normal 67 5 2 3 3" xfId="16727"/>
    <cellStyle name="Normal 67 5 2 4" xfId="20884"/>
    <cellStyle name="Normal 67 5 2 5" xfId="12587"/>
    <cellStyle name="Normal 67 5 3" xfId="5309"/>
    <cellStyle name="Normal 67 5 3 2" xfId="9465"/>
    <cellStyle name="Normal 67 5 3 2 2" xfId="26062"/>
    <cellStyle name="Normal 67 5 3 2 3" xfId="17765"/>
    <cellStyle name="Normal 67 5 3 3" xfId="21922"/>
    <cellStyle name="Normal 67 5 3 4" xfId="13625"/>
    <cellStyle name="Normal 67 5 4" xfId="7393"/>
    <cellStyle name="Normal 67 5 4 2" xfId="23990"/>
    <cellStyle name="Normal 67 5 4 3" xfId="15693"/>
    <cellStyle name="Normal 67 5 5" xfId="19850"/>
    <cellStyle name="Normal 67 5 6" xfId="11553"/>
    <cellStyle name="Normal 67 6" xfId="3700"/>
    <cellStyle name="Normal 67 6 2" xfId="5828"/>
    <cellStyle name="Normal 67 6 2 2" xfId="9984"/>
    <cellStyle name="Normal 67 6 2 2 2" xfId="26581"/>
    <cellStyle name="Normal 67 6 2 2 3" xfId="18284"/>
    <cellStyle name="Normal 67 6 2 3" xfId="22441"/>
    <cellStyle name="Normal 67 6 2 4" xfId="14144"/>
    <cellStyle name="Normal 67 6 3" xfId="7912"/>
    <cellStyle name="Normal 67 6 3 2" xfId="24509"/>
    <cellStyle name="Normal 67 6 3 3" xfId="16212"/>
    <cellStyle name="Normal 67 6 4" xfId="20369"/>
    <cellStyle name="Normal 67 6 5" xfId="12072"/>
    <cellStyle name="Normal 67 7" xfId="4780"/>
    <cellStyle name="Normal 67 7 2" xfId="8948"/>
    <cellStyle name="Normal 67 7 2 2" xfId="25545"/>
    <cellStyle name="Normal 67 7 2 3" xfId="17248"/>
    <cellStyle name="Normal 67 7 3" xfId="21405"/>
    <cellStyle name="Normal 67 7 4" xfId="13108"/>
    <cellStyle name="Normal 67 8" xfId="6871"/>
    <cellStyle name="Normal 67 8 2" xfId="23475"/>
    <cellStyle name="Normal 67 8 3" xfId="15178"/>
    <cellStyle name="Normal 67 9" xfId="19332"/>
    <cellStyle name="Normal 68" xfId="1846"/>
    <cellStyle name="Normal 68 10" xfId="11041"/>
    <cellStyle name="Normal 68 2" xfId="1847"/>
    <cellStyle name="Normal 68 2 2" xfId="1848"/>
    <cellStyle name="Normal 68 2 2 2" xfId="3180"/>
    <cellStyle name="Normal 68 2 2 2 2" xfId="4226"/>
    <cellStyle name="Normal 68 2 2 2 2 2" xfId="6351"/>
    <cellStyle name="Normal 68 2 2 2 2 2 2" xfId="10507"/>
    <cellStyle name="Normal 68 2 2 2 2 2 2 2" xfId="27104"/>
    <cellStyle name="Normal 68 2 2 2 2 2 2 3" xfId="18807"/>
    <cellStyle name="Normal 68 2 2 2 2 2 3" xfId="22964"/>
    <cellStyle name="Normal 68 2 2 2 2 2 4" xfId="14667"/>
    <cellStyle name="Normal 68 2 2 2 2 3" xfId="8435"/>
    <cellStyle name="Normal 68 2 2 2 2 3 2" xfId="25032"/>
    <cellStyle name="Normal 68 2 2 2 2 3 3" xfId="16735"/>
    <cellStyle name="Normal 68 2 2 2 2 4" xfId="20892"/>
    <cellStyle name="Normal 68 2 2 2 2 5" xfId="12595"/>
    <cellStyle name="Normal 68 2 2 2 3" xfId="5317"/>
    <cellStyle name="Normal 68 2 2 2 3 2" xfId="9473"/>
    <cellStyle name="Normal 68 2 2 2 3 2 2" xfId="26070"/>
    <cellStyle name="Normal 68 2 2 2 3 2 3" xfId="17773"/>
    <cellStyle name="Normal 68 2 2 2 3 3" xfId="21930"/>
    <cellStyle name="Normal 68 2 2 2 3 4" xfId="13633"/>
    <cellStyle name="Normal 68 2 2 2 4" xfId="7401"/>
    <cellStyle name="Normal 68 2 2 2 4 2" xfId="23998"/>
    <cellStyle name="Normal 68 2 2 2 4 3" xfId="15701"/>
    <cellStyle name="Normal 68 2 2 2 5" xfId="19858"/>
    <cellStyle name="Normal 68 2 2 2 6" xfId="11561"/>
    <cellStyle name="Normal 68 2 2 3" xfId="3708"/>
    <cellStyle name="Normal 68 2 2 3 2" xfId="5836"/>
    <cellStyle name="Normal 68 2 2 3 2 2" xfId="9992"/>
    <cellStyle name="Normal 68 2 2 3 2 2 2" xfId="26589"/>
    <cellStyle name="Normal 68 2 2 3 2 2 3" xfId="18292"/>
    <cellStyle name="Normal 68 2 2 3 2 3" xfId="22449"/>
    <cellStyle name="Normal 68 2 2 3 2 4" xfId="14152"/>
    <cellStyle name="Normal 68 2 2 3 3" xfId="7920"/>
    <cellStyle name="Normal 68 2 2 3 3 2" xfId="24517"/>
    <cellStyle name="Normal 68 2 2 3 3 3" xfId="16220"/>
    <cellStyle name="Normal 68 2 2 3 4" xfId="20377"/>
    <cellStyle name="Normal 68 2 2 3 5" xfId="12080"/>
    <cellStyle name="Normal 68 2 2 4" xfId="4788"/>
    <cellStyle name="Normal 68 2 2 4 2" xfId="8956"/>
    <cellStyle name="Normal 68 2 2 4 2 2" xfId="25553"/>
    <cellStyle name="Normal 68 2 2 4 2 3" xfId="17256"/>
    <cellStyle name="Normal 68 2 2 4 3" xfId="21413"/>
    <cellStyle name="Normal 68 2 2 4 4" xfId="13116"/>
    <cellStyle name="Normal 68 2 2 5" xfId="6879"/>
    <cellStyle name="Normal 68 2 2 5 2" xfId="23483"/>
    <cellStyle name="Normal 68 2 2 5 3" xfId="15186"/>
    <cellStyle name="Normal 68 2 2 6" xfId="19340"/>
    <cellStyle name="Normal 68 2 2 7" xfId="11043"/>
    <cellStyle name="Normal 68 2 3" xfId="3179"/>
    <cellStyle name="Normal 68 2 3 2" xfId="4225"/>
    <cellStyle name="Normal 68 2 3 2 2" xfId="6350"/>
    <cellStyle name="Normal 68 2 3 2 2 2" xfId="10506"/>
    <cellStyle name="Normal 68 2 3 2 2 2 2" xfId="27103"/>
    <cellStyle name="Normal 68 2 3 2 2 2 3" xfId="18806"/>
    <cellStyle name="Normal 68 2 3 2 2 3" xfId="22963"/>
    <cellStyle name="Normal 68 2 3 2 2 4" xfId="14666"/>
    <cellStyle name="Normal 68 2 3 2 3" xfId="8434"/>
    <cellStyle name="Normal 68 2 3 2 3 2" xfId="25031"/>
    <cellStyle name="Normal 68 2 3 2 3 3" xfId="16734"/>
    <cellStyle name="Normal 68 2 3 2 4" xfId="20891"/>
    <cellStyle name="Normal 68 2 3 2 5" xfId="12594"/>
    <cellStyle name="Normal 68 2 3 3" xfId="5316"/>
    <cellStyle name="Normal 68 2 3 3 2" xfId="9472"/>
    <cellStyle name="Normal 68 2 3 3 2 2" xfId="26069"/>
    <cellStyle name="Normal 68 2 3 3 2 3" xfId="17772"/>
    <cellStyle name="Normal 68 2 3 3 3" xfId="21929"/>
    <cellStyle name="Normal 68 2 3 3 4" xfId="13632"/>
    <cellStyle name="Normal 68 2 3 4" xfId="7400"/>
    <cellStyle name="Normal 68 2 3 4 2" xfId="23997"/>
    <cellStyle name="Normal 68 2 3 4 3" xfId="15700"/>
    <cellStyle name="Normal 68 2 3 5" xfId="19857"/>
    <cellStyle name="Normal 68 2 3 6" xfId="11560"/>
    <cellStyle name="Normal 68 2 4" xfId="3707"/>
    <cellStyle name="Normal 68 2 4 2" xfId="5835"/>
    <cellStyle name="Normal 68 2 4 2 2" xfId="9991"/>
    <cellStyle name="Normal 68 2 4 2 2 2" xfId="26588"/>
    <cellStyle name="Normal 68 2 4 2 2 3" xfId="18291"/>
    <cellStyle name="Normal 68 2 4 2 3" xfId="22448"/>
    <cellStyle name="Normal 68 2 4 2 4" xfId="14151"/>
    <cellStyle name="Normal 68 2 4 3" xfId="7919"/>
    <cellStyle name="Normal 68 2 4 3 2" xfId="24516"/>
    <cellStyle name="Normal 68 2 4 3 3" xfId="16219"/>
    <cellStyle name="Normal 68 2 4 4" xfId="20376"/>
    <cellStyle name="Normal 68 2 4 5" xfId="12079"/>
    <cellStyle name="Normal 68 2 5" xfId="4787"/>
    <cellStyle name="Normal 68 2 5 2" xfId="8955"/>
    <cellStyle name="Normal 68 2 5 2 2" xfId="25552"/>
    <cellStyle name="Normal 68 2 5 2 3" xfId="17255"/>
    <cellStyle name="Normal 68 2 5 3" xfId="21412"/>
    <cellStyle name="Normal 68 2 5 4" xfId="13115"/>
    <cellStyle name="Normal 68 2 6" xfId="6878"/>
    <cellStyle name="Normal 68 2 6 2" xfId="23482"/>
    <cellStyle name="Normal 68 2 6 3" xfId="15185"/>
    <cellStyle name="Normal 68 2 7" xfId="19339"/>
    <cellStyle name="Normal 68 2 8" xfId="11042"/>
    <cellStyle name="Normal 68 3" xfId="1849"/>
    <cellStyle name="Normal 68 3 2" xfId="1850"/>
    <cellStyle name="Normal 68 3 2 2" xfId="3182"/>
    <cellStyle name="Normal 68 3 2 2 2" xfId="4228"/>
    <cellStyle name="Normal 68 3 2 2 2 2" xfId="6353"/>
    <cellStyle name="Normal 68 3 2 2 2 2 2" xfId="10509"/>
    <cellStyle name="Normal 68 3 2 2 2 2 2 2" xfId="27106"/>
    <cellStyle name="Normal 68 3 2 2 2 2 2 3" xfId="18809"/>
    <cellStyle name="Normal 68 3 2 2 2 2 3" xfId="22966"/>
    <cellStyle name="Normal 68 3 2 2 2 2 4" xfId="14669"/>
    <cellStyle name="Normal 68 3 2 2 2 3" xfId="8437"/>
    <cellStyle name="Normal 68 3 2 2 2 3 2" xfId="25034"/>
    <cellStyle name="Normal 68 3 2 2 2 3 3" xfId="16737"/>
    <cellStyle name="Normal 68 3 2 2 2 4" xfId="20894"/>
    <cellStyle name="Normal 68 3 2 2 2 5" xfId="12597"/>
    <cellStyle name="Normal 68 3 2 2 3" xfId="5319"/>
    <cellStyle name="Normal 68 3 2 2 3 2" xfId="9475"/>
    <cellStyle name="Normal 68 3 2 2 3 2 2" xfId="26072"/>
    <cellStyle name="Normal 68 3 2 2 3 2 3" xfId="17775"/>
    <cellStyle name="Normal 68 3 2 2 3 3" xfId="21932"/>
    <cellStyle name="Normal 68 3 2 2 3 4" xfId="13635"/>
    <cellStyle name="Normal 68 3 2 2 4" xfId="7403"/>
    <cellStyle name="Normal 68 3 2 2 4 2" xfId="24000"/>
    <cellStyle name="Normal 68 3 2 2 4 3" xfId="15703"/>
    <cellStyle name="Normal 68 3 2 2 5" xfId="19860"/>
    <cellStyle name="Normal 68 3 2 2 6" xfId="11563"/>
    <cellStyle name="Normal 68 3 2 3" xfId="3710"/>
    <cellStyle name="Normal 68 3 2 3 2" xfId="5838"/>
    <cellStyle name="Normal 68 3 2 3 2 2" xfId="9994"/>
    <cellStyle name="Normal 68 3 2 3 2 2 2" xfId="26591"/>
    <cellStyle name="Normal 68 3 2 3 2 2 3" xfId="18294"/>
    <cellStyle name="Normal 68 3 2 3 2 3" xfId="22451"/>
    <cellStyle name="Normal 68 3 2 3 2 4" xfId="14154"/>
    <cellStyle name="Normal 68 3 2 3 3" xfId="7922"/>
    <cellStyle name="Normal 68 3 2 3 3 2" xfId="24519"/>
    <cellStyle name="Normal 68 3 2 3 3 3" xfId="16222"/>
    <cellStyle name="Normal 68 3 2 3 4" xfId="20379"/>
    <cellStyle name="Normal 68 3 2 3 5" xfId="12082"/>
    <cellStyle name="Normal 68 3 2 4" xfId="4790"/>
    <cellStyle name="Normal 68 3 2 4 2" xfId="8958"/>
    <cellStyle name="Normal 68 3 2 4 2 2" xfId="25555"/>
    <cellStyle name="Normal 68 3 2 4 2 3" xfId="17258"/>
    <cellStyle name="Normal 68 3 2 4 3" xfId="21415"/>
    <cellStyle name="Normal 68 3 2 4 4" xfId="13118"/>
    <cellStyle name="Normal 68 3 2 5" xfId="6881"/>
    <cellStyle name="Normal 68 3 2 5 2" xfId="23485"/>
    <cellStyle name="Normal 68 3 2 5 3" xfId="15188"/>
    <cellStyle name="Normal 68 3 2 6" xfId="19342"/>
    <cellStyle name="Normal 68 3 2 7" xfId="11045"/>
    <cellStyle name="Normal 68 3 3" xfId="3181"/>
    <cellStyle name="Normal 68 3 3 2" xfId="4227"/>
    <cellStyle name="Normal 68 3 3 2 2" xfId="6352"/>
    <cellStyle name="Normal 68 3 3 2 2 2" xfId="10508"/>
    <cellStyle name="Normal 68 3 3 2 2 2 2" xfId="27105"/>
    <cellStyle name="Normal 68 3 3 2 2 2 3" xfId="18808"/>
    <cellStyle name="Normal 68 3 3 2 2 3" xfId="22965"/>
    <cellStyle name="Normal 68 3 3 2 2 4" xfId="14668"/>
    <cellStyle name="Normal 68 3 3 2 3" xfId="8436"/>
    <cellStyle name="Normal 68 3 3 2 3 2" xfId="25033"/>
    <cellStyle name="Normal 68 3 3 2 3 3" xfId="16736"/>
    <cellStyle name="Normal 68 3 3 2 4" xfId="20893"/>
    <cellStyle name="Normal 68 3 3 2 5" xfId="12596"/>
    <cellStyle name="Normal 68 3 3 3" xfId="5318"/>
    <cellStyle name="Normal 68 3 3 3 2" xfId="9474"/>
    <cellStyle name="Normal 68 3 3 3 2 2" xfId="26071"/>
    <cellStyle name="Normal 68 3 3 3 2 3" xfId="17774"/>
    <cellStyle name="Normal 68 3 3 3 3" xfId="21931"/>
    <cellStyle name="Normal 68 3 3 3 4" xfId="13634"/>
    <cellStyle name="Normal 68 3 3 4" xfId="7402"/>
    <cellStyle name="Normal 68 3 3 4 2" xfId="23999"/>
    <cellStyle name="Normal 68 3 3 4 3" xfId="15702"/>
    <cellStyle name="Normal 68 3 3 5" xfId="19859"/>
    <cellStyle name="Normal 68 3 3 6" xfId="11562"/>
    <cellStyle name="Normal 68 3 4" xfId="3709"/>
    <cellStyle name="Normal 68 3 4 2" xfId="5837"/>
    <cellStyle name="Normal 68 3 4 2 2" xfId="9993"/>
    <cellStyle name="Normal 68 3 4 2 2 2" xfId="26590"/>
    <cellStyle name="Normal 68 3 4 2 2 3" xfId="18293"/>
    <cellStyle name="Normal 68 3 4 2 3" xfId="22450"/>
    <cellStyle name="Normal 68 3 4 2 4" xfId="14153"/>
    <cellStyle name="Normal 68 3 4 3" xfId="7921"/>
    <cellStyle name="Normal 68 3 4 3 2" xfId="24518"/>
    <cellStyle name="Normal 68 3 4 3 3" xfId="16221"/>
    <cellStyle name="Normal 68 3 4 4" xfId="20378"/>
    <cellStyle name="Normal 68 3 4 5" xfId="12081"/>
    <cellStyle name="Normal 68 3 5" xfId="4789"/>
    <cellStyle name="Normal 68 3 5 2" xfId="8957"/>
    <cellStyle name="Normal 68 3 5 2 2" xfId="25554"/>
    <cellStyle name="Normal 68 3 5 2 3" xfId="17257"/>
    <cellStyle name="Normal 68 3 5 3" xfId="21414"/>
    <cellStyle name="Normal 68 3 5 4" xfId="13117"/>
    <cellStyle name="Normal 68 3 6" xfId="6880"/>
    <cellStyle name="Normal 68 3 6 2" xfId="23484"/>
    <cellStyle name="Normal 68 3 6 3" xfId="15187"/>
    <cellStyle name="Normal 68 3 7" xfId="19341"/>
    <cellStyle name="Normal 68 3 8" xfId="11044"/>
    <cellStyle name="Normal 68 4" xfId="1851"/>
    <cellStyle name="Normal 68 4 2" xfId="3183"/>
    <cellStyle name="Normal 68 4 2 2" xfId="4229"/>
    <cellStyle name="Normal 68 4 2 2 2" xfId="6354"/>
    <cellStyle name="Normal 68 4 2 2 2 2" xfId="10510"/>
    <cellStyle name="Normal 68 4 2 2 2 2 2" xfId="27107"/>
    <cellStyle name="Normal 68 4 2 2 2 2 3" xfId="18810"/>
    <cellStyle name="Normal 68 4 2 2 2 3" xfId="22967"/>
    <cellStyle name="Normal 68 4 2 2 2 4" xfId="14670"/>
    <cellStyle name="Normal 68 4 2 2 3" xfId="8438"/>
    <cellStyle name="Normal 68 4 2 2 3 2" xfId="25035"/>
    <cellStyle name="Normal 68 4 2 2 3 3" xfId="16738"/>
    <cellStyle name="Normal 68 4 2 2 4" xfId="20895"/>
    <cellStyle name="Normal 68 4 2 2 5" xfId="12598"/>
    <cellStyle name="Normal 68 4 2 3" xfId="5320"/>
    <cellStyle name="Normal 68 4 2 3 2" xfId="9476"/>
    <cellStyle name="Normal 68 4 2 3 2 2" xfId="26073"/>
    <cellStyle name="Normal 68 4 2 3 2 3" xfId="17776"/>
    <cellStyle name="Normal 68 4 2 3 3" xfId="21933"/>
    <cellStyle name="Normal 68 4 2 3 4" xfId="13636"/>
    <cellStyle name="Normal 68 4 2 4" xfId="7404"/>
    <cellStyle name="Normal 68 4 2 4 2" xfId="24001"/>
    <cellStyle name="Normal 68 4 2 4 3" xfId="15704"/>
    <cellStyle name="Normal 68 4 2 5" xfId="19861"/>
    <cellStyle name="Normal 68 4 2 6" xfId="11564"/>
    <cellStyle name="Normal 68 4 3" xfId="3711"/>
    <cellStyle name="Normal 68 4 3 2" xfId="5839"/>
    <cellStyle name="Normal 68 4 3 2 2" xfId="9995"/>
    <cellStyle name="Normal 68 4 3 2 2 2" xfId="26592"/>
    <cellStyle name="Normal 68 4 3 2 2 3" xfId="18295"/>
    <cellStyle name="Normal 68 4 3 2 3" xfId="22452"/>
    <cellStyle name="Normal 68 4 3 2 4" xfId="14155"/>
    <cellStyle name="Normal 68 4 3 3" xfId="7923"/>
    <cellStyle name="Normal 68 4 3 3 2" xfId="24520"/>
    <cellStyle name="Normal 68 4 3 3 3" xfId="16223"/>
    <cellStyle name="Normal 68 4 3 4" xfId="20380"/>
    <cellStyle name="Normal 68 4 3 5" xfId="12083"/>
    <cellStyle name="Normal 68 4 4" xfId="4791"/>
    <cellStyle name="Normal 68 4 4 2" xfId="8959"/>
    <cellStyle name="Normal 68 4 4 2 2" xfId="25556"/>
    <cellStyle name="Normal 68 4 4 2 3" xfId="17259"/>
    <cellStyle name="Normal 68 4 4 3" xfId="21416"/>
    <cellStyle name="Normal 68 4 4 4" xfId="13119"/>
    <cellStyle name="Normal 68 4 5" xfId="6882"/>
    <cellStyle name="Normal 68 4 5 2" xfId="23486"/>
    <cellStyle name="Normal 68 4 5 3" xfId="15189"/>
    <cellStyle name="Normal 68 4 6" xfId="19343"/>
    <cellStyle name="Normal 68 4 7" xfId="11046"/>
    <cellStyle name="Normal 68 5" xfId="3178"/>
    <cellStyle name="Normal 68 5 2" xfId="4224"/>
    <cellStyle name="Normal 68 5 2 2" xfId="6349"/>
    <cellStyle name="Normal 68 5 2 2 2" xfId="10505"/>
    <cellStyle name="Normal 68 5 2 2 2 2" xfId="27102"/>
    <cellStyle name="Normal 68 5 2 2 2 3" xfId="18805"/>
    <cellStyle name="Normal 68 5 2 2 3" xfId="22962"/>
    <cellStyle name="Normal 68 5 2 2 4" xfId="14665"/>
    <cellStyle name="Normal 68 5 2 3" xfId="8433"/>
    <cellStyle name="Normal 68 5 2 3 2" xfId="25030"/>
    <cellStyle name="Normal 68 5 2 3 3" xfId="16733"/>
    <cellStyle name="Normal 68 5 2 4" xfId="20890"/>
    <cellStyle name="Normal 68 5 2 5" xfId="12593"/>
    <cellStyle name="Normal 68 5 3" xfId="5315"/>
    <cellStyle name="Normal 68 5 3 2" xfId="9471"/>
    <cellStyle name="Normal 68 5 3 2 2" xfId="26068"/>
    <cellStyle name="Normal 68 5 3 2 3" xfId="17771"/>
    <cellStyle name="Normal 68 5 3 3" xfId="21928"/>
    <cellStyle name="Normal 68 5 3 4" xfId="13631"/>
    <cellStyle name="Normal 68 5 4" xfId="7399"/>
    <cellStyle name="Normal 68 5 4 2" xfId="23996"/>
    <cellStyle name="Normal 68 5 4 3" xfId="15699"/>
    <cellStyle name="Normal 68 5 5" xfId="19856"/>
    <cellStyle name="Normal 68 5 6" xfId="11559"/>
    <cellStyle name="Normal 68 6" xfId="3706"/>
    <cellStyle name="Normal 68 6 2" xfId="5834"/>
    <cellStyle name="Normal 68 6 2 2" xfId="9990"/>
    <cellStyle name="Normal 68 6 2 2 2" xfId="26587"/>
    <cellStyle name="Normal 68 6 2 2 3" xfId="18290"/>
    <cellStyle name="Normal 68 6 2 3" xfId="22447"/>
    <cellStyle name="Normal 68 6 2 4" xfId="14150"/>
    <cellStyle name="Normal 68 6 3" xfId="7918"/>
    <cellStyle name="Normal 68 6 3 2" xfId="24515"/>
    <cellStyle name="Normal 68 6 3 3" xfId="16218"/>
    <cellStyle name="Normal 68 6 4" xfId="20375"/>
    <cellStyle name="Normal 68 6 5" xfId="12078"/>
    <cellStyle name="Normal 68 7" xfId="4786"/>
    <cellStyle name="Normal 68 7 2" xfId="8954"/>
    <cellStyle name="Normal 68 7 2 2" xfId="25551"/>
    <cellStyle name="Normal 68 7 2 3" xfId="17254"/>
    <cellStyle name="Normal 68 7 3" xfId="21411"/>
    <cellStyle name="Normal 68 7 4" xfId="13114"/>
    <cellStyle name="Normal 68 8" xfId="6877"/>
    <cellStyle name="Normal 68 8 2" xfId="23481"/>
    <cellStyle name="Normal 68 8 3" xfId="15184"/>
    <cellStyle name="Normal 68 9" xfId="19338"/>
    <cellStyle name="Normal 69" xfId="1852"/>
    <cellStyle name="Normal 7" xfId="1853"/>
    <cellStyle name="Normal 7 10" xfId="19344"/>
    <cellStyle name="Normal 7 11" xfId="11047"/>
    <cellStyle name="Normal 7 2" xfId="1854"/>
    <cellStyle name="Normal 7 2 2" xfId="1855"/>
    <cellStyle name="Normal 7 2 2 2" xfId="3186"/>
    <cellStyle name="Normal 7 2 2 2 2" xfId="4232"/>
    <cellStyle name="Normal 7 2 2 2 2 2" xfId="6357"/>
    <cellStyle name="Normal 7 2 2 2 2 2 2" xfId="10513"/>
    <cellStyle name="Normal 7 2 2 2 2 2 2 2" xfId="27110"/>
    <cellStyle name="Normal 7 2 2 2 2 2 2 3" xfId="18813"/>
    <cellStyle name="Normal 7 2 2 2 2 2 3" xfId="22970"/>
    <cellStyle name="Normal 7 2 2 2 2 2 4" xfId="14673"/>
    <cellStyle name="Normal 7 2 2 2 2 3" xfId="8441"/>
    <cellStyle name="Normal 7 2 2 2 2 3 2" xfId="25038"/>
    <cellStyle name="Normal 7 2 2 2 2 3 3" xfId="16741"/>
    <cellStyle name="Normal 7 2 2 2 2 4" xfId="20898"/>
    <cellStyle name="Normal 7 2 2 2 2 5" xfId="12601"/>
    <cellStyle name="Normal 7 2 2 2 3" xfId="5323"/>
    <cellStyle name="Normal 7 2 2 2 3 2" xfId="9479"/>
    <cellStyle name="Normal 7 2 2 2 3 2 2" xfId="26076"/>
    <cellStyle name="Normal 7 2 2 2 3 2 3" xfId="17779"/>
    <cellStyle name="Normal 7 2 2 2 3 3" xfId="21936"/>
    <cellStyle name="Normal 7 2 2 2 3 4" xfId="13639"/>
    <cellStyle name="Normal 7 2 2 2 4" xfId="7407"/>
    <cellStyle name="Normal 7 2 2 2 4 2" xfId="24004"/>
    <cellStyle name="Normal 7 2 2 2 4 3" xfId="15707"/>
    <cellStyle name="Normal 7 2 2 2 5" xfId="19864"/>
    <cellStyle name="Normal 7 2 2 2 6" xfId="11567"/>
    <cellStyle name="Normal 7 2 2 3" xfId="3714"/>
    <cellStyle name="Normal 7 2 2 3 2" xfId="5842"/>
    <cellStyle name="Normal 7 2 2 3 2 2" xfId="9998"/>
    <cellStyle name="Normal 7 2 2 3 2 2 2" xfId="26595"/>
    <cellStyle name="Normal 7 2 2 3 2 2 3" xfId="18298"/>
    <cellStyle name="Normal 7 2 2 3 2 3" xfId="22455"/>
    <cellStyle name="Normal 7 2 2 3 2 4" xfId="14158"/>
    <cellStyle name="Normal 7 2 2 3 3" xfId="7926"/>
    <cellStyle name="Normal 7 2 2 3 3 2" xfId="24523"/>
    <cellStyle name="Normal 7 2 2 3 3 3" xfId="16226"/>
    <cellStyle name="Normal 7 2 2 3 4" xfId="20383"/>
    <cellStyle name="Normal 7 2 2 3 5" xfId="12086"/>
    <cellStyle name="Normal 7 2 2 4" xfId="4794"/>
    <cellStyle name="Normal 7 2 2 4 2" xfId="8962"/>
    <cellStyle name="Normal 7 2 2 4 2 2" xfId="25559"/>
    <cellStyle name="Normal 7 2 2 4 2 3" xfId="17262"/>
    <cellStyle name="Normal 7 2 2 4 3" xfId="21419"/>
    <cellStyle name="Normal 7 2 2 4 4" xfId="13122"/>
    <cellStyle name="Normal 7 2 2 5" xfId="6885"/>
    <cellStyle name="Normal 7 2 2 5 2" xfId="23489"/>
    <cellStyle name="Normal 7 2 2 5 3" xfId="15192"/>
    <cellStyle name="Normal 7 2 2 6" xfId="19346"/>
    <cellStyle name="Normal 7 2 2 7" xfId="11049"/>
    <cellStyle name="Normal 7 2 3" xfId="3185"/>
    <cellStyle name="Normal 7 2 3 2" xfId="4231"/>
    <cellStyle name="Normal 7 2 3 2 2" xfId="6356"/>
    <cellStyle name="Normal 7 2 3 2 2 2" xfId="10512"/>
    <cellStyle name="Normal 7 2 3 2 2 2 2" xfId="27109"/>
    <cellStyle name="Normal 7 2 3 2 2 2 3" xfId="18812"/>
    <cellStyle name="Normal 7 2 3 2 2 3" xfId="22969"/>
    <cellStyle name="Normal 7 2 3 2 2 4" xfId="14672"/>
    <cellStyle name="Normal 7 2 3 2 3" xfId="8440"/>
    <cellStyle name="Normal 7 2 3 2 3 2" xfId="25037"/>
    <cellStyle name="Normal 7 2 3 2 3 3" xfId="16740"/>
    <cellStyle name="Normal 7 2 3 2 4" xfId="20897"/>
    <cellStyle name="Normal 7 2 3 2 5" xfId="12600"/>
    <cellStyle name="Normal 7 2 3 3" xfId="5322"/>
    <cellStyle name="Normal 7 2 3 3 2" xfId="9478"/>
    <cellStyle name="Normal 7 2 3 3 2 2" xfId="26075"/>
    <cellStyle name="Normal 7 2 3 3 2 3" xfId="17778"/>
    <cellStyle name="Normal 7 2 3 3 3" xfId="21935"/>
    <cellStyle name="Normal 7 2 3 3 4" xfId="13638"/>
    <cellStyle name="Normal 7 2 3 4" xfId="7406"/>
    <cellStyle name="Normal 7 2 3 4 2" xfId="24003"/>
    <cellStyle name="Normal 7 2 3 4 3" xfId="15706"/>
    <cellStyle name="Normal 7 2 3 5" xfId="19863"/>
    <cellStyle name="Normal 7 2 3 6" xfId="11566"/>
    <cellStyle name="Normal 7 2 4" xfId="3713"/>
    <cellStyle name="Normal 7 2 4 2" xfId="5841"/>
    <cellStyle name="Normal 7 2 4 2 2" xfId="9997"/>
    <cellStyle name="Normal 7 2 4 2 2 2" xfId="26594"/>
    <cellStyle name="Normal 7 2 4 2 2 3" xfId="18297"/>
    <cellStyle name="Normal 7 2 4 2 3" xfId="22454"/>
    <cellStyle name="Normal 7 2 4 2 4" xfId="14157"/>
    <cellStyle name="Normal 7 2 4 3" xfId="7925"/>
    <cellStyle name="Normal 7 2 4 3 2" xfId="24522"/>
    <cellStyle name="Normal 7 2 4 3 3" xfId="16225"/>
    <cellStyle name="Normal 7 2 4 4" xfId="20382"/>
    <cellStyle name="Normal 7 2 4 5" xfId="12085"/>
    <cellStyle name="Normal 7 2 5" xfId="4793"/>
    <cellStyle name="Normal 7 2 5 2" xfId="8961"/>
    <cellStyle name="Normal 7 2 5 2 2" xfId="25558"/>
    <cellStyle name="Normal 7 2 5 2 3" xfId="17261"/>
    <cellStyle name="Normal 7 2 5 3" xfId="21418"/>
    <cellStyle name="Normal 7 2 5 4" xfId="13121"/>
    <cellStyle name="Normal 7 2 6" xfId="6884"/>
    <cellStyle name="Normal 7 2 6 2" xfId="23488"/>
    <cellStyle name="Normal 7 2 6 3" xfId="15191"/>
    <cellStyle name="Normal 7 2 7" xfId="19345"/>
    <cellStyle name="Normal 7 2 8" xfId="11048"/>
    <cellStyle name="Normal 7 3" xfId="1856"/>
    <cellStyle name="Normal 7 3 2" xfId="1857"/>
    <cellStyle name="Normal 7 3 2 2" xfId="3188"/>
    <cellStyle name="Normal 7 3 2 2 2" xfId="4234"/>
    <cellStyle name="Normal 7 3 2 2 2 2" xfId="6359"/>
    <cellStyle name="Normal 7 3 2 2 2 2 2" xfId="10515"/>
    <cellStyle name="Normal 7 3 2 2 2 2 2 2" xfId="27112"/>
    <cellStyle name="Normal 7 3 2 2 2 2 2 3" xfId="18815"/>
    <cellStyle name="Normal 7 3 2 2 2 2 3" xfId="22972"/>
    <cellStyle name="Normal 7 3 2 2 2 2 4" xfId="14675"/>
    <cellStyle name="Normal 7 3 2 2 2 3" xfId="8443"/>
    <cellStyle name="Normal 7 3 2 2 2 3 2" xfId="25040"/>
    <cellStyle name="Normal 7 3 2 2 2 3 3" xfId="16743"/>
    <cellStyle name="Normal 7 3 2 2 2 4" xfId="20900"/>
    <cellStyle name="Normal 7 3 2 2 2 5" xfId="12603"/>
    <cellStyle name="Normal 7 3 2 2 3" xfId="5325"/>
    <cellStyle name="Normal 7 3 2 2 3 2" xfId="9481"/>
    <cellStyle name="Normal 7 3 2 2 3 2 2" xfId="26078"/>
    <cellStyle name="Normal 7 3 2 2 3 2 3" xfId="17781"/>
    <cellStyle name="Normal 7 3 2 2 3 3" xfId="21938"/>
    <cellStyle name="Normal 7 3 2 2 3 4" xfId="13641"/>
    <cellStyle name="Normal 7 3 2 2 4" xfId="7409"/>
    <cellStyle name="Normal 7 3 2 2 4 2" xfId="24006"/>
    <cellStyle name="Normal 7 3 2 2 4 3" xfId="15709"/>
    <cellStyle name="Normal 7 3 2 2 5" xfId="19866"/>
    <cellStyle name="Normal 7 3 2 2 6" xfId="11569"/>
    <cellStyle name="Normal 7 3 2 3" xfId="3716"/>
    <cellStyle name="Normal 7 3 2 3 2" xfId="5844"/>
    <cellStyle name="Normal 7 3 2 3 2 2" xfId="10000"/>
    <cellStyle name="Normal 7 3 2 3 2 2 2" xfId="26597"/>
    <cellStyle name="Normal 7 3 2 3 2 2 3" xfId="18300"/>
    <cellStyle name="Normal 7 3 2 3 2 3" xfId="22457"/>
    <cellStyle name="Normal 7 3 2 3 2 4" xfId="14160"/>
    <cellStyle name="Normal 7 3 2 3 3" xfId="7928"/>
    <cellStyle name="Normal 7 3 2 3 3 2" xfId="24525"/>
    <cellStyle name="Normal 7 3 2 3 3 3" xfId="16228"/>
    <cellStyle name="Normal 7 3 2 3 4" xfId="20385"/>
    <cellStyle name="Normal 7 3 2 3 5" xfId="12088"/>
    <cellStyle name="Normal 7 3 2 4" xfId="4796"/>
    <cellStyle name="Normal 7 3 2 4 2" xfId="8964"/>
    <cellStyle name="Normal 7 3 2 4 2 2" xfId="25561"/>
    <cellStyle name="Normal 7 3 2 4 2 3" xfId="17264"/>
    <cellStyle name="Normal 7 3 2 4 3" xfId="21421"/>
    <cellStyle name="Normal 7 3 2 4 4" xfId="13124"/>
    <cellStyle name="Normal 7 3 2 5" xfId="6887"/>
    <cellStyle name="Normal 7 3 2 5 2" xfId="23491"/>
    <cellStyle name="Normal 7 3 2 5 3" xfId="15194"/>
    <cellStyle name="Normal 7 3 2 6" xfId="19348"/>
    <cellStyle name="Normal 7 3 2 7" xfId="11051"/>
    <cellStyle name="Normal 7 3 3" xfId="3187"/>
    <cellStyle name="Normal 7 3 3 2" xfId="4233"/>
    <cellStyle name="Normal 7 3 3 2 2" xfId="6358"/>
    <cellStyle name="Normal 7 3 3 2 2 2" xfId="10514"/>
    <cellStyle name="Normal 7 3 3 2 2 2 2" xfId="27111"/>
    <cellStyle name="Normal 7 3 3 2 2 2 3" xfId="18814"/>
    <cellStyle name="Normal 7 3 3 2 2 3" xfId="22971"/>
    <cellStyle name="Normal 7 3 3 2 2 4" xfId="14674"/>
    <cellStyle name="Normal 7 3 3 2 3" xfId="8442"/>
    <cellStyle name="Normal 7 3 3 2 3 2" xfId="25039"/>
    <cellStyle name="Normal 7 3 3 2 3 3" xfId="16742"/>
    <cellStyle name="Normal 7 3 3 2 4" xfId="20899"/>
    <cellStyle name="Normal 7 3 3 2 5" xfId="12602"/>
    <cellStyle name="Normal 7 3 3 3" xfId="5324"/>
    <cellStyle name="Normal 7 3 3 3 2" xfId="9480"/>
    <cellStyle name="Normal 7 3 3 3 2 2" xfId="26077"/>
    <cellStyle name="Normal 7 3 3 3 2 3" xfId="17780"/>
    <cellStyle name="Normal 7 3 3 3 3" xfId="21937"/>
    <cellStyle name="Normal 7 3 3 3 4" xfId="13640"/>
    <cellStyle name="Normal 7 3 3 4" xfId="7408"/>
    <cellStyle name="Normal 7 3 3 4 2" xfId="24005"/>
    <cellStyle name="Normal 7 3 3 4 3" xfId="15708"/>
    <cellStyle name="Normal 7 3 3 5" xfId="19865"/>
    <cellStyle name="Normal 7 3 3 6" xfId="11568"/>
    <cellStyle name="Normal 7 3 4" xfId="3715"/>
    <cellStyle name="Normal 7 3 4 2" xfId="5843"/>
    <cellStyle name="Normal 7 3 4 2 2" xfId="9999"/>
    <cellStyle name="Normal 7 3 4 2 2 2" xfId="26596"/>
    <cellStyle name="Normal 7 3 4 2 2 3" xfId="18299"/>
    <cellStyle name="Normal 7 3 4 2 3" xfId="22456"/>
    <cellStyle name="Normal 7 3 4 2 4" xfId="14159"/>
    <cellStyle name="Normal 7 3 4 3" xfId="7927"/>
    <cellStyle name="Normal 7 3 4 3 2" xfId="24524"/>
    <cellStyle name="Normal 7 3 4 3 3" xfId="16227"/>
    <cellStyle name="Normal 7 3 4 4" xfId="20384"/>
    <cellStyle name="Normal 7 3 4 5" xfId="12087"/>
    <cellStyle name="Normal 7 3 5" xfId="4795"/>
    <cellStyle name="Normal 7 3 5 2" xfId="8963"/>
    <cellStyle name="Normal 7 3 5 2 2" xfId="25560"/>
    <cellStyle name="Normal 7 3 5 2 3" xfId="17263"/>
    <cellStyle name="Normal 7 3 5 3" xfId="21420"/>
    <cellStyle name="Normal 7 3 5 4" xfId="13123"/>
    <cellStyle name="Normal 7 3 6" xfId="6886"/>
    <cellStyle name="Normal 7 3 6 2" xfId="23490"/>
    <cellStyle name="Normal 7 3 6 3" xfId="15193"/>
    <cellStyle name="Normal 7 3 7" xfId="19347"/>
    <cellStyle name="Normal 7 3 8" xfId="11050"/>
    <cellStyle name="Normal 7 4" xfId="1858"/>
    <cellStyle name="Normal 7 5" xfId="1859"/>
    <cellStyle name="Normal 7 5 2" xfId="3189"/>
    <cellStyle name="Normal 7 5 2 2" xfId="4235"/>
    <cellStyle name="Normal 7 5 2 2 2" xfId="6360"/>
    <cellStyle name="Normal 7 5 2 2 2 2" xfId="10516"/>
    <cellStyle name="Normal 7 5 2 2 2 2 2" xfId="27113"/>
    <cellStyle name="Normal 7 5 2 2 2 2 3" xfId="18816"/>
    <cellStyle name="Normal 7 5 2 2 2 3" xfId="22973"/>
    <cellStyle name="Normal 7 5 2 2 2 4" xfId="14676"/>
    <cellStyle name="Normal 7 5 2 2 3" xfId="8444"/>
    <cellStyle name="Normal 7 5 2 2 3 2" xfId="25041"/>
    <cellStyle name="Normal 7 5 2 2 3 3" xfId="16744"/>
    <cellStyle name="Normal 7 5 2 2 4" xfId="20901"/>
    <cellStyle name="Normal 7 5 2 2 5" xfId="12604"/>
    <cellStyle name="Normal 7 5 2 3" xfId="5326"/>
    <cellStyle name="Normal 7 5 2 3 2" xfId="9482"/>
    <cellStyle name="Normal 7 5 2 3 2 2" xfId="26079"/>
    <cellStyle name="Normal 7 5 2 3 2 3" xfId="17782"/>
    <cellStyle name="Normal 7 5 2 3 3" xfId="21939"/>
    <cellStyle name="Normal 7 5 2 3 4" xfId="13642"/>
    <cellStyle name="Normal 7 5 2 4" xfId="7410"/>
    <cellStyle name="Normal 7 5 2 4 2" xfId="24007"/>
    <cellStyle name="Normal 7 5 2 4 3" xfId="15710"/>
    <cellStyle name="Normal 7 5 2 5" xfId="19867"/>
    <cellStyle name="Normal 7 5 2 6" xfId="11570"/>
    <cellStyle name="Normal 7 5 3" xfId="3717"/>
    <cellStyle name="Normal 7 5 3 2" xfId="5845"/>
    <cellStyle name="Normal 7 5 3 2 2" xfId="10001"/>
    <cellStyle name="Normal 7 5 3 2 2 2" xfId="26598"/>
    <cellStyle name="Normal 7 5 3 2 2 3" xfId="18301"/>
    <cellStyle name="Normal 7 5 3 2 3" xfId="22458"/>
    <cellStyle name="Normal 7 5 3 2 4" xfId="14161"/>
    <cellStyle name="Normal 7 5 3 3" xfId="7929"/>
    <cellStyle name="Normal 7 5 3 3 2" xfId="24526"/>
    <cellStyle name="Normal 7 5 3 3 3" xfId="16229"/>
    <cellStyle name="Normal 7 5 3 4" xfId="20386"/>
    <cellStyle name="Normal 7 5 3 5" xfId="12089"/>
    <cellStyle name="Normal 7 5 4" xfId="4797"/>
    <cellStyle name="Normal 7 5 4 2" xfId="8965"/>
    <cellStyle name="Normal 7 5 4 2 2" xfId="25562"/>
    <cellStyle name="Normal 7 5 4 2 3" xfId="17265"/>
    <cellStyle name="Normal 7 5 4 3" xfId="21422"/>
    <cellStyle name="Normal 7 5 4 4" xfId="13125"/>
    <cellStyle name="Normal 7 5 5" xfId="6888"/>
    <cellStyle name="Normal 7 5 5 2" xfId="23492"/>
    <cellStyle name="Normal 7 5 5 3" xfId="15195"/>
    <cellStyle name="Normal 7 5 6" xfId="19349"/>
    <cellStyle name="Normal 7 5 7" xfId="11052"/>
    <cellStyle name="Normal 7 6" xfId="3184"/>
    <cellStyle name="Normal 7 6 2" xfId="4230"/>
    <cellStyle name="Normal 7 6 2 2" xfId="6355"/>
    <cellStyle name="Normal 7 6 2 2 2" xfId="10511"/>
    <cellStyle name="Normal 7 6 2 2 2 2" xfId="27108"/>
    <cellStyle name="Normal 7 6 2 2 2 3" xfId="18811"/>
    <cellStyle name="Normal 7 6 2 2 3" xfId="22968"/>
    <cellStyle name="Normal 7 6 2 2 4" xfId="14671"/>
    <cellStyle name="Normal 7 6 2 3" xfId="8439"/>
    <cellStyle name="Normal 7 6 2 3 2" xfId="25036"/>
    <cellStyle name="Normal 7 6 2 3 3" xfId="16739"/>
    <cellStyle name="Normal 7 6 2 4" xfId="20896"/>
    <cellStyle name="Normal 7 6 2 5" xfId="12599"/>
    <cellStyle name="Normal 7 6 3" xfId="5321"/>
    <cellStyle name="Normal 7 6 3 2" xfId="9477"/>
    <cellStyle name="Normal 7 6 3 2 2" xfId="26074"/>
    <cellStyle name="Normal 7 6 3 2 3" xfId="17777"/>
    <cellStyle name="Normal 7 6 3 3" xfId="21934"/>
    <cellStyle name="Normal 7 6 3 4" xfId="13637"/>
    <cellStyle name="Normal 7 6 4" xfId="7405"/>
    <cellStyle name="Normal 7 6 4 2" xfId="24002"/>
    <cellStyle name="Normal 7 6 4 3" xfId="15705"/>
    <cellStyle name="Normal 7 6 5" xfId="19862"/>
    <cellStyle name="Normal 7 6 6" xfId="11565"/>
    <cellStyle name="Normal 7 7" xfId="3712"/>
    <cellStyle name="Normal 7 7 2" xfId="5840"/>
    <cellStyle name="Normal 7 7 2 2" xfId="9996"/>
    <cellStyle name="Normal 7 7 2 2 2" xfId="26593"/>
    <cellStyle name="Normal 7 7 2 2 3" xfId="18296"/>
    <cellStyle name="Normal 7 7 2 3" xfId="22453"/>
    <cellStyle name="Normal 7 7 2 4" xfId="14156"/>
    <cellStyle name="Normal 7 7 3" xfId="7924"/>
    <cellStyle name="Normal 7 7 3 2" xfId="24521"/>
    <cellStyle name="Normal 7 7 3 3" xfId="16224"/>
    <cellStyle name="Normal 7 7 4" xfId="20381"/>
    <cellStyle name="Normal 7 7 5" xfId="12084"/>
    <cellStyle name="Normal 7 8" xfId="4792"/>
    <cellStyle name="Normal 7 8 2" xfId="8960"/>
    <cellStyle name="Normal 7 8 2 2" xfId="25557"/>
    <cellStyle name="Normal 7 8 2 3" xfId="17260"/>
    <cellStyle name="Normal 7 8 3" xfId="21417"/>
    <cellStyle name="Normal 7 8 4" xfId="13120"/>
    <cellStyle name="Normal 7 9" xfId="6883"/>
    <cellStyle name="Normal 7 9 2" xfId="23487"/>
    <cellStyle name="Normal 7 9 3" xfId="15190"/>
    <cellStyle name="Normal 70" xfId="1860"/>
    <cellStyle name="Normal 71" xfId="1861"/>
    <cellStyle name="Normal 72" xfId="1862"/>
    <cellStyle name="Normal 73" xfId="1863"/>
    <cellStyle name="Normal 74" xfId="1864"/>
    <cellStyle name="Normal 75" xfId="1865"/>
    <cellStyle name="Normal 76" xfId="1866"/>
    <cellStyle name="Normal 77" xfId="1867"/>
    <cellStyle name="Normal 78" xfId="1868"/>
    <cellStyle name="Normal 79" xfId="1869"/>
    <cellStyle name="Normal 8" xfId="1870"/>
    <cellStyle name="Normal 8 10" xfId="19350"/>
    <cellStyle name="Normal 8 11" xfId="11053"/>
    <cellStyle name="Normal 8 2" xfId="1871"/>
    <cellStyle name="Normal 8 2 2" xfId="1872"/>
    <cellStyle name="Normal 8 2 2 2" xfId="3192"/>
    <cellStyle name="Normal 8 2 2 2 2" xfId="4238"/>
    <cellStyle name="Normal 8 2 2 2 2 2" xfId="6363"/>
    <cellStyle name="Normal 8 2 2 2 2 2 2" xfId="10519"/>
    <cellStyle name="Normal 8 2 2 2 2 2 2 2" xfId="27116"/>
    <cellStyle name="Normal 8 2 2 2 2 2 2 3" xfId="18819"/>
    <cellStyle name="Normal 8 2 2 2 2 2 3" xfId="22976"/>
    <cellStyle name="Normal 8 2 2 2 2 2 4" xfId="14679"/>
    <cellStyle name="Normal 8 2 2 2 2 3" xfId="8447"/>
    <cellStyle name="Normal 8 2 2 2 2 3 2" xfId="25044"/>
    <cellStyle name="Normal 8 2 2 2 2 3 3" xfId="16747"/>
    <cellStyle name="Normal 8 2 2 2 2 4" xfId="20904"/>
    <cellStyle name="Normal 8 2 2 2 2 5" xfId="12607"/>
    <cellStyle name="Normal 8 2 2 2 3" xfId="5329"/>
    <cellStyle name="Normal 8 2 2 2 3 2" xfId="9485"/>
    <cellStyle name="Normal 8 2 2 2 3 2 2" xfId="26082"/>
    <cellStyle name="Normal 8 2 2 2 3 2 3" xfId="17785"/>
    <cellStyle name="Normal 8 2 2 2 3 3" xfId="21942"/>
    <cellStyle name="Normal 8 2 2 2 3 4" xfId="13645"/>
    <cellStyle name="Normal 8 2 2 2 4" xfId="7413"/>
    <cellStyle name="Normal 8 2 2 2 4 2" xfId="24010"/>
    <cellStyle name="Normal 8 2 2 2 4 3" xfId="15713"/>
    <cellStyle name="Normal 8 2 2 2 5" xfId="19870"/>
    <cellStyle name="Normal 8 2 2 2 6" xfId="11573"/>
    <cellStyle name="Normal 8 2 2 3" xfId="3720"/>
    <cellStyle name="Normal 8 2 2 3 2" xfId="5848"/>
    <cellStyle name="Normal 8 2 2 3 2 2" xfId="10004"/>
    <cellStyle name="Normal 8 2 2 3 2 2 2" xfId="26601"/>
    <cellStyle name="Normal 8 2 2 3 2 2 3" xfId="18304"/>
    <cellStyle name="Normal 8 2 2 3 2 3" xfId="22461"/>
    <cellStyle name="Normal 8 2 2 3 2 4" xfId="14164"/>
    <cellStyle name="Normal 8 2 2 3 3" xfId="7932"/>
    <cellStyle name="Normal 8 2 2 3 3 2" xfId="24529"/>
    <cellStyle name="Normal 8 2 2 3 3 3" xfId="16232"/>
    <cellStyle name="Normal 8 2 2 3 4" xfId="20389"/>
    <cellStyle name="Normal 8 2 2 3 5" xfId="12092"/>
    <cellStyle name="Normal 8 2 2 4" xfId="4800"/>
    <cellStyle name="Normal 8 2 2 4 2" xfId="8968"/>
    <cellStyle name="Normal 8 2 2 4 2 2" xfId="25565"/>
    <cellStyle name="Normal 8 2 2 4 2 3" xfId="17268"/>
    <cellStyle name="Normal 8 2 2 4 3" xfId="21425"/>
    <cellStyle name="Normal 8 2 2 4 4" xfId="13128"/>
    <cellStyle name="Normal 8 2 2 5" xfId="6891"/>
    <cellStyle name="Normal 8 2 2 5 2" xfId="23495"/>
    <cellStyle name="Normal 8 2 2 5 3" xfId="15198"/>
    <cellStyle name="Normal 8 2 2 6" xfId="19352"/>
    <cellStyle name="Normal 8 2 2 7" xfId="11055"/>
    <cellStyle name="Normal 8 2 3" xfId="3191"/>
    <cellStyle name="Normal 8 2 3 2" xfId="4237"/>
    <cellStyle name="Normal 8 2 3 2 2" xfId="6362"/>
    <cellStyle name="Normal 8 2 3 2 2 2" xfId="10518"/>
    <cellStyle name="Normal 8 2 3 2 2 2 2" xfId="27115"/>
    <cellStyle name="Normal 8 2 3 2 2 2 3" xfId="18818"/>
    <cellStyle name="Normal 8 2 3 2 2 3" xfId="22975"/>
    <cellStyle name="Normal 8 2 3 2 2 4" xfId="14678"/>
    <cellStyle name="Normal 8 2 3 2 3" xfId="8446"/>
    <cellStyle name="Normal 8 2 3 2 3 2" xfId="25043"/>
    <cellStyle name="Normal 8 2 3 2 3 3" xfId="16746"/>
    <cellStyle name="Normal 8 2 3 2 4" xfId="20903"/>
    <cellStyle name="Normal 8 2 3 2 5" xfId="12606"/>
    <cellStyle name="Normal 8 2 3 3" xfId="5328"/>
    <cellStyle name="Normal 8 2 3 3 2" xfId="9484"/>
    <cellStyle name="Normal 8 2 3 3 2 2" xfId="26081"/>
    <cellStyle name="Normal 8 2 3 3 2 3" xfId="17784"/>
    <cellStyle name="Normal 8 2 3 3 3" xfId="21941"/>
    <cellStyle name="Normal 8 2 3 3 4" xfId="13644"/>
    <cellStyle name="Normal 8 2 3 4" xfId="7412"/>
    <cellStyle name="Normal 8 2 3 4 2" xfId="24009"/>
    <cellStyle name="Normal 8 2 3 4 3" xfId="15712"/>
    <cellStyle name="Normal 8 2 3 5" xfId="19869"/>
    <cellStyle name="Normal 8 2 3 6" xfId="11572"/>
    <cellStyle name="Normal 8 2 4" xfId="3719"/>
    <cellStyle name="Normal 8 2 4 2" xfId="5847"/>
    <cellStyle name="Normal 8 2 4 2 2" xfId="10003"/>
    <cellStyle name="Normal 8 2 4 2 2 2" xfId="26600"/>
    <cellStyle name="Normal 8 2 4 2 2 3" xfId="18303"/>
    <cellStyle name="Normal 8 2 4 2 3" xfId="22460"/>
    <cellStyle name="Normal 8 2 4 2 4" xfId="14163"/>
    <cellStyle name="Normal 8 2 4 3" xfId="7931"/>
    <cellStyle name="Normal 8 2 4 3 2" xfId="24528"/>
    <cellStyle name="Normal 8 2 4 3 3" xfId="16231"/>
    <cellStyle name="Normal 8 2 4 4" xfId="20388"/>
    <cellStyle name="Normal 8 2 4 5" xfId="12091"/>
    <cellStyle name="Normal 8 2 5" xfId="4799"/>
    <cellStyle name="Normal 8 2 5 2" xfId="8967"/>
    <cellStyle name="Normal 8 2 5 2 2" xfId="25564"/>
    <cellStyle name="Normal 8 2 5 2 3" xfId="17267"/>
    <cellStyle name="Normal 8 2 5 3" xfId="21424"/>
    <cellStyle name="Normal 8 2 5 4" xfId="13127"/>
    <cellStyle name="Normal 8 2 6" xfId="6890"/>
    <cellStyle name="Normal 8 2 6 2" xfId="23494"/>
    <cellStyle name="Normal 8 2 6 3" xfId="15197"/>
    <cellStyle name="Normal 8 2 7" xfId="19351"/>
    <cellStyle name="Normal 8 2 8" xfId="11054"/>
    <cellStyle name="Normal 8 3" xfId="1873"/>
    <cellStyle name="Normal 8 3 2" xfId="1874"/>
    <cellStyle name="Normal 8 3 2 2" xfId="3194"/>
    <cellStyle name="Normal 8 3 2 2 2" xfId="4240"/>
    <cellStyle name="Normal 8 3 2 2 2 2" xfId="6365"/>
    <cellStyle name="Normal 8 3 2 2 2 2 2" xfId="10521"/>
    <cellStyle name="Normal 8 3 2 2 2 2 2 2" xfId="27118"/>
    <cellStyle name="Normal 8 3 2 2 2 2 2 3" xfId="18821"/>
    <cellStyle name="Normal 8 3 2 2 2 2 3" xfId="22978"/>
    <cellStyle name="Normal 8 3 2 2 2 2 4" xfId="14681"/>
    <cellStyle name="Normal 8 3 2 2 2 3" xfId="8449"/>
    <cellStyle name="Normal 8 3 2 2 2 3 2" xfId="25046"/>
    <cellStyle name="Normal 8 3 2 2 2 3 3" xfId="16749"/>
    <cellStyle name="Normal 8 3 2 2 2 4" xfId="20906"/>
    <cellStyle name="Normal 8 3 2 2 2 5" xfId="12609"/>
    <cellStyle name="Normal 8 3 2 2 3" xfId="5331"/>
    <cellStyle name="Normal 8 3 2 2 3 2" xfId="9487"/>
    <cellStyle name="Normal 8 3 2 2 3 2 2" xfId="26084"/>
    <cellStyle name="Normal 8 3 2 2 3 2 3" xfId="17787"/>
    <cellStyle name="Normal 8 3 2 2 3 3" xfId="21944"/>
    <cellStyle name="Normal 8 3 2 2 3 4" xfId="13647"/>
    <cellStyle name="Normal 8 3 2 2 4" xfId="7415"/>
    <cellStyle name="Normal 8 3 2 2 4 2" xfId="24012"/>
    <cellStyle name="Normal 8 3 2 2 4 3" xfId="15715"/>
    <cellStyle name="Normal 8 3 2 2 5" xfId="19872"/>
    <cellStyle name="Normal 8 3 2 2 6" xfId="11575"/>
    <cellStyle name="Normal 8 3 2 3" xfId="3722"/>
    <cellStyle name="Normal 8 3 2 3 2" xfId="5850"/>
    <cellStyle name="Normal 8 3 2 3 2 2" xfId="10006"/>
    <cellStyle name="Normal 8 3 2 3 2 2 2" xfId="26603"/>
    <cellStyle name="Normal 8 3 2 3 2 2 3" xfId="18306"/>
    <cellStyle name="Normal 8 3 2 3 2 3" xfId="22463"/>
    <cellStyle name="Normal 8 3 2 3 2 4" xfId="14166"/>
    <cellStyle name="Normal 8 3 2 3 3" xfId="7934"/>
    <cellStyle name="Normal 8 3 2 3 3 2" xfId="24531"/>
    <cellStyle name="Normal 8 3 2 3 3 3" xfId="16234"/>
    <cellStyle name="Normal 8 3 2 3 4" xfId="20391"/>
    <cellStyle name="Normal 8 3 2 3 5" xfId="12094"/>
    <cellStyle name="Normal 8 3 2 4" xfId="4802"/>
    <cellStyle name="Normal 8 3 2 4 2" xfId="8970"/>
    <cellStyle name="Normal 8 3 2 4 2 2" xfId="25567"/>
    <cellStyle name="Normal 8 3 2 4 2 3" xfId="17270"/>
    <cellStyle name="Normal 8 3 2 4 3" xfId="21427"/>
    <cellStyle name="Normal 8 3 2 4 4" xfId="13130"/>
    <cellStyle name="Normal 8 3 2 5" xfId="6893"/>
    <cellStyle name="Normal 8 3 2 5 2" xfId="23497"/>
    <cellStyle name="Normal 8 3 2 5 3" xfId="15200"/>
    <cellStyle name="Normal 8 3 2 6" xfId="19354"/>
    <cellStyle name="Normal 8 3 2 7" xfId="11057"/>
    <cellStyle name="Normal 8 3 3" xfId="3193"/>
    <cellStyle name="Normal 8 3 3 2" xfId="4239"/>
    <cellStyle name="Normal 8 3 3 2 2" xfId="6364"/>
    <cellStyle name="Normal 8 3 3 2 2 2" xfId="10520"/>
    <cellStyle name="Normal 8 3 3 2 2 2 2" xfId="27117"/>
    <cellStyle name="Normal 8 3 3 2 2 2 3" xfId="18820"/>
    <cellStyle name="Normal 8 3 3 2 2 3" xfId="22977"/>
    <cellStyle name="Normal 8 3 3 2 2 4" xfId="14680"/>
    <cellStyle name="Normal 8 3 3 2 3" xfId="8448"/>
    <cellStyle name="Normal 8 3 3 2 3 2" xfId="25045"/>
    <cellStyle name="Normal 8 3 3 2 3 3" xfId="16748"/>
    <cellStyle name="Normal 8 3 3 2 4" xfId="20905"/>
    <cellStyle name="Normal 8 3 3 2 5" xfId="12608"/>
    <cellStyle name="Normal 8 3 3 3" xfId="5330"/>
    <cellStyle name="Normal 8 3 3 3 2" xfId="9486"/>
    <cellStyle name="Normal 8 3 3 3 2 2" xfId="26083"/>
    <cellStyle name="Normal 8 3 3 3 2 3" xfId="17786"/>
    <cellStyle name="Normal 8 3 3 3 3" xfId="21943"/>
    <cellStyle name="Normal 8 3 3 3 4" xfId="13646"/>
    <cellStyle name="Normal 8 3 3 4" xfId="7414"/>
    <cellStyle name="Normal 8 3 3 4 2" xfId="24011"/>
    <cellStyle name="Normal 8 3 3 4 3" xfId="15714"/>
    <cellStyle name="Normal 8 3 3 5" xfId="19871"/>
    <cellStyle name="Normal 8 3 3 6" xfId="11574"/>
    <cellStyle name="Normal 8 3 4" xfId="3721"/>
    <cellStyle name="Normal 8 3 4 2" xfId="5849"/>
    <cellStyle name="Normal 8 3 4 2 2" xfId="10005"/>
    <cellStyle name="Normal 8 3 4 2 2 2" xfId="26602"/>
    <cellStyle name="Normal 8 3 4 2 2 3" xfId="18305"/>
    <cellStyle name="Normal 8 3 4 2 3" xfId="22462"/>
    <cellStyle name="Normal 8 3 4 2 4" xfId="14165"/>
    <cellStyle name="Normal 8 3 4 3" xfId="7933"/>
    <cellStyle name="Normal 8 3 4 3 2" xfId="24530"/>
    <cellStyle name="Normal 8 3 4 3 3" xfId="16233"/>
    <cellStyle name="Normal 8 3 4 4" xfId="20390"/>
    <cellStyle name="Normal 8 3 4 5" xfId="12093"/>
    <cellStyle name="Normal 8 3 5" xfId="4801"/>
    <cellStyle name="Normal 8 3 5 2" xfId="8969"/>
    <cellStyle name="Normal 8 3 5 2 2" xfId="25566"/>
    <cellStyle name="Normal 8 3 5 2 3" xfId="17269"/>
    <cellStyle name="Normal 8 3 5 3" xfId="21426"/>
    <cellStyle name="Normal 8 3 5 4" xfId="13129"/>
    <cellStyle name="Normal 8 3 6" xfId="6892"/>
    <cellStyle name="Normal 8 3 6 2" xfId="23496"/>
    <cellStyle name="Normal 8 3 6 3" xfId="15199"/>
    <cellStyle name="Normal 8 3 7" xfId="19353"/>
    <cellStyle name="Normal 8 3 8" xfId="11056"/>
    <cellStyle name="Normal 8 4" xfId="1875"/>
    <cellStyle name="Normal 8 5" xfId="1876"/>
    <cellStyle name="Normal 8 5 2" xfId="3195"/>
    <cellStyle name="Normal 8 5 2 2" xfId="4241"/>
    <cellStyle name="Normal 8 5 2 2 2" xfId="6366"/>
    <cellStyle name="Normal 8 5 2 2 2 2" xfId="10522"/>
    <cellStyle name="Normal 8 5 2 2 2 2 2" xfId="27119"/>
    <cellStyle name="Normal 8 5 2 2 2 2 3" xfId="18822"/>
    <cellStyle name="Normal 8 5 2 2 2 3" xfId="22979"/>
    <cellStyle name="Normal 8 5 2 2 2 4" xfId="14682"/>
    <cellStyle name="Normal 8 5 2 2 3" xfId="8450"/>
    <cellStyle name="Normal 8 5 2 2 3 2" xfId="25047"/>
    <cellStyle name="Normal 8 5 2 2 3 3" xfId="16750"/>
    <cellStyle name="Normal 8 5 2 2 4" xfId="20907"/>
    <cellStyle name="Normal 8 5 2 2 5" xfId="12610"/>
    <cellStyle name="Normal 8 5 2 3" xfId="5332"/>
    <cellStyle name="Normal 8 5 2 3 2" xfId="9488"/>
    <cellStyle name="Normal 8 5 2 3 2 2" xfId="26085"/>
    <cellStyle name="Normal 8 5 2 3 2 3" xfId="17788"/>
    <cellStyle name="Normal 8 5 2 3 3" xfId="21945"/>
    <cellStyle name="Normal 8 5 2 3 4" xfId="13648"/>
    <cellStyle name="Normal 8 5 2 4" xfId="7416"/>
    <cellStyle name="Normal 8 5 2 4 2" xfId="24013"/>
    <cellStyle name="Normal 8 5 2 4 3" xfId="15716"/>
    <cellStyle name="Normal 8 5 2 5" xfId="19873"/>
    <cellStyle name="Normal 8 5 2 6" xfId="11576"/>
    <cellStyle name="Normal 8 5 3" xfId="3723"/>
    <cellStyle name="Normal 8 5 3 2" xfId="5851"/>
    <cellStyle name="Normal 8 5 3 2 2" xfId="10007"/>
    <cellStyle name="Normal 8 5 3 2 2 2" xfId="26604"/>
    <cellStyle name="Normal 8 5 3 2 2 3" xfId="18307"/>
    <cellStyle name="Normal 8 5 3 2 3" xfId="22464"/>
    <cellStyle name="Normal 8 5 3 2 4" xfId="14167"/>
    <cellStyle name="Normal 8 5 3 3" xfId="7935"/>
    <cellStyle name="Normal 8 5 3 3 2" xfId="24532"/>
    <cellStyle name="Normal 8 5 3 3 3" xfId="16235"/>
    <cellStyle name="Normal 8 5 3 4" xfId="20392"/>
    <cellStyle name="Normal 8 5 3 5" xfId="12095"/>
    <cellStyle name="Normal 8 5 4" xfId="4803"/>
    <cellStyle name="Normal 8 5 4 2" xfId="8971"/>
    <cellStyle name="Normal 8 5 4 2 2" xfId="25568"/>
    <cellStyle name="Normal 8 5 4 2 3" xfId="17271"/>
    <cellStyle name="Normal 8 5 4 3" xfId="21428"/>
    <cellStyle name="Normal 8 5 4 4" xfId="13131"/>
    <cellStyle name="Normal 8 5 5" xfId="6894"/>
    <cellStyle name="Normal 8 5 5 2" xfId="23498"/>
    <cellStyle name="Normal 8 5 5 3" xfId="15201"/>
    <cellStyle name="Normal 8 5 6" xfId="19355"/>
    <cellStyle name="Normal 8 5 7" xfId="11058"/>
    <cellStyle name="Normal 8 6" xfId="3190"/>
    <cellStyle name="Normal 8 6 2" xfId="4236"/>
    <cellStyle name="Normal 8 6 2 2" xfId="6361"/>
    <cellStyle name="Normal 8 6 2 2 2" xfId="10517"/>
    <cellStyle name="Normal 8 6 2 2 2 2" xfId="27114"/>
    <cellStyle name="Normal 8 6 2 2 2 3" xfId="18817"/>
    <cellStyle name="Normal 8 6 2 2 3" xfId="22974"/>
    <cellStyle name="Normal 8 6 2 2 4" xfId="14677"/>
    <cellStyle name="Normal 8 6 2 3" xfId="8445"/>
    <cellStyle name="Normal 8 6 2 3 2" xfId="25042"/>
    <cellStyle name="Normal 8 6 2 3 3" xfId="16745"/>
    <cellStyle name="Normal 8 6 2 4" xfId="20902"/>
    <cellStyle name="Normal 8 6 2 5" xfId="12605"/>
    <cellStyle name="Normal 8 6 3" xfId="5327"/>
    <cellStyle name="Normal 8 6 3 2" xfId="9483"/>
    <cellStyle name="Normal 8 6 3 2 2" xfId="26080"/>
    <cellStyle name="Normal 8 6 3 2 3" xfId="17783"/>
    <cellStyle name="Normal 8 6 3 3" xfId="21940"/>
    <cellStyle name="Normal 8 6 3 4" xfId="13643"/>
    <cellStyle name="Normal 8 6 4" xfId="7411"/>
    <cellStyle name="Normal 8 6 4 2" xfId="24008"/>
    <cellStyle name="Normal 8 6 4 3" xfId="15711"/>
    <cellStyle name="Normal 8 6 5" xfId="19868"/>
    <cellStyle name="Normal 8 6 6" xfId="11571"/>
    <cellStyle name="Normal 8 7" xfId="3718"/>
    <cellStyle name="Normal 8 7 2" xfId="5846"/>
    <cellStyle name="Normal 8 7 2 2" xfId="10002"/>
    <cellStyle name="Normal 8 7 2 2 2" xfId="26599"/>
    <cellStyle name="Normal 8 7 2 2 3" xfId="18302"/>
    <cellStyle name="Normal 8 7 2 3" xfId="22459"/>
    <cellStyle name="Normal 8 7 2 4" xfId="14162"/>
    <cellStyle name="Normal 8 7 3" xfId="7930"/>
    <cellStyle name="Normal 8 7 3 2" xfId="24527"/>
    <cellStyle name="Normal 8 7 3 3" xfId="16230"/>
    <cellStyle name="Normal 8 7 4" xfId="20387"/>
    <cellStyle name="Normal 8 7 5" xfId="12090"/>
    <cellStyle name="Normal 8 8" xfId="4798"/>
    <cellStyle name="Normal 8 8 2" xfId="8966"/>
    <cellStyle name="Normal 8 8 2 2" xfId="25563"/>
    <cellStyle name="Normal 8 8 2 3" xfId="17266"/>
    <cellStyle name="Normal 8 8 3" xfId="21423"/>
    <cellStyle name="Normal 8 8 4" xfId="13126"/>
    <cellStyle name="Normal 8 9" xfId="6889"/>
    <cellStyle name="Normal 8 9 2" xfId="23493"/>
    <cellStyle name="Normal 8 9 3" xfId="15196"/>
    <cellStyle name="Normal 80" xfId="1877"/>
    <cellStyle name="Normal 81" xfId="1878"/>
    <cellStyle name="Normal 82" xfId="1879"/>
    <cellStyle name="Normal 83" xfId="1880"/>
    <cellStyle name="Normal 84" xfId="1881"/>
    <cellStyle name="Normal 85" xfId="1882"/>
    <cellStyle name="Normal 85 2" xfId="1883"/>
    <cellStyle name="Normal 85 2 2" xfId="3197"/>
    <cellStyle name="Normal 85 2 2 2" xfId="4243"/>
    <cellStyle name="Normal 85 2 2 2 2" xfId="6368"/>
    <cellStyle name="Normal 85 2 2 2 2 2" xfId="10524"/>
    <cellStyle name="Normal 85 2 2 2 2 2 2" xfId="27121"/>
    <cellStyle name="Normal 85 2 2 2 2 2 3" xfId="18824"/>
    <cellStyle name="Normal 85 2 2 2 2 3" xfId="22981"/>
    <cellStyle name="Normal 85 2 2 2 2 4" xfId="14684"/>
    <cellStyle name="Normal 85 2 2 2 3" xfId="8452"/>
    <cellStyle name="Normal 85 2 2 2 3 2" xfId="25049"/>
    <cellStyle name="Normal 85 2 2 2 3 3" xfId="16752"/>
    <cellStyle name="Normal 85 2 2 2 4" xfId="20909"/>
    <cellStyle name="Normal 85 2 2 2 5" xfId="12612"/>
    <cellStyle name="Normal 85 2 2 3" xfId="5334"/>
    <cellStyle name="Normal 85 2 2 3 2" xfId="9490"/>
    <cellStyle name="Normal 85 2 2 3 2 2" xfId="26087"/>
    <cellStyle name="Normal 85 2 2 3 2 3" xfId="17790"/>
    <cellStyle name="Normal 85 2 2 3 3" xfId="21947"/>
    <cellStyle name="Normal 85 2 2 3 4" xfId="13650"/>
    <cellStyle name="Normal 85 2 2 4" xfId="7418"/>
    <cellStyle name="Normal 85 2 2 4 2" xfId="24015"/>
    <cellStyle name="Normal 85 2 2 4 3" xfId="15718"/>
    <cellStyle name="Normal 85 2 2 5" xfId="19875"/>
    <cellStyle name="Normal 85 2 2 6" xfId="11578"/>
    <cellStyle name="Normal 85 2 3" xfId="3725"/>
    <cellStyle name="Normal 85 2 3 2" xfId="5853"/>
    <cellStyle name="Normal 85 2 3 2 2" xfId="10009"/>
    <cellStyle name="Normal 85 2 3 2 2 2" xfId="26606"/>
    <cellStyle name="Normal 85 2 3 2 2 3" xfId="18309"/>
    <cellStyle name="Normal 85 2 3 2 3" xfId="22466"/>
    <cellStyle name="Normal 85 2 3 2 4" xfId="14169"/>
    <cellStyle name="Normal 85 2 3 3" xfId="7937"/>
    <cellStyle name="Normal 85 2 3 3 2" xfId="24534"/>
    <cellStyle name="Normal 85 2 3 3 3" xfId="16237"/>
    <cellStyle name="Normal 85 2 3 4" xfId="20394"/>
    <cellStyle name="Normal 85 2 3 5" xfId="12097"/>
    <cellStyle name="Normal 85 2 4" xfId="4805"/>
    <cellStyle name="Normal 85 2 4 2" xfId="8973"/>
    <cellStyle name="Normal 85 2 4 2 2" xfId="25570"/>
    <cellStyle name="Normal 85 2 4 2 3" xfId="17273"/>
    <cellStyle name="Normal 85 2 4 3" xfId="21430"/>
    <cellStyle name="Normal 85 2 4 4" xfId="13133"/>
    <cellStyle name="Normal 85 2 5" xfId="6896"/>
    <cellStyle name="Normal 85 2 5 2" xfId="23500"/>
    <cellStyle name="Normal 85 2 5 3" xfId="15203"/>
    <cellStyle name="Normal 85 2 6" xfId="19357"/>
    <cellStyle name="Normal 85 2 7" xfId="11060"/>
    <cellStyle name="Normal 85 3" xfId="3196"/>
    <cellStyle name="Normal 85 3 2" xfId="4242"/>
    <cellStyle name="Normal 85 3 2 2" xfId="6367"/>
    <cellStyle name="Normal 85 3 2 2 2" xfId="10523"/>
    <cellStyle name="Normal 85 3 2 2 2 2" xfId="27120"/>
    <cellStyle name="Normal 85 3 2 2 2 3" xfId="18823"/>
    <cellStyle name="Normal 85 3 2 2 3" xfId="22980"/>
    <cellStyle name="Normal 85 3 2 2 4" xfId="14683"/>
    <cellStyle name="Normal 85 3 2 3" xfId="8451"/>
    <cellStyle name="Normal 85 3 2 3 2" xfId="25048"/>
    <cellStyle name="Normal 85 3 2 3 3" xfId="16751"/>
    <cellStyle name="Normal 85 3 2 4" xfId="20908"/>
    <cellStyle name="Normal 85 3 2 5" xfId="12611"/>
    <cellStyle name="Normal 85 3 3" xfId="5333"/>
    <cellStyle name="Normal 85 3 3 2" xfId="9489"/>
    <cellStyle name="Normal 85 3 3 2 2" xfId="26086"/>
    <cellStyle name="Normal 85 3 3 2 3" xfId="17789"/>
    <cellStyle name="Normal 85 3 3 3" xfId="21946"/>
    <cellStyle name="Normal 85 3 3 4" xfId="13649"/>
    <cellStyle name="Normal 85 3 4" xfId="7417"/>
    <cellStyle name="Normal 85 3 4 2" xfId="24014"/>
    <cellStyle name="Normal 85 3 4 3" xfId="15717"/>
    <cellStyle name="Normal 85 3 5" xfId="19874"/>
    <cellStyle name="Normal 85 3 6" xfId="11577"/>
    <cellStyle name="Normal 85 4" xfId="3724"/>
    <cellStyle name="Normal 85 4 2" xfId="5852"/>
    <cellStyle name="Normal 85 4 2 2" xfId="10008"/>
    <cellStyle name="Normal 85 4 2 2 2" xfId="26605"/>
    <cellStyle name="Normal 85 4 2 2 3" xfId="18308"/>
    <cellStyle name="Normal 85 4 2 3" xfId="22465"/>
    <cellStyle name="Normal 85 4 2 4" xfId="14168"/>
    <cellStyle name="Normal 85 4 3" xfId="7936"/>
    <cellStyle name="Normal 85 4 3 2" xfId="24533"/>
    <cellStyle name="Normal 85 4 3 3" xfId="16236"/>
    <cellStyle name="Normal 85 4 4" xfId="20393"/>
    <cellStyle name="Normal 85 4 5" xfId="12096"/>
    <cellStyle name="Normal 85 5" xfId="4804"/>
    <cellStyle name="Normal 85 5 2" xfId="8972"/>
    <cellStyle name="Normal 85 5 2 2" xfId="25569"/>
    <cellStyle name="Normal 85 5 2 3" xfId="17272"/>
    <cellStyle name="Normal 85 5 3" xfId="21429"/>
    <cellStyle name="Normal 85 5 4" xfId="13132"/>
    <cellStyle name="Normal 85 6" xfId="6895"/>
    <cellStyle name="Normal 85 6 2" xfId="23499"/>
    <cellStyle name="Normal 85 6 3" xfId="15202"/>
    <cellStyle name="Normal 85 7" xfId="19356"/>
    <cellStyle name="Normal 85 8" xfId="11059"/>
    <cellStyle name="Normal 86" xfId="1884"/>
    <cellStyle name="Normal 86 2" xfId="1885"/>
    <cellStyle name="Normal 86 2 2" xfId="3199"/>
    <cellStyle name="Normal 86 2 2 2" xfId="4245"/>
    <cellStyle name="Normal 86 2 2 2 2" xfId="6370"/>
    <cellStyle name="Normal 86 2 2 2 2 2" xfId="10526"/>
    <cellStyle name="Normal 86 2 2 2 2 2 2" xfId="27123"/>
    <cellStyle name="Normal 86 2 2 2 2 2 3" xfId="18826"/>
    <cellStyle name="Normal 86 2 2 2 2 3" xfId="22983"/>
    <cellStyle name="Normal 86 2 2 2 2 4" xfId="14686"/>
    <cellStyle name="Normal 86 2 2 2 3" xfId="8454"/>
    <cellStyle name="Normal 86 2 2 2 3 2" xfId="25051"/>
    <cellStyle name="Normal 86 2 2 2 3 3" xfId="16754"/>
    <cellStyle name="Normal 86 2 2 2 4" xfId="20911"/>
    <cellStyle name="Normal 86 2 2 2 5" xfId="12614"/>
    <cellStyle name="Normal 86 2 2 3" xfId="5336"/>
    <cellStyle name="Normal 86 2 2 3 2" xfId="9492"/>
    <cellStyle name="Normal 86 2 2 3 2 2" xfId="26089"/>
    <cellStyle name="Normal 86 2 2 3 2 3" xfId="17792"/>
    <cellStyle name="Normal 86 2 2 3 3" xfId="21949"/>
    <cellStyle name="Normal 86 2 2 3 4" xfId="13652"/>
    <cellStyle name="Normal 86 2 2 4" xfId="7420"/>
    <cellStyle name="Normal 86 2 2 4 2" xfId="24017"/>
    <cellStyle name="Normal 86 2 2 4 3" xfId="15720"/>
    <cellStyle name="Normal 86 2 2 5" xfId="19877"/>
    <cellStyle name="Normal 86 2 2 6" xfId="11580"/>
    <cellStyle name="Normal 86 2 3" xfId="3727"/>
    <cellStyle name="Normal 86 2 3 2" xfId="5855"/>
    <cellStyle name="Normal 86 2 3 2 2" xfId="10011"/>
    <cellStyle name="Normal 86 2 3 2 2 2" xfId="26608"/>
    <cellStyle name="Normal 86 2 3 2 2 3" xfId="18311"/>
    <cellStyle name="Normal 86 2 3 2 3" xfId="22468"/>
    <cellStyle name="Normal 86 2 3 2 4" xfId="14171"/>
    <cellStyle name="Normal 86 2 3 3" xfId="7939"/>
    <cellStyle name="Normal 86 2 3 3 2" xfId="24536"/>
    <cellStyle name="Normal 86 2 3 3 3" xfId="16239"/>
    <cellStyle name="Normal 86 2 3 4" xfId="20396"/>
    <cellStyle name="Normal 86 2 3 5" xfId="12099"/>
    <cellStyle name="Normal 86 2 4" xfId="4807"/>
    <cellStyle name="Normal 86 2 4 2" xfId="8975"/>
    <cellStyle name="Normal 86 2 4 2 2" xfId="25572"/>
    <cellStyle name="Normal 86 2 4 2 3" xfId="17275"/>
    <cellStyle name="Normal 86 2 4 3" xfId="21432"/>
    <cellStyle name="Normal 86 2 4 4" xfId="13135"/>
    <cellStyle name="Normal 86 2 5" xfId="6898"/>
    <cellStyle name="Normal 86 2 5 2" xfId="23502"/>
    <cellStyle name="Normal 86 2 5 3" xfId="15205"/>
    <cellStyle name="Normal 86 2 6" xfId="19359"/>
    <cellStyle name="Normal 86 2 7" xfId="11062"/>
    <cellStyle name="Normal 86 3" xfId="3198"/>
    <cellStyle name="Normal 86 3 2" xfId="4244"/>
    <cellStyle name="Normal 86 3 2 2" xfId="6369"/>
    <cellStyle name="Normal 86 3 2 2 2" xfId="10525"/>
    <cellStyle name="Normal 86 3 2 2 2 2" xfId="27122"/>
    <cellStyle name="Normal 86 3 2 2 2 3" xfId="18825"/>
    <cellStyle name="Normal 86 3 2 2 3" xfId="22982"/>
    <cellStyle name="Normal 86 3 2 2 4" xfId="14685"/>
    <cellStyle name="Normal 86 3 2 3" xfId="8453"/>
    <cellStyle name="Normal 86 3 2 3 2" xfId="25050"/>
    <cellStyle name="Normal 86 3 2 3 3" xfId="16753"/>
    <cellStyle name="Normal 86 3 2 4" xfId="20910"/>
    <cellStyle name="Normal 86 3 2 5" xfId="12613"/>
    <cellStyle name="Normal 86 3 3" xfId="5335"/>
    <cellStyle name="Normal 86 3 3 2" xfId="9491"/>
    <cellStyle name="Normal 86 3 3 2 2" xfId="26088"/>
    <cellStyle name="Normal 86 3 3 2 3" xfId="17791"/>
    <cellStyle name="Normal 86 3 3 3" xfId="21948"/>
    <cellStyle name="Normal 86 3 3 4" xfId="13651"/>
    <cellStyle name="Normal 86 3 4" xfId="7419"/>
    <cellStyle name="Normal 86 3 4 2" xfId="24016"/>
    <cellStyle name="Normal 86 3 4 3" xfId="15719"/>
    <cellStyle name="Normal 86 3 5" xfId="19876"/>
    <cellStyle name="Normal 86 3 6" xfId="11579"/>
    <cellStyle name="Normal 86 4" xfId="3726"/>
    <cellStyle name="Normal 86 4 2" xfId="5854"/>
    <cellStyle name="Normal 86 4 2 2" xfId="10010"/>
    <cellStyle name="Normal 86 4 2 2 2" xfId="26607"/>
    <cellStyle name="Normal 86 4 2 2 3" xfId="18310"/>
    <cellStyle name="Normal 86 4 2 3" xfId="22467"/>
    <cellStyle name="Normal 86 4 2 4" xfId="14170"/>
    <cellStyle name="Normal 86 4 3" xfId="7938"/>
    <cellStyle name="Normal 86 4 3 2" xfId="24535"/>
    <cellStyle name="Normal 86 4 3 3" xfId="16238"/>
    <cellStyle name="Normal 86 4 4" xfId="20395"/>
    <cellStyle name="Normal 86 4 5" xfId="12098"/>
    <cellStyle name="Normal 86 5" xfId="4806"/>
    <cellStyle name="Normal 86 5 2" xfId="8974"/>
    <cellStyle name="Normal 86 5 2 2" xfId="25571"/>
    <cellStyle name="Normal 86 5 2 3" xfId="17274"/>
    <cellStyle name="Normal 86 5 3" xfId="21431"/>
    <cellStyle name="Normal 86 5 4" xfId="13134"/>
    <cellStyle name="Normal 86 6" xfId="6897"/>
    <cellStyle name="Normal 86 6 2" xfId="23501"/>
    <cellStyle name="Normal 86 6 3" xfId="15204"/>
    <cellStyle name="Normal 86 7" xfId="19358"/>
    <cellStyle name="Normal 86 8" xfId="11061"/>
    <cellStyle name="Normal 87" xfId="1886"/>
    <cellStyle name="Normal 88" xfId="1887"/>
    <cellStyle name="Normal 89" xfId="1888"/>
    <cellStyle name="Normal 9" xfId="1889"/>
    <cellStyle name="Normal 9 10" xfId="19360"/>
    <cellStyle name="Normal 9 11" xfId="11063"/>
    <cellStyle name="Normal 9 2" xfId="1890"/>
    <cellStyle name="Normal 9 2 2" xfId="1891"/>
    <cellStyle name="Normal 9 2 2 2" xfId="3202"/>
    <cellStyle name="Normal 9 2 2 2 2" xfId="4248"/>
    <cellStyle name="Normal 9 2 2 2 2 2" xfId="6373"/>
    <cellStyle name="Normal 9 2 2 2 2 2 2" xfId="10529"/>
    <cellStyle name="Normal 9 2 2 2 2 2 2 2" xfId="27126"/>
    <cellStyle name="Normal 9 2 2 2 2 2 2 3" xfId="18829"/>
    <cellStyle name="Normal 9 2 2 2 2 2 3" xfId="22986"/>
    <cellStyle name="Normal 9 2 2 2 2 2 4" xfId="14689"/>
    <cellStyle name="Normal 9 2 2 2 2 3" xfId="8457"/>
    <cellStyle name="Normal 9 2 2 2 2 3 2" xfId="25054"/>
    <cellStyle name="Normal 9 2 2 2 2 3 3" xfId="16757"/>
    <cellStyle name="Normal 9 2 2 2 2 4" xfId="20914"/>
    <cellStyle name="Normal 9 2 2 2 2 5" xfId="12617"/>
    <cellStyle name="Normal 9 2 2 2 3" xfId="5339"/>
    <cellStyle name="Normal 9 2 2 2 3 2" xfId="9495"/>
    <cellStyle name="Normal 9 2 2 2 3 2 2" xfId="26092"/>
    <cellStyle name="Normal 9 2 2 2 3 2 3" xfId="17795"/>
    <cellStyle name="Normal 9 2 2 2 3 3" xfId="21952"/>
    <cellStyle name="Normal 9 2 2 2 3 4" xfId="13655"/>
    <cellStyle name="Normal 9 2 2 2 4" xfId="7423"/>
    <cellStyle name="Normal 9 2 2 2 4 2" xfId="24020"/>
    <cellStyle name="Normal 9 2 2 2 4 3" xfId="15723"/>
    <cellStyle name="Normal 9 2 2 2 5" xfId="19880"/>
    <cellStyle name="Normal 9 2 2 2 6" xfId="11583"/>
    <cellStyle name="Normal 9 2 2 3" xfId="3730"/>
    <cellStyle name="Normal 9 2 2 3 2" xfId="5858"/>
    <cellStyle name="Normal 9 2 2 3 2 2" xfId="10014"/>
    <cellStyle name="Normal 9 2 2 3 2 2 2" xfId="26611"/>
    <cellStyle name="Normal 9 2 2 3 2 2 3" xfId="18314"/>
    <cellStyle name="Normal 9 2 2 3 2 3" xfId="22471"/>
    <cellStyle name="Normal 9 2 2 3 2 4" xfId="14174"/>
    <cellStyle name="Normal 9 2 2 3 3" xfId="7942"/>
    <cellStyle name="Normal 9 2 2 3 3 2" xfId="24539"/>
    <cellStyle name="Normal 9 2 2 3 3 3" xfId="16242"/>
    <cellStyle name="Normal 9 2 2 3 4" xfId="20399"/>
    <cellStyle name="Normal 9 2 2 3 5" xfId="12102"/>
    <cellStyle name="Normal 9 2 2 4" xfId="4810"/>
    <cellStyle name="Normal 9 2 2 4 2" xfId="8978"/>
    <cellStyle name="Normal 9 2 2 4 2 2" xfId="25575"/>
    <cellStyle name="Normal 9 2 2 4 2 3" xfId="17278"/>
    <cellStyle name="Normal 9 2 2 4 3" xfId="21435"/>
    <cellStyle name="Normal 9 2 2 4 4" xfId="13138"/>
    <cellStyle name="Normal 9 2 2 5" xfId="6901"/>
    <cellStyle name="Normal 9 2 2 5 2" xfId="23505"/>
    <cellStyle name="Normal 9 2 2 5 3" xfId="15208"/>
    <cellStyle name="Normal 9 2 2 6" xfId="19362"/>
    <cellStyle name="Normal 9 2 2 7" xfId="11065"/>
    <cellStyle name="Normal 9 2 3" xfId="3201"/>
    <cellStyle name="Normal 9 2 3 2" xfId="4247"/>
    <cellStyle name="Normal 9 2 3 2 2" xfId="6372"/>
    <cellStyle name="Normal 9 2 3 2 2 2" xfId="10528"/>
    <cellStyle name="Normal 9 2 3 2 2 2 2" xfId="27125"/>
    <cellStyle name="Normal 9 2 3 2 2 2 3" xfId="18828"/>
    <cellStyle name="Normal 9 2 3 2 2 3" xfId="22985"/>
    <cellStyle name="Normal 9 2 3 2 2 4" xfId="14688"/>
    <cellStyle name="Normal 9 2 3 2 3" xfId="8456"/>
    <cellStyle name="Normal 9 2 3 2 3 2" xfId="25053"/>
    <cellStyle name="Normal 9 2 3 2 3 3" xfId="16756"/>
    <cellStyle name="Normal 9 2 3 2 4" xfId="20913"/>
    <cellStyle name="Normal 9 2 3 2 5" xfId="12616"/>
    <cellStyle name="Normal 9 2 3 3" xfId="5338"/>
    <cellStyle name="Normal 9 2 3 3 2" xfId="9494"/>
    <cellStyle name="Normal 9 2 3 3 2 2" xfId="26091"/>
    <cellStyle name="Normal 9 2 3 3 2 3" xfId="17794"/>
    <cellStyle name="Normal 9 2 3 3 3" xfId="21951"/>
    <cellStyle name="Normal 9 2 3 3 4" xfId="13654"/>
    <cellStyle name="Normal 9 2 3 4" xfId="7422"/>
    <cellStyle name="Normal 9 2 3 4 2" xfId="24019"/>
    <cellStyle name="Normal 9 2 3 4 3" xfId="15722"/>
    <cellStyle name="Normal 9 2 3 5" xfId="19879"/>
    <cellStyle name="Normal 9 2 3 6" xfId="11582"/>
    <cellStyle name="Normal 9 2 4" xfId="3729"/>
    <cellStyle name="Normal 9 2 4 2" xfId="5857"/>
    <cellStyle name="Normal 9 2 4 2 2" xfId="10013"/>
    <cellStyle name="Normal 9 2 4 2 2 2" xfId="26610"/>
    <cellStyle name="Normal 9 2 4 2 2 3" xfId="18313"/>
    <cellStyle name="Normal 9 2 4 2 3" xfId="22470"/>
    <cellStyle name="Normal 9 2 4 2 4" xfId="14173"/>
    <cellStyle name="Normal 9 2 4 3" xfId="7941"/>
    <cellStyle name="Normal 9 2 4 3 2" xfId="24538"/>
    <cellStyle name="Normal 9 2 4 3 3" xfId="16241"/>
    <cellStyle name="Normal 9 2 4 4" xfId="20398"/>
    <cellStyle name="Normal 9 2 4 5" xfId="12101"/>
    <cellStyle name="Normal 9 2 5" xfId="4809"/>
    <cellStyle name="Normal 9 2 5 2" xfId="8977"/>
    <cellStyle name="Normal 9 2 5 2 2" xfId="25574"/>
    <cellStyle name="Normal 9 2 5 2 3" xfId="17277"/>
    <cellStyle name="Normal 9 2 5 3" xfId="21434"/>
    <cellStyle name="Normal 9 2 5 4" xfId="13137"/>
    <cellStyle name="Normal 9 2 6" xfId="6900"/>
    <cellStyle name="Normal 9 2 6 2" xfId="23504"/>
    <cellStyle name="Normal 9 2 6 3" xfId="15207"/>
    <cellStyle name="Normal 9 2 7" xfId="19361"/>
    <cellStyle name="Normal 9 2 8" xfId="11064"/>
    <cellStyle name="Normal 9 3" xfId="1892"/>
    <cellStyle name="Normal 9 3 2" xfId="1893"/>
    <cellStyle name="Normal 9 3 2 2" xfId="3204"/>
    <cellStyle name="Normal 9 3 2 2 2" xfId="4250"/>
    <cellStyle name="Normal 9 3 2 2 2 2" xfId="6375"/>
    <cellStyle name="Normal 9 3 2 2 2 2 2" xfId="10531"/>
    <cellStyle name="Normal 9 3 2 2 2 2 2 2" xfId="27128"/>
    <cellStyle name="Normal 9 3 2 2 2 2 2 3" xfId="18831"/>
    <cellStyle name="Normal 9 3 2 2 2 2 3" xfId="22988"/>
    <cellStyle name="Normal 9 3 2 2 2 2 4" xfId="14691"/>
    <cellStyle name="Normal 9 3 2 2 2 3" xfId="8459"/>
    <cellStyle name="Normal 9 3 2 2 2 3 2" xfId="25056"/>
    <cellStyle name="Normal 9 3 2 2 2 3 3" xfId="16759"/>
    <cellStyle name="Normal 9 3 2 2 2 4" xfId="20916"/>
    <cellStyle name="Normal 9 3 2 2 2 5" xfId="12619"/>
    <cellStyle name="Normal 9 3 2 2 3" xfId="5341"/>
    <cellStyle name="Normal 9 3 2 2 3 2" xfId="9497"/>
    <cellStyle name="Normal 9 3 2 2 3 2 2" xfId="26094"/>
    <cellStyle name="Normal 9 3 2 2 3 2 3" xfId="17797"/>
    <cellStyle name="Normal 9 3 2 2 3 3" xfId="21954"/>
    <cellStyle name="Normal 9 3 2 2 3 4" xfId="13657"/>
    <cellStyle name="Normal 9 3 2 2 4" xfId="7425"/>
    <cellStyle name="Normal 9 3 2 2 4 2" xfId="24022"/>
    <cellStyle name="Normal 9 3 2 2 4 3" xfId="15725"/>
    <cellStyle name="Normal 9 3 2 2 5" xfId="19882"/>
    <cellStyle name="Normal 9 3 2 2 6" xfId="11585"/>
    <cellStyle name="Normal 9 3 2 3" xfId="3732"/>
    <cellStyle name="Normal 9 3 2 3 2" xfId="5860"/>
    <cellStyle name="Normal 9 3 2 3 2 2" xfId="10016"/>
    <cellStyle name="Normal 9 3 2 3 2 2 2" xfId="26613"/>
    <cellStyle name="Normal 9 3 2 3 2 2 3" xfId="18316"/>
    <cellStyle name="Normal 9 3 2 3 2 3" xfId="22473"/>
    <cellStyle name="Normal 9 3 2 3 2 4" xfId="14176"/>
    <cellStyle name="Normal 9 3 2 3 3" xfId="7944"/>
    <cellStyle name="Normal 9 3 2 3 3 2" xfId="24541"/>
    <cellStyle name="Normal 9 3 2 3 3 3" xfId="16244"/>
    <cellStyle name="Normal 9 3 2 3 4" xfId="20401"/>
    <cellStyle name="Normal 9 3 2 3 5" xfId="12104"/>
    <cellStyle name="Normal 9 3 2 4" xfId="4812"/>
    <cellStyle name="Normal 9 3 2 4 2" xfId="8980"/>
    <cellStyle name="Normal 9 3 2 4 2 2" xfId="25577"/>
    <cellStyle name="Normal 9 3 2 4 2 3" xfId="17280"/>
    <cellStyle name="Normal 9 3 2 4 3" xfId="21437"/>
    <cellStyle name="Normal 9 3 2 4 4" xfId="13140"/>
    <cellStyle name="Normal 9 3 2 5" xfId="6903"/>
    <cellStyle name="Normal 9 3 2 5 2" xfId="23507"/>
    <cellStyle name="Normal 9 3 2 5 3" xfId="15210"/>
    <cellStyle name="Normal 9 3 2 6" xfId="19364"/>
    <cellStyle name="Normal 9 3 2 7" xfId="11067"/>
    <cellStyle name="Normal 9 3 3" xfId="3203"/>
    <cellStyle name="Normal 9 3 3 2" xfId="4249"/>
    <cellStyle name="Normal 9 3 3 2 2" xfId="6374"/>
    <cellStyle name="Normal 9 3 3 2 2 2" xfId="10530"/>
    <cellStyle name="Normal 9 3 3 2 2 2 2" xfId="27127"/>
    <cellStyle name="Normal 9 3 3 2 2 2 3" xfId="18830"/>
    <cellStyle name="Normal 9 3 3 2 2 3" xfId="22987"/>
    <cellStyle name="Normal 9 3 3 2 2 4" xfId="14690"/>
    <cellStyle name="Normal 9 3 3 2 3" xfId="8458"/>
    <cellStyle name="Normal 9 3 3 2 3 2" xfId="25055"/>
    <cellStyle name="Normal 9 3 3 2 3 3" xfId="16758"/>
    <cellStyle name="Normal 9 3 3 2 4" xfId="20915"/>
    <cellStyle name="Normal 9 3 3 2 5" xfId="12618"/>
    <cellStyle name="Normal 9 3 3 3" xfId="5340"/>
    <cellStyle name="Normal 9 3 3 3 2" xfId="9496"/>
    <cellStyle name="Normal 9 3 3 3 2 2" xfId="26093"/>
    <cellStyle name="Normal 9 3 3 3 2 3" xfId="17796"/>
    <cellStyle name="Normal 9 3 3 3 3" xfId="21953"/>
    <cellStyle name="Normal 9 3 3 3 4" xfId="13656"/>
    <cellStyle name="Normal 9 3 3 4" xfId="7424"/>
    <cellStyle name="Normal 9 3 3 4 2" xfId="24021"/>
    <cellStyle name="Normal 9 3 3 4 3" xfId="15724"/>
    <cellStyle name="Normal 9 3 3 5" xfId="19881"/>
    <cellStyle name="Normal 9 3 3 6" xfId="11584"/>
    <cellStyle name="Normal 9 3 4" xfId="3731"/>
    <cellStyle name="Normal 9 3 4 2" xfId="5859"/>
    <cellStyle name="Normal 9 3 4 2 2" xfId="10015"/>
    <cellStyle name="Normal 9 3 4 2 2 2" xfId="26612"/>
    <cellStyle name="Normal 9 3 4 2 2 3" xfId="18315"/>
    <cellStyle name="Normal 9 3 4 2 3" xfId="22472"/>
    <cellStyle name="Normal 9 3 4 2 4" xfId="14175"/>
    <cellStyle name="Normal 9 3 4 3" xfId="7943"/>
    <cellStyle name="Normal 9 3 4 3 2" xfId="24540"/>
    <cellStyle name="Normal 9 3 4 3 3" xfId="16243"/>
    <cellStyle name="Normal 9 3 4 4" xfId="20400"/>
    <cellStyle name="Normal 9 3 4 5" xfId="12103"/>
    <cellStyle name="Normal 9 3 5" xfId="4811"/>
    <cellStyle name="Normal 9 3 5 2" xfId="8979"/>
    <cellStyle name="Normal 9 3 5 2 2" xfId="25576"/>
    <cellStyle name="Normal 9 3 5 2 3" xfId="17279"/>
    <cellStyle name="Normal 9 3 5 3" xfId="21436"/>
    <cellStyle name="Normal 9 3 5 4" xfId="13139"/>
    <cellStyle name="Normal 9 3 6" xfId="6902"/>
    <cellStyle name="Normal 9 3 6 2" xfId="23506"/>
    <cellStyle name="Normal 9 3 6 3" xfId="15209"/>
    <cellStyle name="Normal 9 3 7" xfId="19363"/>
    <cellStyle name="Normal 9 3 8" xfId="11066"/>
    <cellStyle name="Normal 9 4" xfId="1894"/>
    <cellStyle name="Normal 9 5" xfId="1895"/>
    <cellStyle name="Normal 9 5 2" xfId="3205"/>
    <cellStyle name="Normal 9 5 2 2" xfId="4251"/>
    <cellStyle name="Normal 9 5 2 2 2" xfId="6376"/>
    <cellStyle name="Normal 9 5 2 2 2 2" xfId="10532"/>
    <cellStyle name="Normal 9 5 2 2 2 2 2" xfId="27129"/>
    <cellStyle name="Normal 9 5 2 2 2 2 3" xfId="18832"/>
    <cellStyle name="Normal 9 5 2 2 2 3" xfId="22989"/>
    <cellStyle name="Normal 9 5 2 2 2 4" xfId="14692"/>
    <cellStyle name="Normal 9 5 2 2 3" xfId="8460"/>
    <cellStyle name="Normal 9 5 2 2 3 2" xfId="25057"/>
    <cellStyle name="Normal 9 5 2 2 3 3" xfId="16760"/>
    <cellStyle name="Normal 9 5 2 2 4" xfId="20917"/>
    <cellStyle name="Normal 9 5 2 2 5" xfId="12620"/>
    <cellStyle name="Normal 9 5 2 3" xfId="5342"/>
    <cellStyle name="Normal 9 5 2 3 2" xfId="9498"/>
    <cellStyle name="Normal 9 5 2 3 2 2" xfId="26095"/>
    <cellStyle name="Normal 9 5 2 3 2 3" xfId="17798"/>
    <cellStyle name="Normal 9 5 2 3 3" xfId="21955"/>
    <cellStyle name="Normal 9 5 2 3 4" xfId="13658"/>
    <cellStyle name="Normal 9 5 2 4" xfId="7426"/>
    <cellStyle name="Normal 9 5 2 4 2" xfId="24023"/>
    <cellStyle name="Normal 9 5 2 4 3" xfId="15726"/>
    <cellStyle name="Normal 9 5 2 5" xfId="19883"/>
    <cellStyle name="Normal 9 5 2 6" xfId="11586"/>
    <cellStyle name="Normal 9 5 3" xfId="3733"/>
    <cellStyle name="Normal 9 5 3 2" xfId="5861"/>
    <cellStyle name="Normal 9 5 3 2 2" xfId="10017"/>
    <cellStyle name="Normal 9 5 3 2 2 2" xfId="26614"/>
    <cellStyle name="Normal 9 5 3 2 2 3" xfId="18317"/>
    <cellStyle name="Normal 9 5 3 2 3" xfId="22474"/>
    <cellStyle name="Normal 9 5 3 2 4" xfId="14177"/>
    <cellStyle name="Normal 9 5 3 3" xfId="7945"/>
    <cellStyle name="Normal 9 5 3 3 2" xfId="24542"/>
    <cellStyle name="Normal 9 5 3 3 3" xfId="16245"/>
    <cellStyle name="Normal 9 5 3 4" xfId="20402"/>
    <cellStyle name="Normal 9 5 3 5" xfId="12105"/>
    <cellStyle name="Normal 9 5 4" xfId="4813"/>
    <cellStyle name="Normal 9 5 4 2" xfId="8981"/>
    <cellStyle name="Normal 9 5 4 2 2" xfId="25578"/>
    <cellStyle name="Normal 9 5 4 2 3" xfId="17281"/>
    <cellStyle name="Normal 9 5 4 3" xfId="21438"/>
    <cellStyle name="Normal 9 5 4 4" xfId="13141"/>
    <cellStyle name="Normal 9 5 5" xfId="6904"/>
    <cellStyle name="Normal 9 5 5 2" xfId="23508"/>
    <cellStyle name="Normal 9 5 5 3" xfId="15211"/>
    <cellStyle name="Normal 9 5 6" xfId="19365"/>
    <cellStyle name="Normal 9 5 7" xfId="11068"/>
    <cellStyle name="Normal 9 6" xfId="3200"/>
    <cellStyle name="Normal 9 6 2" xfId="4246"/>
    <cellStyle name="Normal 9 6 2 2" xfId="6371"/>
    <cellStyle name="Normal 9 6 2 2 2" xfId="10527"/>
    <cellStyle name="Normal 9 6 2 2 2 2" xfId="27124"/>
    <cellStyle name="Normal 9 6 2 2 2 3" xfId="18827"/>
    <cellStyle name="Normal 9 6 2 2 3" xfId="22984"/>
    <cellStyle name="Normal 9 6 2 2 4" xfId="14687"/>
    <cellStyle name="Normal 9 6 2 3" xfId="8455"/>
    <cellStyle name="Normal 9 6 2 3 2" xfId="25052"/>
    <cellStyle name="Normal 9 6 2 3 3" xfId="16755"/>
    <cellStyle name="Normal 9 6 2 4" xfId="20912"/>
    <cellStyle name="Normal 9 6 2 5" xfId="12615"/>
    <cellStyle name="Normal 9 6 3" xfId="5337"/>
    <cellStyle name="Normal 9 6 3 2" xfId="9493"/>
    <cellStyle name="Normal 9 6 3 2 2" xfId="26090"/>
    <cellStyle name="Normal 9 6 3 2 3" xfId="17793"/>
    <cellStyle name="Normal 9 6 3 3" xfId="21950"/>
    <cellStyle name="Normal 9 6 3 4" xfId="13653"/>
    <cellStyle name="Normal 9 6 4" xfId="7421"/>
    <cellStyle name="Normal 9 6 4 2" xfId="24018"/>
    <cellStyle name="Normal 9 6 4 3" xfId="15721"/>
    <cellStyle name="Normal 9 6 5" xfId="19878"/>
    <cellStyle name="Normal 9 6 6" xfId="11581"/>
    <cellStyle name="Normal 9 7" xfId="3728"/>
    <cellStyle name="Normal 9 7 2" xfId="5856"/>
    <cellStyle name="Normal 9 7 2 2" xfId="10012"/>
    <cellStyle name="Normal 9 7 2 2 2" xfId="26609"/>
    <cellStyle name="Normal 9 7 2 2 3" xfId="18312"/>
    <cellStyle name="Normal 9 7 2 3" xfId="22469"/>
    <cellStyle name="Normal 9 7 2 4" xfId="14172"/>
    <cellStyle name="Normal 9 7 3" xfId="7940"/>
    <cellStyle name="Normal 9 7 3 2" xfId="24537"/>
    <cellStyle name="Normal 9 7 3 3" xfId="16240"/>
    <cellStyle name="Normal 9 7 4" xfId="20397"/>
    <cellStyle name="Normal 9 7 5" xfId="12100"/>
    <cellStyle name="Normal 9 8" xfId="4808"/>
    <cellStyle name="Normal 9 8 2" xfId="8976"/>
    <cellStyle name="Normal 9 8 2 2" xfId="25573"/>
    <cellStyle name="Normal 9 8 2 3" xfId="17276"/>
    <cellStyle name="Normal 9 8 3" xfId="21433"/>
    <cellStyle name="Normal 9 8 4" xfId="13136"/>
    <cellStyle name="Normal 9 9" xfId="6899"/>
    <cellStyle name="Normal 9 9 2" xfId="23503"/>
    <cellStyle name="Normal 9 9 3" xfId="15206"/>
    <cellStyle name="Normal 90" xfId="1896"/>
    <cellStyle name="Normal 90 2" xfId="1897"/>
    <cellStyle name="Normal 91" xfId="1898"/>
    <cellStyle name="Normal 92" xfId="1899"/>
    <cellStyle name="Normal 93" xfId="1900"/>
    <cellStyle name="Normal 94" xfId="1901"/>
    <cellStyle name="Normal 95" xfId="1902"/>
    <cellStyle name="Normal 96" xfId="1903"/>
    <cellStyle name="Normal 97" xfId="1904"/>
    <cellStyle name="Normal 97 2" xfId="1905"/>
    <cellStyle name="Normal 98" xfId="1906"/>
    <cellStyle name="Normal 99" xfId="1907"/>
    <cellStyle name="Normal 99 2" xfId="3206"/>
    <cellStyle name="Normal 99 2 2" xfId="4252"/>
    <cellStyle name="Normal 99 2 2 2" xfId="6377"/>
    <cellStyle name="Normal 99 2 2 2 2" xfId="10533"/>
    <cellStyle name="Normal 99 2 2 2 2 2" xfId="27130"/>
    <cellStyle name="Normal 99 2 2 2 2 3" xfId="18833"/>
    <cellStyle name="Normal 99 2 2 2 3" xfId="22990"/>
    <cellStyle name="Normal 99 2 2 2 4" xfId="14693"/>
    <cellStyle name="Normal 99 2 2 3" xfId="8461"/>
    <cellStyle name="Normal 99 2 2 3 2" xfId="25058"/>
    <cellStyle name="Normal 99 2 2 3 3" xfId="16761"/>
    <cellStyle name="Normal 99 2 2 4" xfId="20918"/>
    <cellStyle name="Normal 99 2 2 5" xfId="12621"/>
    <cellStyle name="Normal 99 2 3" xfId="5343"/>
    <cellStyle name="Normal 99 2 3 2" xfId="9499"/>
    <cellStyle name="Normal 99 2 3 2 2" xfId="26096"/>
    <cellStyle name="Normal 99 2 3 2 3" xfId="17799"/>
    <cellStyle name="Normal 99 2 3 3" xfId="21956"/>
    <cellStyle name="Normal 99 2 3 4" xfId="13659"/>
    <cellStyle name="Normal 99 2 4" xfId="7427"/>
    <cellStyle name="Normal 99 2 4 2" xfId="24024"/>
    <cellStyle name="Normal 99 2 4 3" xfId="15727"/>
    <cellStyle name="Normal 99 2 5" xfId="19884"/>
    <cellStyle name="Normal 99 2 6" xfId="11587"/>
    <cellStyle name="Normal 99 3" xfId="3734"/>
    <cellStyle name="Normal 99 3 2" xfId="5862"/>
    <cellStyle name="Normal 99 3 2 2" xfId="10018"/>
    <cellStyle name="Normal 99 3 2 2 2" xfId="26615"/>
    <cellStyle name="Normal 99 3 2 2 3" xfId="18318"/>
    <cellStyle name="Normal 99 3 2 3" xfId="22475"/>
    <cellStyle name="Normal 99 3 2 4" xfId="14178"/>
    <cellStyle name="Normal 99 3 3" xfId="7946"/>
    <cellStyle name="Normal 99 3 3 2" xfId="24543"/>
    <cellStyle name="Normal 99 3 3 3" xfId="16246"/>
    <cellStyle name="Normal 99 3 4" xfId="20403"/>
    <cellStyle name="Normal 99 3 5" xfId="12106"/>
    <cellStyle name="Normal 99 4" xfId="4814"/>
    <cellStyle name="Normal 99 4 2" xfId="8982"/>
    <cellStyle name="Normal 99 4 2 2" xfId="25579"/>
    <cellStyle name="Normal 99 4 2 3" xfId="17282"/>
    <cellStyle name="Normal 99 4 3" xfId="21439"/>
    <cellStyle name="Normal 99 4 4" xfId="13142"/>
    <cellStyle name="Normal 99 5" xfId="6905"/>
    <cellStyle name="Normal 99 5 2" xfId="23509"/>
    <cellStyle name="Normal 99 5 3" xfId="15212"/>
    <cellStyle name="Normal 99 6" xfId="19366"/>
    <cellStyle name="Normal 99 7" xfId="11069"/>
    <cellStyle name="Normal Bold" xfId="1908"/>
    <cellStyle name="Normal Total" xfId="1909"/>
    <cellStyle name="Normal_LAEP Valuation2 (2)" xfId="1910"/>
    <cellStyle name="Normal_Localiza 78" xfId="1911"/>
    <cellStyle name="Normal_NEW MODEL v2b" xfId="1912"/>
    <cellStyle name="Normal_WORKING prjget2007_new" xfId="10550"/>
    <cellStyle name="Normal1dec" xfId="1913"/>
    <cellStyle name="Normale_Pipeline Summary" xfId="1914"/>
    <cellStyle name="NormalHelv" xfId="1915"/>
    <cellStyle name="NormalItalic" xfId="1916"/>
    <cellStyle name="NormalItalic 2" xfId="1917"/>
    <cellStyle name="Normalny_Ferrum . Valuation . CA IB . 8" xfId="1918"/>
    <cellStyle name="Nota" xfId="1919"/>
    <cellStyle name="Note" xfId="1920" builtinId="10" customBuiltin="1"/>
    <cellStyle name="Note 2" xfId="1921"/>
    <cellStyle name="Note 3" xfId="1922"/>
    <cellStyle name="Note 3 2" xfId="1923"/>
    <cellStyle name="Note 3 2 2" xfId="1924"/>
    <cellStyle name="Note 3 3" xfId="1925"/>
    <cellStyle name="Note 4" xfId="1926"/>
    <cellStyle name="Note 5" xfId="4815"/>
    <cellStyle name="number" xfId="1927"/>
    <cellStyle name="Numbers" xfId="1928"/>
    <cellStyle name="Numbers Bold" xfId="1929"/>
    <cellStyle name="Numbers Bold (0)" xfId="1930"/>
    <cellStyle name="Numbers Bold (no point)" xfId="1931"/>
    <cellStyle name="Numbers Light" xfId="1932"/>
    <cellStyle name="Œ…‹æØ‚è [0.00]_COMPANY" xfId="1933"/>
    <cellStyle name="Œ…‹æØ‚è_COMPANY" xfId="1934"/>
    <cellStyle name="Onedec" xfId="1935"/>
    <cellStyle name="OneDecimal" xfId="1936"/>
    <cellStyle name="OSW_TableText" xfId="1937"/>
    <cellStyle name="Other%" xfId="1938"/>
    <cellStyle name="Out_range" xfId="1939"/>
    <cellStyle name="outh America" xfId="1940"/>
    <cellStyle name="Output" xfId="1941" builtinId="21" customBuiltin="1"/>
    <cellStyle name="Output %" xfId="1942"/>
    <cellStyle name="Output % 1dec" xfId="1943"/>
    <cellStyle name="Output 10" xfId="1944"/>
    <cellStyle name="Output 11" xfId="1945"/>
    <cellStyle name="Output 12" xfId="1946"/>
    <cellStyle name="Output 13" xfId="1947"/>
    <cellStyle name="Output 14" xfId="1948"/>
    <cellStyle name="Output 15" xfId="4816"/>
    <cellStyle name="Output 2" xfId="1949"/>
    <cellStyle name="Output 3" xfId="1950"/>
    <cellStyle name="Output 3 2" xfId="1951"/>
    <cellStyle name="Output 4" xfId="1952"/>
    <cellStyle name="Output 5" xfId="1953"/>
    <cellStyle name="Output 6" xfId="1954"/>
    <cellStyle name="Output 7" xfId="1955"/>
    <cellStyle name="Output 8" xfId="1956"/>
    <cellStyle name="Output 9" xfId="1957"/>
    <cellStyle name="Output bold" xfId="1958"/>
    <cellStyle name="Output Number" xfId="1959"/>
    <cellStyle name="Output Number CC" xfId="1960"/>
    <cellStyle name="p " xfId="1961"/>
    <cellStyle name="P&amp;L Numbers" xfId="1962"/>
    <cellStyle name="P&amp;L Numbers 2" xfId="1963"/>
    <cellStyle name="Page Head" xfId="1964"/>
    <cellStyle name="Page Heading" xfId="1965"/>
    <cellStyle name="Page Heading Large" xfId="1966"/>
    <cellStyle name="Page Heading Small" xfId="1967"/>
    <cellStyle name="Page Heading_AESA_WIP_ANAtest" xfId="1968"/>
    <cellStyle name="Pass" xfId="1969"/>
    <cellStyle name="pc1" xfId="1970"/>
    <cellStyle name="pc1 2" xfId="1971"/>
    <cellStyle name="pc1 2 2" xfId="1972"/>
    <cellStyle name="pcent" xfId="1973"/>
    <cellStyle name="pcent 2" xfId="1974"/>
    <cellStyle name="pcent 2 2" xfId="1975"/>
    <cellStyle name="pct_sub" xfId="1976"/>
    <cellStyle name="Percent" xfId="1977" builtinId="5"/>
    <cellStyle name="Percent (0)" xfId="1978"/>
    <cellStyle name="Percent (0) 2" xfId="1979"/>
    <cellStyle name="Percent (1)" xfId="1980"/>
    <cellStyle name="Percent (1) 2" xfId="1981"/>
    <cellStyle name="Percent [0%]" xfId="1982"/>
    <cellStyle name="Percent [0%] 2" xfId="1983"/>
    <cellStyle name="Percent [0.00%]" xfId="1984"/>
    <cellStyle name="Percent [0.00%] 2" xfId="1985"/>
    <cellStyle name="Percent [0]" xfId="1986"/>
    <cellStyle name="Percent [0] 2" xfId="1987"/>
    <cellStyle name="Percent [0] 2 2" xfId="1988"/>
    <cellStyle name="Percent [1]" xfId="1989"/>
    <cellStyle name="Percent [1] 2" xfId="1990"/>
    <cellStyle name="Percent [2]" xfId="1991"/>
    <cellStyle name="Percent [2] 2" xfId="1992"/>
    <cellStyle name="Percent [2] 2 2" xfId="1993"/>
    <cellStyle name="Percent 1" xfId="1994"/>
    <cellStyle name="Percent 1 2" xfId="1995"/>
    <cellStyle name="Percent 10" xfId="1996"/>
    <cellStyle name="Percent 10 2" xfId="1997"/>
    <cellStyle name="Percent 11" xfId="1998"/>
    <cellStyle name="Percent 11 2" xfId="1999"/>
    <cellStyle name="Percent 12" xfId="2000"/>
    <cellStyle name="Percent 12 2" xfId="2001"/>
    <cellStyle name="Percent 13" xfId="2002"/>
    <cellStyle name="Percent 13 2" xfId="2003"/>
    <cellStyle name="Percent 14" xfId="2004"/>
    <cellStyle name="Percent 14 2" xfId="2005"/>
    <cellStyle name="Percent 15" xfId="2006"/>
    <cellStyle name="Percent 15 2" xfId="2007"/>
    <cellStyle name="Percent 16" xfId="2008"/>
    <cellStyle name="Percent 16 2" xfId="2009"/>
    <cellStyle name="Percent 17" xfId="2010"/>
    <cellStyle name="Percent 17 2" xfId="2011"/>
    <cellStyle name="Percent 18" xfId="2012"/>
    <cellStyle name="Percent 18 2" xfId="2013"/>
    <cellStyle name="Percent 19" xfId="2014"/>
    <cellStyle name="Percent 19 2" xfId="2015"/>
    <cellStyle name="Percent 2" xfId="2016"/>
    <cellStyle name="Percent 2 2" xfId="2017"/>
    <cellStyle name="Percent 2 2 2" xfId="2018"/>
    <cellStyle name="Percent 2 2 2 2" xfId="2019"/>
    <cellStyle name="Percent 2 2 2 2 2" xfId="2020"/>
    <cellStyle name="Percent 2 2 2 3" xfId="2021"/>
    <cellStyle name="Percent 2 2 3" xfId="2022"/>
    <cellStyle name="Percent 2 2 3 2" xfId="2023"/>
    <cellStyle name="Percent 2 2 3 2 2" xfId="2024"/>
    <cellStyle name="Percent 2 2 3 3" xfId="2025"/>
    <cellStyle name="Percent 2 2 4" xfId="2026"/>
    <cellStyle name="Percent 2 2 4 2" xfId="2027"/>
    <cellStyle name="Percent 2 2 5" xfId="2028"/>
    <cellStyle name="Percent 2 3" xfId="2029"/>
    <cellStyle name="Percent 20" xfId="2030"/>
    <cellStyle name="Percent 20 2" xfId="2031"/>
    <cellStyle name="Percent 21" xfId="2032"/>
    <cellStyle name="Percent 21 2" xfId="2033"/>
    <cellStyle name="Percent 22" xfId="2034"/>
    <cellStyle name="Percent 22 2" xfId="2035"/>
    <cellStyle name="Percent 23" xfId="2036"/>
    <cellStyle name="Percent 23 2" xfId="2037"/>
    <cellStyle name="Percent 23 2 2" xfId="2038"/>
    <cellStyle name="Percent 23 2 2 2" xfId="2039"/>
    <cellStyle name="Percent 23 2 3" xfId="2040"/>
    <cellStyle name="Percent 23 3" xfId="2041"/>
    <cellStyle name="Percent 23 3 2" xfId="2042"/>
    <cellStyle name="Percent 23 3 2 2" xfId="2043"/>
    <cellStyle name="Percent 23 3 3" xfId="2044"/>
    <cellStyle name="Percent 23 4" xfId="2045"/>
    <cellStyle name="Percent 23 4 2" xfId="2046"/>
    <cellStyle name="Percent 23 5" xfId="2047"/>
    <cellStyle name="Percent 24" xfId="2048"/>
    <cellStyle name="Percent 25" xfId="2049"/>
    <cellStyle name="Percent 25 2" xfId="2050"/>
    <cellStyle name="Percent 25 2 2" xfId="2051"/>
    <cellStyle name="Percent 25 3" xfId="2052"/>
    <cellStyle name="Percent 25 4" xfId="3213"/>
    <cellStyle name="Percent 25 4 2" xfId="4255"/>
    <cellStyle name="Percent 25 4 2 2" xfId="6380"/>
    <cellStyle name="Percent 25 4 2 2 2" xfId="10536"/>
    <cellStyle name="Percent 25 4 2 2 2 2" xfId="27133"/>
    <cellStyle name="Percent 25 4 2 2 2 3" xfId="18836"/>
    <cellStyle name="Percent 25 4 2 2 3" xfId="22993"/>
    <cellStyle name="Percent 25 4 2 2 4" xfId="14696"/>
    <cellStyle name="Percent 25 4 2 3" xfId="8464"/>
    <cellStyle name="Percent 25 4 2 3 2" xfId="25061"/>
    <cellStyle name="Percent 25 4 2 3 3" xfId="16764"/>
    <cellStyle name="Percent 25 4 2 4" xfId="20921"/>
    <cellStyle name="Percent 25 4 2 5" xfId="12624"/>
    <cellStyle name="Percent 25 4 3" xfId="5346"/>
    <cellStyle name="Percent 25 4 3 2" xfId="9502"/>
    <cellStyle name="Percent 25 4 3 2 2" xfId="26099"/>
    <cellStyle name="Percent 25 4 3 2 3" xfId="17802"/>
    <cellStyle name="Percent 25 4 3 3" xfId="21959"/>
    <cellStyle name="Percent 25 4 3 4" xfId="13662"/>
    <cellStyle name="Percent 25 4 4" xfId="7430"/>
    <cellStyle name="Percent 25 4 4 2" xfId="24027"/>
    <cellStyle name="Percent 25 4 4 3" xfId="15730"/>
    <cellStyle name="Percent 25 4 5" xfId="19887"/>
    <cellStyle name="Percent 25 4 6" xfId="11590"/>
    <cellStyle name="Percent 26" xfId="2053"/>
    <cellStyle name="Percent 27" xfId="2054"/>
    <cellStyle name="Percent 27 2" xfId="2055"/>
    <cellStyle name="Percent 28" xfId="2056"/>
    <cellStyle name="Percent 28 2" xfId="2057"/>
    <cellStyle name="Percent 29" xfId="2058"/>
    <cellStyle name="Percent 29 2" xfId="2059"/>
    <cellStyle name="Percent 3" xfId="2060"/>
    <cellStyle name="Percent 3 2" xfId="2061"/>
    <cellStyle name="Percent 30" xfId="2062"/>
    <cellStyle name="Percent 30 2" xfId="2063"/>
    <cellStyle name="Percent 31" xfId="2064"/>
    <cellStyle name="Percent 31 2" xfId="2065"/>
    <cellStyle name="Percent 32" xfId="2066"/>
    <cellStyle name="Percent 32 2" xfId="2067"/>
    <cellStyle name="Percent 33" xfId="2068"/>
    <cellStyle name="Percent 33 2" xfId="2069"/>
    <cellStyle name="Percent 34" xfId="2070"/>
    <cellStyle name="Percent 34 2" xfId="2071"/>
    <cellStyle name="Percent 35" xfId="2072"/>
    <cellStyle name="Percent 35 2" xfId="2073"/>
    <cellStyle name="Percent 36" xfId="2074"/>
    <cellStyle name="Percent 36 2" xfId="2075"/>
    <cellStyle name="Percent 37" xfId="2076"/>
    <cellStyle name="Percent 37 2" xfId="2077"/>
    <cellStyle name="Percent 38" xfId="2078"/>
    <cellStyle name="Percent 38 2" xfId="2079"/>
    <cellStyle name="Percent 39" xfId="2080"/>
    <cellStyle name="Percent 39 2" xfId="2081"/>
    <cellStyle name="Percent 4" xfId="2082"/>
    <cellStyle name="Percent 4 2" xfId="2083"/>
    <cellStyle name="Percent 40" xfId="2084"/>
    <cellStyle name="Percent 40 2" xfId="2085"/>
    <cellStyle name="Percent 41" xfId="2086"/>
    <cellStyle name="Percent 41 2" xfId="2087"/>
    <cellStyle name="Percent 42" xfId="2088"/>
    <cellStyle name="Percent 42 2" xfId="2089"/>
    <cellStyle name="Percent 43" xfId="2090"/>
    <cellStyle name="Percent 43 2" xfId="2091"/>
    <cellStyle name="Percent 44" xfId="2092"/>
    <cellStyle name="Percent 44 2" xfId="2093"/>
    <cellStyle name="Percent 45" xfId="2094"/>
    <cellStyle name="Percent 45 2" xfId="2095"/>
    <cellStyle name="Percent 46" xfId="2096"/>
    <cellStyle name="Percent 46 2" xfId="2097"/>
    <cellStyle name="Percent 47" xfId="2098"/>
    <cellStyle name="Percent 47 2" xfId="2099"/>
    <cellStyle name="Percent 48" xfId="2100"/>
    <cellStyle name="Percent 48 2" xfId="2101"/>
    <cellStyle name="Percent 49" xfId="2102"/>
    <cellStyle name="Percent 49 2" xfId="2103"/>
    <cellStyle name="Percent 5" xfId="2104"/>
    <cellStyle name="Percent 5 2" xfId="2105"/>
    <cellStyle name="Percent 5 2 2" xfId="2106"/>
    <cellStyle name="Percent 5 2 2 2" xfId="2107"/>
    <cellStyle name="Percent 5 2 3" xfId="2108"/>
    <cellStyle name="Percent 5 3" xfId="2109"/>
    <cellStyle name="Percent 5 3 2" xfId="2110"/>
    <cellStyle name="Percent 5 3 2 2" xfId="2111"/>
    <cellStyle name="Percent 5 3 3" xfId="2112"/>
    <cellStyle name="Percent 5 4" xfId="2113"/>
    <cellStyle name="Percent 5 4 2" xfId="2114"/>
    <cellStyle name="Percent 5 4 2 2" xfId="2115"/>
    <cellStyle name="Percent 5 4 3" xfId="2116"/>
    <cellStyle name="Percent 5 4 4" xfId="3214"/>
    <cellStyle name="Percent 5 4 4 2" xfId="4256"/>
    <cellStyle name="Percent 5 4 4 2 2" xfId="6381"/>
    <cellStyle name="Percent 5 4 4 2 2 2" xfId="10537"/>
    <cellStyle name="Percent 5 4 4 2 2 2 2" xfId="27134"/>
    <cellStyle name="Percent 5 4 4 2 2 2 3" xfId="18837"/>
    <cellStyle name="Percent 5 4 4 2 2 3" xfId="22994"/>
    <cellStyle name="Percent 5 4 4 2 2 4" xfId="14697"/>
    <cellStyle name="Percent 5 4 4 2 3" xfId="8465"/>
    <cellStyle name="Percent 5 4 4 2 3 2" xfId="25062"/>
    <cellStyle name="Percent 5 4 4 2 3 3" xfId="16765"/>
    <cellStyle name="Percent 5 4 4 2 4" xfId="20922"/>
    <cellStyle name="Percent 5 4 4 2 5" xfId="12625"/>
    <cellStyle name="Percent 5 4 4 3" xfId="5347"/>
    <cellStyle name="Percent 5 4 4 3 2" xfId="9503"/>
    <cellStyle name="Percent 5 4 4 3 2 2" xfId="26100"/>
    <cellStyle name="Percent 5 4 4 3 2 3" xfId="17803"/>
    <cellStyle name="Percent 5 4 4 3 3" xfId="21960"/>
    <cellStyle name="Percent 5 4 4 3 4" xfId="13663"/>
    <cellStyle name="Percent 5 4 4 4" xfId="7431"/>
    <cellStyle name="Percent 5 4 4 4 2" xfId="24028"/>
    <cellStyle name="Percent 5 4 4 4 3" xfId="15731"/>
    <cellStyle name="Percent 5 4 4 5" xfId="19888"/>
    <cellStyle name="Percent 5 4 4 6" xfId="11591"/>
    <cellStyle name="Percent 5 5" xfId="2117"/>
    <cellStyle name="Percent 5 5 2" xfId="2118"/>
    <cellStyle name="Percent 5 6" xfId="2119"/>
    <cellStyle name="Percent 50" xfId="2120"/>
    <cellStyle name="Percent 50 2" xfId="2121"/>
    <cellStyle name="Percent 51" xfId="2122"/>
    <cellStyle name="Percent 51 2" xfId="2123"/>
    <cellStyle name="Percent 52" xfId="2124"/>
    <cellStyle name="Percent 52 2" xfId="2125"/>
    <cellStyle name="Percent 53" xfId="2126"/>
    <cellStyle name="Percent 53 2" xfId="2127"/>
    <cellStyle name="Percent 54" xfId="2128"/>
    <cellStyle name="Percent 54 2" xfId="2129"/>
    <cellStyle name="Percent 55" xfId="2130"/>
    <cellStyle name="Percent 55 2" xfId="2131"/>
    <cellStyle name="Percent 56" xfId="2132"/>
    <cellStyle name="Percent 56 2" xfId="2133"/>
    <cellStyle name="Percent 57" xfId="2134"/>
    <cellStyle name="Percent 57 2" xfId="2135"/>
    <cellStyle name="Percent 58" xfId="2136"/>
    <cellStyle name="Percent 58 2" xfId="2137"/>
    <cellStyle name="Percent 59" xfId="2138"/>
    <cellStyle name="Percent 59 2" xfId="2139"/>
    <cellStyle name="Percent 6" xfId="2140"/>
    <cellStyle name="Percent 6 2" xfId="2141"/>
    <cellStyle name="Percent 60" xfId="2142"/>
    <cellStyle name="Percent 60 2" xfId="2143"/>
    <cellStyle name="Percent 61" xfId="2144"/>
    <cellStyle name="Percent 61 2" xfId="2145"/>
    <cellStyle name="Percent 62" xfId="2146"/>
    <cellStyle name="Percent 62 2" xfId="2147"/>
    <cellStyle name="Percent 63" xfId="2148"/>
    <cellStyle name="Percent 63 2" xfId="2149"/>
    <cellStyle name="Percent 64" xfId="2150"/>
    <cellStyle name="Percent 64 2" xfId="2151"/>
    <cellStyle name="Percent 65" xfId="2152"/>
    <cellStyle name="Percent 65 2" xfId="2153"/>
    <cellStyle name="Percent 66" xfId="2154"/>
    <cellStyle name="Percent 66 2" xfId="2155"/>
    <cellStyle name="Percent 67" xfId="2156"/>
    <cellStyle name="Percent 67 2" xfId="2157"/>
    <cellStyle name="Percent 68" xfId="2158"/>
    <cellStyle name="Percent 68 2" xfId="2159"/>
    <cellStyle name="Percent 69" xfId="2160"/>
    <cellStyle name="Percent 69 2" xfId="2161"/>
    <cellStyle name="Percent 7" xfId="2162"/>
    <cellStyle name="Percent 7 2" xfId="2163"/>
    <cellStyle name="Percent 70" xfId="2164"/>
    <cellStyle name="Percent 70 2" xfId="2165"/>
    <cellStyle name="Percent 71" xfId="2166"/>
    <cellStyle name="Percent 71 2" xfId="2167"/>
    <cellStyle name="Percent 72" xfId="2168"/>
    <cellStyle name="Percent 72 2" xfId="2169"/>
    <cellStyle name="Percent 73" xfId="2170"/>
    <cellStyle name="Percent 73 2" xfId="2171"/>
    <cellStyle name="Percent 74" xfId="2172"/>
    <cellStyle name="Percent 74 2" xfId="2173"/>
    <cellStyle name="Percent 75" xfId="4817"/>
    <cellStyle name="Percent 76" xfId="4258"/>
    <cellStyle name="Percent 76 2" xfId="8467"/>
    <cellStyle name="Percent 76 2 2" xfId="25064"/>
    <cellStyle name="Percent 76 2 3" xfId="16767"/>
    <cellStyle name="Percent 76 3" xfId="20924"/>
    <cellStyle name="Percent 76 4" xfId="12627"/>
    <cellStyle name="Percent 77" xfId="4827"/>
    <cellStyle name="Percent 77 2" xfId="8983"/>
    <cellStyle name="Percent 77 2 2" xfId="25580"/>
    <cellStyle name="Percent 77 2 3" xfId="17283"/>
    <cellStyle name="Percent 77 3" xfId="21440"/>
    <cellStyle name="Percent 77 4" xfId="13143"/>
    <cellStyle name="Percent 78" xfId="10546"/>
    <cellStyle name="Percent 78 2" xfId="27140"/>
    <cellStyle name="Percent 78 3" xfId="18843"/>
    <cellStyle name="Percent 8" xfId="2174"/>
    <cellStyle name="Percent 8 2" xfId="2175"/>
    <cellStyle name="Percent 9" xfId="2176"/>
    <cellStyle name="Percent 9 2" xfId="2177"/>
    <cellStyle name="Percent Change" xfId="2178"/>
    <cellStyle name="Percent Comma" xfId="2179"/>
    <cellStyle name="Percent Comma 2" xfId="2180"/>
    <cellStyle name="Percent Hard" xfId="2181"/>
    <cellStyle name="Percent total" xfId="2182"/>
    <cellStyle name="Percent(1)" xfId="2183"/>
    <cellStyle name="Percent(1) 2" xfId="2184"/>
    <cellStyle name="Percent.0" xfId="2185"/>
    <cellStyle name="Percent.1" xfId="2186"/>
    <cellStyle name="Percent.whole" xfId="2187"/>
    <cellStyle name="Percent[1]" xfId="2188"/>
    <cellStyle name="Percent0" xfId="2189"/>
    <cellStyle name="Percent1" xfId="2190"/>
    <cellStyle name="Percent1 2" xfId="2191"/>
    <cellStyle name="Percent2" xfId="2192"/>
    <cellStyle name="percentage" xfId="2193"/>
    <cellStyle name="percentage 2" xfId="2194"/>
    <cellStyle name="Percent-Input" xfId="2195"/>
    <cellStyle name="PercentPresentation" xfId="2196"/>
    <cellStyle name="Percent-whole" xfId="2197"/>
    <cellStyle name="Percent-whole 2" xfId="2198"/>
    <cellStyle name="Perlong" xfId="2199"/>
    <cellStyle name="Plain0Decimals" xfId="2200"/>
    <cellStyle name="PlainDollar" xfId="2201"/>
    <cellStyle name="PlainDollar 2" xfId="2202"/>
    <cellStyle name="POPS" xfId="2203"/>
    <cellStyle name="Porcentagem 2" xfId="2204"/>
    <cellStyle name="Porcentagem 2 10" xfId="2205"/>
    <cellStyle name="Porcentagem 2 10 2" xfId="2206"/>
    <cellStyle name="Porcentagem 2 11" xfId="2207"/>
    <cellStyle name="Porcentagem 2 12" xfId="2208"/>
    <cellStyle name="Porcentagem 2 12 2" xfId="2209"/>
    <cellStyle name="Porcentagem 2 2" xfId="2210"/>
    <cellStyle name="Porcentagem 2 2 2" xfId="2211"/>
    <cellStyle name="Porcentagem 2 3" xfId="2212"/>
    <cellStyle name="Porcentagem 2 3 2" xfId="2213"/>
    <cellStyle name="Porcentagem 2 4" xfId="2214"/>
    <cellStyle name="Porcentagem 2 4 2" xfId="2215"/>
    <cellStyle name="Porcentagem 2 5" xfId="2216"/>
    <cellStyle name="Porcentagem 2 5 2" xfId="2217"/>
    <cellStyle name="Porcentagem 2 6" xfId="2218"/>
    <cellStyle name="Porcentagem 2 6 2" xfId="2219"/>
    <cellStyle name="Porcentagem 2 7" xfId="2220"/>
    <cellStyle name="Porcentagem 2 7 2" xfId="2221"/>
    <cellStyle name="Porcentagem 2 8" xfId="2222"/>
    <cellStyle name="Porcentagem 2 8 2" xfId="2223"/>
    <cellStyle name="Porcentagem 2 9" xfId="2224"/>
    <cellStyle name="Porcentagem 2 9 2" xfId="2225"/>
    <cellStyle name="Porcentagem 3" xfId="2226"/>
    <cellStyle name="Porcentagem 3 2" xfId="2227"/>
    <cellStyle name="Porcentagem 4" xfId="2228"/>
    <cellStyle name="Porcentagem 4 2" xfId="2229"/>
    <cellStyle name="Porcentagem 5" xfId="2230"/>
    <cellStyle name="Porcentagem 5 2" xfId="2231"/>
    <cellStyle name="Porcentagem 5 2 2" xfId="2232"/>
    <cellStyle name="Porcentagem 5 3" xfId="2233"/>
    <cellStyle name="Porcentagem 6" xfId="2234"/>
    <cellStyle name="Porcentagem 7" xfId="2235"/>
    <cellStyle name="Porcentagem 7 2" xfId="2236"/>
    <cellStyle name="Porcentagem 7 2 2" xfId="2237"/>
    <cellStyle name="Porcentagem 7 2 2 2" xfId="2238"/>
    <cellStyle name="Porcentagem 7 2 3" xfId="2239"/>
    <cellStyle name="Porcentagem 7 3" xfId="2240"/>
    <cellStyle name="Porcentagem 7 3 2" xfId="2241"/>
    <cellStyle name="Porcentagem 7 4" xfId="2242"/>
    <cellStyle name="Porcentagem 7 4 2" xfId="2243"/>
    <cellStyle name="Porcentagem 7 5" xfId="2244"/>
    <cellStyle name="Porcentaje" xfId="2245"/>
    <cellStyle name="Porcentual [0]" xfId="2246"/>
    <cellStyle name="Porcentual_ADELBCO" xfId="2247"/>
    <cellStyle name="Pounds" xfId="2248"/>
    <cellStyle name="Pounds (0)" xfId="2249"/>
    <cellStyle name="Pounds (0) 2" xfId="2250"/>
    <cellStyle name="Pounds 10" xfId="2251"/>
    <cellStyle name="Pounds 11" xfId="2252"/>
    <cellStyle name="Pounds 12" xfId="2253"/>
    <cellStyle name="Pounds 13" xfId="2254"/>
    <cellStyle name="Pounds 14" xfId="2255"/>
    <cellStyle name="Pounds 15" xfId="2256"/>
    <cellStyle name="Pounds 16" xfId="2257"/>
    <cellStyle name="Pounds 17" xfId="2258"/>
    <cellStyle name="Pounds 18" xfId="2259"/>
    <cellStyle name="Pounds 19" xfId="2260"/>
    <cellStyle name="Pounds 2" xfId="2261"/>
    <cellStyle name="Pounds 20" xfId="2262"/>
    <cellStyle name="Pounds 21" xfId="2263"/>
    <cellStyle name="Pounds 22" xfId="2264"/>
    <cellStyle name="Pounds 23" xfId="2265"/>
    <cellStyle name="Pounds 24" xfId="2266"/>
    <cellStyle name="Pounds 25" xfId="2267"/>
    <cellStyle name="Pounds 26" xfId="2268"/>
    <cellStyle name="Pounds 27" xfId="2269"/>
    <cellStyle name="Pounds 28" xfId="2270"/>
    <cellStyle name="Pounds 29" xfId="2271"/>
    <cellStyle name="Pounds 3" xfId="2272"/>
    <cellStyle name="Pounds 30" xfId="2273"/>
    <cellStyle name="Pounds 31" xfId="2274"/>
    <cellStyle name="Pounds 32" xfId="2275"/>
    <cellStyle name="Pounds 33" xfId="2276"/>
    <cellStyle name="Pounds 34" xfId="2277"/>
    <cellStyle name="Pounds 35" xfId="2278"/>
    <cellStyle name="Pounds 36" xfId="2279"/>
    <cellStyle name="Pounds 37" xfId="2280"/>
    <cellStyle name="Pounds 38" xfId="2281"/>
    <cellStyle name="Pounds 39" xfId="2282"/>
    <cellStyle name="Pounds 4" xfId="2283"/>
    <cellStyle name="Pounds 40" xfId="2284"/>
    <cellStyle name="Pounds 41" xfId="2285"/>
    <cellStyle name="Pounds 42" xfId="2286"/>
    <cellStyle name="Pounds 43" xfId="2287"/>
    <cellStyle name="Pounds 44" xfId="2288"/>
    <cellStyle name="Pounds 45" xfId="3207"/>
    <cellStyle name="Pounds 46" xfId="3735"/>
    <cellStyle name="Pounds 47" xfId="4819"/>
    <cellStyle name="Pounds 48" xfId="6382"/>
    <cellStyle name="Pounds 49" xfId="6907"/>
    <cellStyle name="Pounds 5" xfId="2289"/>
    <cellStyle name="Pounds 50" xfId="10538"/>
    <cellStyle name="Pounds 51" xfId="19367"/>
    <cellStyle name="Pounds 52" xfId="11070"/>
    <cellStyle name="Pounds 6" xfId="2290"/>
    <cellStyle name="Pounds 7" xfId="2291"/>
    <cellStyle name="Pounds 8" xfId="2292"/>
    <cellStyle name="Pounds 9" xfId="2293"/>
    <cellStyle name="Pounds_AESA_WIP_ANAtest" xfId="2294"/>
    <cellStyle name="PPT" xfId="2295"/>
    <cellStyle name="PPT 2" xfId="2296"/>
    <cellStyle name="Premissa formula" xfId="2297"/>
    <cellStyle name="Premissa formula 2" xfId="2298"/>
    <cellStyle name="Premissa input" xfId="2299"/>
    <cellStyle name="Premissas" xfId="2300"/>
    <cellStyle name="PresentationZero" xfId="2301"/>
    <cellStyle name="PRICE" xfId="2302"/>
    <cellStyle name="PRICE 2" xfId="2303"/>
    <cellStyle name="Private" xfId="2304"/>
    <cellStyle name="Private1" xfId="2305"/>
    <cellStyle name="Projecao Num" xfId="2306"/>
    <cellStyle name="Projecao Percent" xfId="2307"/>
    <cellStyle name="ProtectedDates" xfId="2308"/>
    <cellStyle name="Prozent_Anadat" xfId="2309"/>
    <cellStyle name="Punto0" xfId="2310"/>
    <cellStyle name="rate" xfId="2311"/>
    <cellStyle name="Ratio" xfId="2312"/>
    <cellStyle name="Ratio 2" xfId="2313"/>
    <cellStyle name="Ratio Comma" xfId="2314"/>
    <cellStyle name="Ratio Comma 2" xfId="2315"/>
    <cellStyle name="Ratio_Private" xfId="2316"/>
    <cellStyle name="ReceitaBru" xfId="2317"/>
    <cellStyle name="RED" xfId="2318"/>
    <cellStyle name="Restruct" xfId="2319"/>
    <cellStyle name="results" xfId="2320"/>
    <cellStyle name="Results % 3 dp" xfId="2321"/>
    <cellStyle name="Results % 3 dp 2" xfId="2322"/>
    <cellStyle name="results 10" xfId="2323"/>
    <cellStyle name="results 11" xfId="2324"/>
    <cellStyle name="results 12" xfId="2325"/>
    <cellStyle name="results 13" xfId="2326"/>
    <cellStyle name="results 14" xfId="2327"/>
    <cellStyle name="results 15" xfId="2328"/>
    <cellStyle name="results 16" xfId="2329"/>
    <cellStyle name="results 17" xfId="2330"/>
    <cellStyle name="results 18" xfId="2331"/>
    <cellStyle name="results 19" xfId="2332"/>
    <cellStyle name="results 2" xfId="2333"/>
    <cellStyle name="results 20" xfId="2334"/>
    <cellStyle name="results 21" xfId="2335"/>
    <cellStyle name="results 22" xfId="2336"/>
    <cellStyle name="results 23" xfId="2337"/>
    <cellStyle name="results 24" xfId="2338"/>
    <cellStyle name="results 25" xfId="2339"/>
    <cellStyle name="results 26" xfId="2340"/>
    <cellStyle name="results 27" xfId="2341"/>
    <cellStyle name="results 28" xfId="2342"/>
    <cellStyle name="results 29" xfId="2343"/>
    <cellStyle name="results 3" xfId="2344"/>
    <cellStyle name="Results 3 dp" xfId="2345"/>
    <cellStyle name="Results 3 dp 2" xfId="2346"/>
    <cellStyle name="results 30" xfId="2347"/>
    <cellStyle name="results 31" xfId="2348"/>
    <cellStyle name="results 32" xfId="2349"/>
    <cellStyle name="results 33" xfId="2350"/>
    <cellStyle name="results 34" xfId="2351"/>
    <cellStyle name="results 35" xfId="2352"/>
    <cellStyle name="results 36" xfId="2353"/>
    <cellStyle name="results 37" xfId="2354"/>
    <cellStyle name="results 38" xfId="2355"/>
    <cellStyle name="results 39" xfId="2356"/>
    <cellStyle name="results 4" xfId="2357"/>
    <cellStyle name="results 40" xfId="2358"/>
    <cellStyle name="results 41" xfId="2359"/>
    <cellStyle name="results 42" xfId="2360"/>
    <cellStyle name="results 43" xfId="2361"/>
    <cellStyle name="results 44" xfId="2362"/>
    <cellStyle name="results 45" xfId="3208"/>
    <cellStyle name="results 46" xfId="3736"/>
    <cellStyle name="results 47" xfId="4820"/>
    <cellStyle name="results 48" xfId="6383"/>
    <cellStyle name="results 49" xfId="6908"/>
    <cellStyle name="results 5" xfId="2363"/>
    <cellStyle name="results 50" xfId="10539"/>
    <cellStyle name="results 51" xfId="19368"/>
    <cellStyle name="results 52" xfId="11071"/>
    <cellStyle name="results 6" xfId="2364"/>
    <cellStyle name="results 7" xfId="2365"/>
    <cellStyle name="results 8" xfId="2366"/>
    <cellStyle name="results 9" xfId="2367"/>
    <cellStyle name="results_AESA_WIP_ANAtest" xfId="2368"/>
    <cellStyle name="RevList" xfId="2369"/>
    <cellStyle name="Ricardo" xfId="2370"/>
    <cellStyle name="Right" xfId="2371"/>
    <cellStyle name="RM" xfId="2372"/>
    <cellStyle name="Row Headings" xfId="2373"/>
    <cellStyle name="RRSInstruction" xfId="2374"/>
    <cellStyle name="RRSInstruction 2" xfId="2375"/>
    <cellStyle name="RSCo" xfId="2376"/>
    <cellStyle name="RSCo 2" xfId="2377"/>
    <cellStyle name="s_HardInc " xfId="2378"/>
    <cellStyle name="s_HardInc _Catalog" xfId="2379"/>
    <cellStyle name="s_HardInc _Catalog 2" xfId="2380"/>
    <cellStyle name="s_HardInc _Catalog_Rossi Model - Official" xfId="2381"/>
    <cellStyle name="s_HardInc _Estacio_Oficial_ANA_outsource_test" xfId="2382"/>
    <cellStyle name="s_HardInc _JapaneseCatalog" xfId="2383"/>
    <cellStyle name="s_HardInc _RRS1" xfId="2384"/>
    <cellStyle name="s_HardInc _RRS6" xfId="2385"/>
    <cellStyle name="s_HardInc _SEB_Oficial_ANA_outsource_test" xfId="2386"/>
    <cellStyle name="s_HardInc _SEB_Oficial_ANA_outsource_test 2" xfId="2387"/>
    <cellStyle name="s_HardInc _SEB_Oficial_ANA_outsource_test_Rossi Model - Official" xfId="2388"/>
    <cellStyle name="s_HardInc _WORKING prjget2007_new" xfId="2389"/>
    <cellStyle name="s_Valuation " xfId="2390"/>
    <cellStyle name="s_Valuation _Catalog" xfId="2391"/>
    <cellStyle name="s_Valuation _Catalog 2" xfId="2392"/>
    <cellStyle name="s_Valuation _Catalog_Rossi Model - Official" xfId="2393"/>
    <cellStyle name="s_Valuation _Estacio_Oficial_ANA_outsource_test" xfId="2394"/>
    <cellStyle name="s_Valuation _JapaneseCatalog" xfId="2395"/>
    <cellStyle name="s_Valuation _RRS1" xfId="2396"/>
    <cellStyle name="s_Valuation _RRS6" xfId="2397"/>
    <cellStyle name="s_Valuation _SEB_Oficial_ANA_outsource_test" xfId="2398"/>
    <cellStyle name="s_Valuation _SEB_Oficial_ANA_outsource_test 2" xfId="2399"/>
    <cellStyle name="s_Valuation _SEB_Oficial_ANA_outsource_test_Rossi Model - Official" xfId="2400"/>
    <cellStyle name="s_Valuation _WORKING prjget2007_new" xfId="2401"/>
    <cellStyle name="Saída" xfId="2402"/>
    <cellStyle name="Saída 2" xfId="2403"/>
    <cellStyle name="Section" xfId="2404"/>
    <cellStyle name="SECTION 2" xfId="2405"/>
    <cellStyle name="Section 3" xfId="2406"/>
    <cellStyle name="Section name" xfId="2407"/>
    <cellStyle name="Section_Estacio_Oficial_ANA_outsource_test" xfId="2408"/>
    <cellStyle name="sem virg." xfId="2409"/>
    <cellStyle name="Sensitivity" xfId="2410"/>
    <cellStyle name="Separador de milhares [0]_IGP-M" xfId="2411"/>
    <cellStyle name="Separador de milhares 2" xfId="2412"/>
    <cellStyle name="Separador de milhares 2 10" xfId="2413"/>
    <cellStyle name="Separador de milhares 2 10 2" xfId="2414"/>
    <cellStyle name="Separador de milhares 2 11" xfId="2415"/>
    <cellStyle name="Separador de milhares 2 12" xfId="2416"/>
    <cellStyle name="Separador de milhares 2 12 2" xfId="2417"/>
    <cellStyle name="Separador de milhares 2 2" xfId="2418"/>
    <cellStyle name="Separador de milhares 2 2 2" xfId="2419"/>
    <cellStyle name="Separador de milhares 2 3" xfId="2420"/>
    <cellStyle name="Separador de milhares 2 3 2" xfId="2421"/>
    <cellStyle name="Separador de milhares 2 4" xfId="2422"/>
    <cellStyle name="Separador de milhares 2 4 2" xfId="2423"/>
    <cellStyle name="Separador de milhares 2 5" xfId="2424"/>
    <cellStyle name="Separador de milhares 2 5 2" xfId="2425"/>
    <cellStyle name="Separador de milhares 2 6" xfId="2426"/>
    <cellStyle name="Separador de milhares 2 6 2" xfId="2427"/>
    <cellStyle name="Separador de milhares 2 7" xfId="2428"/>
    <cellStyle name="Separador de milhares 2 7 2" xfId="2429"/>
    <cellStyle name="Separador de milhares 2 8" xfId="2430"/>
    <cellStyle name="Separador de milhares 2 8 2" xfId="2431"/>
    <cellStyle name="Separador de milhares 2 9" xfId="2432"/>
    <cellStyle name="Separador de milhares 2 9 2" xfId="2433"/>
    <cellStyle name="Separador de milhares 3" xfId="2434"/>
    <cellStyle name="Separador de milhares 3 10" xfId="2435"/>
    <cellStyle name="Separador de milhares 3 10 2" xfId="2436"/>
    <cellStyle name="Separador de milhares 3 11" xfId="2437"/>
    <cellStyle name="Separador de milhares 3 2" xfId="2438"/>
    <cellStyle name="Separador de milhares 3 2 2" xfId="2439"/>
    <cellStyle name="Separador de milhares 3 3" xfId="2440"/>
    <cellStyle name="Separador de milhares 3 3 2" xfId="2441"/>
    <cellStyle name="Separador de milhares 3 4" xfId="2442"/>
    <cellStyle name="Separador de milhares 3 4 2" xfId="2443"/>
    <cellStyle name="Separador de milhares 3 5" xfId="2444"/>
    <cellStyle name="Separador de milhares 3 5 2" xfId="2445"/>
    <cellStyle name="Separador de milhares 3 6" xfId="2446"/>
    <cellStyle name="Separador de milhares 3 6 2" xfId="2447"/>
    <cellStyle name="Separador de milhares 3 7" xfId="2448"/>
    <cellStyle name="Separador de milhares 3 7 2" xfId="2449"/>
    <cellStyle name="Separador de milhares 3 8" xfId="2450"/>
    <cellStyle name="Separador de milhares 3 8 2" xfId="2451"/>
    <cellStyle name="Separador de milhares 3 9" xfId="2452"/>
    <cellStyle name="Separador de milhares 3 9 2" xfId="2453"/>
    <cellStyle name="Separador de milhares 4" xfId="2454"/>
    <cellStyle name="Separador de milhares 4 2" xfId="2455"/>
    <cellStyle name="Separador de milhares 5" xfId="2456"/>
    <cellStyle name="Separador de milhares 5 2" xfId="2457"/>
    <cellStyle name="Separador de milhares 6" xfId="2458"/>
    <cellStyle name="Separador de milhares 6 2" xfId="2459"/>
    <cellStyle name="Separador de milhares 7" xfId="2460"/>
    <cellStyle name="Separador de milhares 7 2" xfId="2461"/>
    <cellStyle name="Separador de milhares 8" xfId="2462"/>
    <cellStyle name="Separador de milhares 9" xfId="2463"/>
    <cellStyle name="Separador de milhares 9 2" xfId="2464"/>
    <cellStyle name="Separador de milhares 9 2 2" xfId="2465"/>
    <cellStyle name="Separador de milhares 9 2 2 2" xfId="2466"/>
    <cellStyle name="Separador de milhares 9 2 3" xfId="2467"/>
    <cellStyle name="Separador de milhares 9 3" xfId="2468"/>
    <cellStyle name="Separador de milhares 9 3 2" xfId="2469"/>
    <cellStyle name="Separador de milhares 9 4" xfId="2470"/>
    <cellStyle name="Separador de milhares 9 4 2" xfId="2471"/>
    <cellStyle name="Separador de milhares 9 5" xfId="2472"/>
    <cellStyle name="Separador de milhares_IGP-M" xfId="2473"/>
    <cellStyle name="Shaded" xfId="2474"/>
    <cellStyle name="Shaded 2" xfId="2475"/>
    <cellStyle name="Shares" xfId="2476"/>
    <cellStyle name="Single Accounting" xfId="2477"/>
    <cellStyle name="SSComma0" xfId="2478"/>
    <cellStyle name="SSComma2" xfId="2479"/>
    <cellStyle name="SSDecs3" xfId="2480"/>
    <cellStyle name="SSDflt" xfId="2481"/>
    <cellStyle name="SSDfltPct" xfId="2482"/>
    <cellStyle name="SSDfltPct0" xfId="2483"/>
    <cellStyle name="SSFixed2" xfId="2484"/>
    <cellStyle name="ssp " xfId="2485"/>
    <cellStyle name="Standard_airt-rev" xfId="2486"/>
    <cellStyle name="Stock Comma" xfId="2487"/>
    <cellStyle name="Stock Comma 2" xfId="2488"/>
    <cellStyle name="Stock Price" xfId="2489"/>
    <cellStyle name="Stock Price 2" xfId="2490"/>
    <cellStyle name="Style 1" xfId="2491"/>
    <cellStyle name="Style 1 2" xfId="2492"/>
    <cellStyle name="Style 2" xfId="2493"/>
    <cellStyle name="Style 24" xfId="2494"/>
    <cellStyle name="Style 26" xfId="2495"/>
    <cellStyle name="Style 27" xfId="2496"/>
    <cellStyle name="Style 27 2" xfId="2497"/>
    <cellStyle name="Style 32" xfId="2498"/>
    <cellStyle name="STYLE1" xfId="2499"/>
    <cellStyle name="STYLE2" xfId="2500"/>
    <cellStyle name="SubDollar" xfId="2501"/>
    <cellStyle name="SubDollar 2" xfId="2502"/>
    <cellStyle name="SubGrowthRate" xfId="2503"/>
    <cellStyle name="Subhead" xfId="2504"/>
    <cellStyle name="Subscribers" xfId="2505"/>
    <cellStyle name="Subtotal" xfId="2506"/>
    <cellStyle name="SubVariable" xfId="2507"/>
    <cellStyle name="SubVariable 2" xfId="2508"/>
    <cellStyle name="Sum" xfId="2509"/>
    <cellStyle name="Sum 2" xfId="2510"/>
    <cellStyle name="Sum 2 2" xfId="2511"/>
    <cellStyle name="Summary" xfId="2512"/>
    <cellStyle name="Table Col Head" xfId="2513"/>
    <cellStyle name="Table Heading" xfId="2514"/>
    <cellStyle name="Table Sub Head" xfId="2515"/>
    <cellStyle name="Table Title" xfId="2516"/>
    <cellStyle name="Table Units" xfId="2517"/>
    <cellStyle name="TableBase" xfId="2518"/>
    <cellStyle name="TableHead" xfId="2519"/>
    <cellStyle name="TableName" xfId="2520"/>
    <cellStyle name="TableName 2" xfId="2521"/>
    <cellStyle name="Terms" xfId="2522"/>
    <cellStyle name="test" xfId="2523"/>
    <cellStyle name="TEXT" xfId="2524"/>
    <cellStyle name="TEXT 10" xfId="2525"/>
    <cellStyle name="Text 11" xfId="2526"/>
    <cellStyle name="TEXT 2" xfId="2527"/>
    <cellStyle name="TEXT 3" xfId="2528"/>
    <cellStyle name="TEXT 4" xfId="2529"/>
    <cellStyle name="TEXT 5" xfId="2530"/>
    <cellStyle name="TEXT 6" xfId="2531"/>
    <cellStyle name="TEXT 7" xfId="2532"/>
    <cellStyle name="TEXT 8" xfId="2533"/>
    <cellStyle name="TEXT 9" xfId="2534"/>
    <cellStyle name="Text Bold" xfId="2535"/>
    <cellStyle name="Text Light" xfId="2536"/>
    <cellStyle name="Text Wrap" xfId="2537"/>
    <cellStyle name="Text Wrap 2" xfId="2538"/>
    <cellStyle name="TEXT_Distribution" xfId="2539"/>
    <cellStyle name="textbold" xfId="2540"/>
    <cellStyle name="textbold 2" xfId="2541"/>
    <cellStyle name="Texto de Aviso" xfId="2542"/>
    <cellStyle name="Texto Explicativo" xfId="2543"/>
    <cellStyle name="Texto Explicativo 2" xfId="2544"/>
    <cellStyle name="þ_x001d_ð'_x000c_ïþ÷_x000c_âþU_x0001_o_x0014_x_x001c__x0007__x0001__x0001_" xfId="2545"/>
    <cellStyle name="Thick Rule" xfId="2546"/>
    <cellStyle name="Thick Rule 2" xfId="2547"/>
    <cellStyle name="Thin Rule" xfId="2548"/>
    <cellStyle name="Time" xfId="2549"/>
    <cellStyle name="Time 2" xfId="2550"/>
    <cellStyle name="times" xfId="2551"/>
    <cellStyle name="Times 10" xfId="2552"/>
    <cellStyle name="Times 10 2" xfId="2553"/>
    <cellStyle name="times 11" xfId="2554"/>
    <cellStyle name="Times 12" xfId="2555"/>
    <cellStyle name="Times 12 2" xfId="2556"/>
    <cellStyle name="times 13" xfId="2557"/>
    <cellStyle name="times 14" xfId="2558"/>
    <cellStyle name="times 15" xfId="2559"/>
    <cellStyle name="times 16" xfId="2560"/>
    <cellStyle name="times 17" xfId="2561"/>
    <cellStyle name="times 18" xfId="2562"/>
    <cellStyle name="times 19" xfId="2563"/>
    <cellStyle name="times 2" xfId="2564"/>
    <cellStyle name="times 20" xfId="2565"/>
    <cellStyle name="times 21" xfId="2566"/>
    <cellStyle name="times 22" xfId="2567"/>
    <cellStyle name="times 23" xfId="2568"/>
    <cellStyle name="times 24" xfId="2569"/>
    <cellStyle name="times 25" xfId="2570"/>
    <cellStyle name="times 26" xfId="2571"/>
    <cellStyle name="times 27" xfId="2572"/>
    <cellStyle name="times 28" xfId="3209"/>
    <cellStyle name="times 29" xfId="3737"/>
    <cellStyle name="times 3" xfId="2573"/>
    <cellStyle name="times 30" xfId="4821"/>
    <cellStyle name="times 31" xfId="6384"/>
    <cellStyle name="times 32" xfId="6909"/>
    <cellStyle name="times 33" xfId="10540"/>
    <cellStyle name="times 34" xfId="19369"/>
    <cellStyle name="times 35" xfId="11072"/>
    <cellStyle name="times 4" xfId="2574"/>
    <cellStyle name="times 5" xfId="2575"/>
    <cellStyle name="times 6" xfId="2576"/>
    <cellStyle name="times 7" xfId="2577"/>
    <cellStyle name="times 8" xfId="2578"/>
    <cellStyle name="times 9" xfId="2579"/>
    <cellStyle name="Title" xfId="2580" builtinId="15" customBuiltin="1"/>
    <cellStyle name="Title 2" xfId="2581"/>
    <cellStyle name="Title 3" xfId="2582"/>
    <cellStyle name="Title 3 2" xfId="2583"/>
    <cellStyle name="Title 3 2 2" xfId="3210"/>
    <cellStyle name="Title 4" xfId="2584"/>
    <cellStyle name="Title 5" xfId="2585"/>
    <cellStyle name="Title 6" xfId="4822"/>
    <cellStyle name="title1" xfId="2586"/>
    <cellStyle name="title2" xfId="2587"/>
    <cellStyle name="TitleII" xfId="2588"/>
    <cellStyle name="Titles" xfId="2589"/>
    <cellStyle name="Título" xfId="2590"/>
    <cellStyle name="Título 1" xfId="2591"/>
    <cellStyle name="Título 1 2" xfId="2592"/>
    <cellStyle name="Título 2" xfId="2593"/>
    <cellStyle name="Título 2 2" xfId="2594"/>
    <cellStyle name="Título 3" xfId="2595"/>
    <cellStyle name="Título 3 2" xfId="2596"/>
    <cellStyle name="Título 4" xfId="2597"/>
    <cellStyle name="Título 4 2" xfId="2598"/>
    <cellStyle name="Título 5" xfId="2599"/>
    <cellStyle name="To Financials" xfId="2600"/>
    <cellStyle name="To_Financial_statements" xfId="2601"/>
    <cellStyle name="Tocopilla" xfId="2602"/>
    <cellStyle name="top" xfId="2603"/>
    <cellStyle name="Top Edge" xfId="2604"/>
    <cellStyle name="Top Line" xfId="2605"/>
    <cellStyle name="top_external_link" xfId="2606"/>
    <cellStyle name="topline" xfId="2607"/>
    <cellStyle name="topline 2" xfId="2608"/>
    <cellStyle name="top-title" xfId="2609"/>
    <cellStyle name="Total" xfId="2610" builtinId="25" customBuiltin="1"/>
    <cellStyle name="Total 2" xfId="2611"/>
    <cellStyle name="Total 2 2" xfId="2612"/>
    <cellStyle name="Total 3" xfId="2613"/>
    <cellStyle name="Total 4" xfId="4823"/>
    <cellStyle name="Totals" xfId="2614"/>
    <cellStyle name="ubordinated Debt" xfId="2615"/>
    <cellStyle name="Uhrzeit" xfId="2616"/>
    <cellStyle name="Undefined" xfId="2617"/>
    <cellStyle name="UnderLine" xfId="2618"/>
    <cellStyle name="underline 1 decimal" xfId="2619"/>
    <cellStyle name="UnderLine 10" xfId="2620"/>
    <cellStyle name="UnderLine 11" xfId="2621"/>
    <cellStyle name="UnderLine 12" xfId="2622"/>
    <cellStyle name="UnderLine 13" xfId="2623"/>
    <cellStyle name="UnderLine 14" xfId="2624"/>
    <cellStyle name="UnderLine 15" xfId="2625"/>
    <cellStyle name="UnderLine 16" xfId="2626"/>
    <cellStyle name="UnderLine 17" xfId="2627"/>
    <cellStyle name="UnderLine 18" xfId="2628"/>
    <cellStyle name="UnderLine 19" xfId="2629"/>
    <cellStyle name="UnderLine 2" xfId="2630"/>
    <cellStyle name="UnderLine 20" xfId="2631"/>
    <cellStyle name="UnderLine 21" xfId="2632"/>
    <cellStyle name="UnderLine 22" xfId="2633"/>
    <cellStyle name="UnderLine 23" xfId="2634"/>
    <cellStyle name="UnderLine 24" xfId="2635"/>
    <cellStyle name="UnderLine 3" xfId="2636"/>
    <cellStyle name="UnderLine 4" xfId="2637"/>
    <cellStyle name="UnderLine 5" xfId="2638"/>
    <cellStyle name="UnderLine 6" xfId="2639"/>
    <cellStyle name="UnderLine 7" xfId="2640"/>
    <cellStyle name="UnderLine 8" xfId="2641"/>
    <cellStyle name="UnderLine 9" xfId="2642"/>
    <cellStyle name="UnderlineNormal" xfId="2643"/>
    <cellStyle name="UnderlineNormal 2" xfId="2644"/>
    <cellStyle name="unit totals" xfId="2645"/>
    <cellStyle name="UNITS" xfId="2646"/>
    <cellStyle name="Units 2" xfId="2647"/>
    <cellStyle name="UNITS 3" xfId="2648"/>
    <cellStyle name="Unprot" xfId="2649"/>
    <cellStyle name="Unprot$" xfId="2650"/>
    <cellStyle name="Unprot_COPE DIS Sep 14" xfId="2651"/>
    <cellStyle name="Unprotect" xfId="2652"/>
    <cellStyle name="Unprotected" xfId="2653"/>
    <cellStyle name="UnProtectedCalc" xfId="2654"/>
    <cellStyle name="Upload Only" xfId="2655"/>
    <cellStyle name="ValCht - Style1" xfId="2656"/>
    <cellStyle name="W_GTParent" xfId="2657"/>
    <cellStyle name="Währung [0]_revenue" xfId="2658"/>
    <cellStyle name="Währung_airt-rev" xfId="2659"/>
    <cellStyle name="Warning Text" xfId="2660" builtinId="11" customBuiltin="1"/>
    <cellStyle name="Warning Text 2" xfId="2661"/>
    <cellStyle name="Warning Text 3" xfId="4825"/>
    <cellStyle name="White" xfId="2662"/>
    <cellStyle name="WhitePattern" xfId="2663"/>
    <cellStyle name="WhitePattern1" xfId="2664"/>
    <cellStyle name="WhiteText" xfId="2665"/>
    <cellStyle name="WholeNumber" xfId="2666"/>
    <cellStyle name="xstyle" xfId="2667"/>
    <cellStyle name="xstyle 2" xfId="2668"/>
    <cellStyle name="Year" xfId="2669"/>
    <cellStyle name="Year 2" xfId="2670"/>
    <cellStyle name="Years" xfId="2671"/>
    <cellStyle name="Years 2" xfId="2672"/>
    <cellStyle name="Yen" xfId="2673"/>
    <cellStyle name="Βασικό_ΕΛΛΗΝΙΚΑ" xfId="2674"/>
    <cellStyle name="쉼표_매출총괄(02)" xfId="2675"/>
    <cellStyle name="콤마 [0]_#3이설 견적_준공내역총괄표 " xfId="2676"/>
    <cellStyle name="콤마_#3이설 견적_준공내역총괄표 " xfId="2677"/>
    <cellStyle name="표준_매출총괄(02)" xfId="2678"/>
    <cellStyle name="未定義" xfId="2679"/>
    <cellStyle name="桁区切り [0.00]_Modelware Template 2004-02-12" xfId="2680"/>
    <cellStyle name="桁区切り_modelware trial" xfId="2681"/>
    <cellStyle name="標準_5401a" xfId="2682"/>
    <cellStyle name="通貨 [0.00]_modelware trial" xfId="2683"/>
  </cellStyles>
  <dxfs count="3">
    <dxf>
      <font>
        <condense val="0"/>
        <extend val="0"/>
        <color indexed="9"/>
      </font>
      <fill>
        <patternFill>
          <bgColor indexed="9"/>
        </patternFill>
      </fill>
    </dxf>
    <dxf>
      <font>
        <i val="0"/>
        <condense val="0"/>
        <extend val="0"/>
        <color indexed="17"/>
      </font>
    </dxf>
    <dxf>
      <font>
        <i val="0"/>
        <condense val="0"/>
        <extend val="0"/>
        <color indexed="17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32C464"/>
      <rgbColor rgb="00CCFFFF"/>
      <rgbColor rgb="00660066"/>
      <rgbColor rgb="00F37B53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3399FF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0000FF"/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107247</xdr:colOff>
      <xdr:row>6</xdr:row>
      <xdr:rowOff>122465</xdr:rowOff>
    </xdr:from>
    <xdr:to>
      <xdr:col>10</xdr:col>
      <xdr:colOff>16319</xdr:colOff>
      <xdr:row>36</xdr:row>
      <xdr:rowOff>13607</xdr:rowOff>
    </xdr:to>
    <xdr:pic>
      <xdr:nvPicPr>
        <xdr:cNvPr id="1685542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1033" y="1401536"/>
          <a:ext cx="9610965" cy="4789714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w_server1\SYS\Dados\Martins\SidecoF\BPLAN%20ME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PLAN MES"/>
      <sheetName val="CONSSID12-96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800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800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1"/>
  <dimension ref="A1:B1"/>
  <sheetViews>
    <sheetView workbookViewId="0"/>
  </sheetViews>
  <sheetFormatPr defaultRowHeight="12.75"/>
  <sheetData>
    <row r="1" spans="1:2">
      <c r="B1" t="s">
        <v>310</v>
      </c>
    </row>
  </sheetData>
  <customSheetViews>
    <customSheetView guid="{E575866E-AC6D-4394-9CD3-8AED20D96A5E}" state="veryHidden" showRuler="0">
      <pageMargins left="0.75" right="0.75" top="1" bottom="1" header="0.5" footer="0.5"/>
      <headerFooter alignWithMargins="0"/>
    </customSheetView>
    <customSheetView guid="{AF606229-75CD-4176-8017-8565F5ED8E7B}" state="veryHidden">
      <pageMargins left="0.75" right="0.75" top="1" bottom="1" header="0.5" footer="0.5"/>
      <headerFooter alignWithMargins="0"/>
    </customSheetView>
  </customSheetViews>
  <phoneticPr fontId="13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8"/>
  <dimension ref="B2:P103"/>
  <sheetViews>
    <sheetView showGridLines="0" tabSelected="1" zoomScale="70" zoomScaleNormal="70" workbookViewId="0">
      <selection activeCell="F85" sqref="F85"/>
    </sheetView>
  </sheetViews>
  <sheetFormatPr defaultRowHeight="12.75" outlineLevelCol="1"/>
  <cols>
    <col min="2" max="2" width="4" customWidth="1"/>
    <col min="3" max="3" width="42.140625" customWidth="1"/>
    <col min="4" max="4" width="9.85546875" customWidth="1" outlineLevel="1"/>
    <col min="5" max="16" width="10" customWidth="1"/>
  </cols>
  <sheetData>
    <row r="2" spans="2:16" s="802" customFormat="1" ht="23.25">
      <c r="B2" s="704" t="s">
        <v>766</v>
      </c>
      <c r="C2" s="352"/>
      <c r="I2" s="817" t="s">
        <v>761</v>
      </c>
    </row>
    <row r="3" spans="2:16" s="802" customFormat="1">
      <c r="B3" s="352"/>
      <c r="C3" s="357" t="s">
        <v>676</v>
      </c>
      <c r="I3" s="822" t="s">
        <v>763</v>
      </c>
    </row>
    <row r="4" spans="2:16" s="802" customFormat="1"/>
    <row r="6" spans="2:16">
      <c r="B6" s="758" t="s">
        <v>741</v>
      </c>
      <c r="C6" s="738"/>
      <c r="D6" s="739">
        <v>2010</v>
      </c>
      <c r="E6" s="739">
        <v>2011</v>
      </c>
      <c r="F6" s="767">
        <f>E6+1</f>
        <v>2012</v>
      </c>
      <c r="G6" s="749">
        <f t="shared" ref="G6:O6" si="0">F6+1</f>
        <v>2013</v>
      </c>
      <c r="H6" s="749">
        <f t="shared" si="0"/>
        <v>2014</v>
      </c>
      <c r="I6" s="749">
        <f t="shared" si="0"/>
        <v>2015</v>
      </c>
      <c r="J6" s="749">
        <f t="shared" si="0"/>
        <v>2016</v>
      </c>
      <c r="K6" s="749">
        <f t="shared" si="0"/>
        <v>2017</v>
      </c>
      <c r="L6" s="749">
        <f t="shared" si="0"/>
        <v>2018</v>
      </c>
      <c r="M6" s="749">
        <f t="shared" si="0"/>
        <v>2019</v>
      </c>
      <c r="N6" s="749">
        <f>M6+1</f>
        <v>2020</v>
      </c>
      <c r="O6" s="749">
        <f t="shared" si="0"/>
        <v>2021</v>
      </c>
      <c r="P6" s="749">
        <f>O6+1</f>
        <v>2022</v>
      </c>
    </row>
    <row r="7" spans="2:16" s="742" customFormat="1" ht="3.75" customHeight="1">
      <c r="B7" s="741"/>
      <c r="C7" s="741"/>
      <c r="D7" s="750"/>
      <c r="E7" s="750"/>
      <c r="F7" s="768"/>
      <c r="G7" s="751"/>
      <c r="H7" s="751"/>
      <c r="I7" s="751"/>
      <c r="J7" s="751"/>
      <c r="K7" s="751"/>
      <c r="L7" s="751"/>
      <c r="M7" s="751"/>
      <c r="N7" s="751"/>
      <c r="O7" s="751"/>
      <c r="P7" s="751"/>
    </row>
    <row r="8" spans="2:16" s="320" customFormat="1">
      <c r="B8" s="748" t="s">
        <v>638</v>
      </c>
      <c r="C8" s="748"/>
      <c r="D8" s="740"/>
      <c r="E8" s="740"/>
      <c r="F8" s="769"/>
      <c r="G8" s="740"/>
      <c r="H8" s="740"/>
      <c r="I8" s="740"/>
      <c r="J8" s="740"/>
      <c r="K8" s="740"/>
      <c r="L8" s="740"/>
      <c r="M8" s="740"/>
      <c r="N8" s="740"/>
      <c r="O8" s="740"/>
      <c r="P8" s="740"/>
    </row>
    <row r="9" spans="2:16" s="320" customFormat="1">
      <c r="B9" s="1" t="s">
        <v>744</v>
      </c>
      <c r="F9" s="781"/>
    </row>
    <row r="10" spans="2:16">
      <c r="C10" s="37" t="s">
        <v>731</v>
      </c>
      <c r="D10" s="753"/>
      <c r="E10" s="753">
        <v>93.3</v>
      </c>
      <c r="F10" s="772">
        <f>PROJ_AGCeAGPar!K59</f>
        <v>116.52926605704555</v>
      </c>
      <c r="G10" s="753">
        <f>PROJ_AGCeAGPar!L59</f>
        <v>121.76694522085337</v>
      </c>
      <c r="H10" s="753">
        <f>PROJ_AGCeAGPar!M59</f>
        <v>114.4310315914079</v>
      </c>
      <c r="I10" s="753">
        <f>PROJ_AGCeAGPar!N59</f>
        <v>113.78004616724344</v>
      </c>
      <c r="J10" s="753">
        <f>PROJ_AGCeAGPar!O59</f>
        <v>122.95297675688688</v>
      </c>
      <c r="K10" s="753">
        <f>PROJ_AGCeAGPar!P59</f>
        <v>134.02746473428022</v>
      </c>
      <c r="L10" s="753">
        <f>PROJ_AGCeAGPar!Q59</f>
        <v>150.72765657110875</v>
      </c>
      <c r="M10" s="753">
        <f>PROJ_AGCeAGPar!R59</f>
        <v>143.90412689480726</v>
      </c>
      <c r="N10" s="753">
        <f>PROJ_AGCeAGPar!S59</f>
        <v>148.16348918405063</v>
      </c>
      <c r="O10" s="753">
        <f>PROJ_AGCeAGPar!T59</f>
        <v>161.20604985166077</v>
      </c>
      <c r="P10" s="753">
        <f>PROJ_AGCeAGPar!U59</f>
        <v>177.80988266869647</v>
      </c>
    </row>
    <row r="11" spans="2:16" s="320" customFormat="1">
      <c r="C11" s="759" t="s">
        <v>736</v>
      </c>
      <c r="D11" s="762"/>
      <c r="E11" s="762">
        <f>PROJ_AGCeAGPar!J56</f>
        <v>0.53583436853002064</v>
      </c>
      <c r="F11" s="773">
        <f>PROJ_AGCeAGPar!K56</f>
        <v>0.5</v>
      </c>
      <c r="G11" s="762">
        <f>PROJ_AGCeAGPar!L56</f>
        <v>0.5</v>
      </c>
      <c r="H11" s="762">
        <f>PROJ_AGCeAGPar!M56</f>
        <v>0.5</v>
      </c>
      <c r="I11" s="762">
        <f>PROJ_AGCeAGPar!N56</f>
        <v>0.5</v>
      </c>
      <c r="J11" s="762">
        <f>PROJ_AGCeAGPar!O56</f>
        <v>0.5</v>
      </c>
      <c r="K11" s="762">
        <f>PROJ_AGCeAGPar!P56</f>
        <v>0.5</v>
      </c>
      <c r="L11" s="762">
        <f>PROJ_AGCeAGPar!Q56</f>
        <v>0.5</v>
      </c>
      <c r="M11" s="762">
        <f>PROJ_AGCeAGPar!R56</f>
        <v>0.5</v>
      </c>
      <c r="N11" s="762">
        <f>PROJ_AGCeAGPar!S56</f>
        <v>0.5</v>
      </c>
      <c r="O11" s="762">
        <f>PROJ_AGCeAGPar!T56</f>
        <v>0.5</v>
      </c>
      <c r="P11" s="762">
        <f>PROJ_AGCeAGPar!U56</f>
        <v>0.5</v>
      </c>
    </row>
    <row r="12" spans="2:16">
      <c r="C12" s="37" t="s">
        <v>494</v>
      </c>
      <c r="D12" s="753">
        <v>141.5</v>
      </c>
      <c r="E12" s="753">
        <f>PROJ_AGCeAGPar!J78</f>
        <v>147.69999999999999</v>
      </c>
      <c r="F12" s="772">
        <f>PROJ_AGCeAGPar!K78</f>
        <v>108.38641700114309</v>
      </c>
      <c r="G12" s="753">
        <f>PROJ_AGCeAGPar!L78</f>
        <v>212.08365505624633</v>
      </c>
      <c r="H12" s="753">
        <f>PROJ_AGCeAGPar!M78</f>
        <v>266.29701442291923</v>
      </c>
      <c r="I12" s="753">
        <f>PROJ_AGCeAGPar!N78</f>
        <v>330.234533573921</v>
      </c>
      <c r="J12" s="753">
        <f>PROJ_AGCeAGPar!O78</f>
        <v>392.09472006270221</v>
      </c>
      <c r="K12" s="753">
        <f>PROJ_AGCeAGPar!P78</f>
        <v>452.03243468457072</v>
      </c>
      <c r="L12" s="753">
        <f>PROJ_AGCeAGPar!Q78</f>
        <v>509.33964597680443</v>
      </c>
      <c r="M12" s="753">
        <f>PROJ_AGCeAGPar!R78</f>
        <v>578.05716772103585</v>
      </c>
      <c r="N12" s="753">
        <f>PROJ_AGCeAGPar!S78</f>
        <v>654.68589607285651</v>
      </c>
      <c r="O12" s="753">
        <f>PROJ_AGCeAGPar!T78</f>
        <v>705.71508471446089</v>
      </c>
      <c r="P12" s="753">
        <f>PROJ_AGCeAGPar!U78</f>
        <v>783.41070286609397</v>
      </c>
    </row>
    <row r="13" spans="2:16" s="320" customFormat="1">
      <c r="C13" s="759" t="s">
        <v>736</v>
      </c>
      <c r="D13" s="762">
        <f>PROJ_AGCeAGPar!I75</f>
        <v>1.2665914017857143</v>
      </c>
      <c r="E13" s="762">
        <f>PROJ_AGCeAGPar!J75</f>
        <v>0.88609374623389514</v>
      </c>
      <c r="F13" s="773">
        <f>PROJ_AGCeAGPar!K75</f>
        <v>0.85</v>
      </c>
      <c r="G13" s="762">
        <f>PROJ_AGCeAGPar!L75</f>
        <v>0.85</v>
      </c>
      <c r="H13" s="762">
        <f>PROJ_AGCeAGPar!M75</f>
        <v>0.85</v>
      </c>
      <c r="I13" s="762">
        <f>PROJ_AGCeAGPar!N75</f>
        <v>0.85</v>
      </c>
      <c r="J13" s="762">
        <f>PROJ_AGCeAGPar!O75</f>
        <v>0.85</v>
      </c>
      <c r="K13" s="762">
        <f>PROJ_AGCeAGPar!P75</f>
        <v>0.85</v>
      </c>
      <c r="L13" s="762">
        <f>PROJ_AGCeAGPar!Q75</f>
        <v>0.85</v>
      </c>
      <c r="M13" s="762">
        <f>PROJ_AGCeAGPar!R75</f>
        <v>0.85</v>
      </c>
      <c r="N13" s="762">
        <f>PROJ_AGCeAGPar!S75</f>
        <v>0.85</v>
      </c>
      <c r="O13" s="762">
        <f>PROJ_AGCeAGPar!T75</f>
        <v>0.85</v>
      </c>
      <c r="P13" s="762">
        <f>PROJ_AGCeAGPar!U75</f>
        <v>0.85</v>
      </c>
    </row>
    <row r="14" spans="2:16">
      <c r="C14" s="37" t="s">
        <v>496</v>
      </c>
      <c r="D14" s="753">
        <v>2.6</v>
      </c>
      <c r="E14" s="753">
        <v>2.4</v>
      </c>
      <c r="F14" s="772">
        <f>PROJ_AGCeAGPar!K94</f>
        <v>5.7008304000000001</v>
      </c>
      <c r="G14" s="753">
        <f>PROJ_AGCeAGPar!L94</f>
        <v>12.885384903478279</v>
      </c>
      <c r="H14" s="753">
        <f>PROJ_AGCeAGPar!M94</f>
        <v>14.353804821906307</v>
      </c>
      <c r="I14" s="753">
        <f>PROJ_AGCeAGPar!N94</f>
        <v>15.659713984603338</v>
      </c>
      <c r="J14" s="753">
        <f>PROJ_AGCeAGPar!O94</f>
        <v>17.133527966264282</v>
      </c>
      <c r="K14" s="753">
        <f>PROJ_AGCeAGPar!P94</f>
        <v>18.799763560983479</v>
      </c>
      <c r="L14" s="753">
        <f>PROJ_AGCeAGPar!Q94</f>
        <v>20.470686546283691</v>
      </c>
      <c r="M14" s="753">
        <f>PROJ_AGCeAGPar!R94</f>
        <v>22.311410680525519</v>
      </c>
      <c r="N14" s="753">
        <f>PROJ_AGCeAGPar!S94</f>
        <v>24.340856596026121</v>
      </c>
      <c r="O14" s="753">
        <f>PROJ_AGCeAGPar!T94</f>
        <v>26.580215402860524</v>
      </c>
      <c r="P14" s="753">
        <f>PROJ_AGCeAGPar!U94</f>
        <v>29.03883169684141</v>
      </c>
    </row>
    <row r="15" spans="2:16" s="320" customFormat="1">
      <c r="C15" s="759" t="s">
        <v>736</v>
      </c>
      <c r="D15" s="762">
        <f>PROJ_AGCeAGPar!I91</f>
        <v>0.29432837369736292</v>
      </c>
      <c r="E15" s="762">
        <f>PROJ_AGCeAGPar!J91</f>
        <v>0.25</v>
      </c>
      <c r="F15" s="773">
        <f>PROJ_AGCeAGPar!K91</f>
        <v>0.5</v>
      </c>
      <c r="G15" s="762">
        <f>PROJ_AGCeAGPar!L91</f>
        <v>0.5</v>
      </c>
      <c r="H15" s="762">
        <f>PROJ_AGCeAGPar!M91</f>
        <v>0.5</v>
      </c>
      <c r="I15" s="762">
        <f>PROJ_AGCeAGPar!N91</f>
        <v>0.5</v>
      </c>
      <c r="J15" s="762">
        <f>PROJ_AGCeAGPar!O91</f>
        <v>0.5</v>
      </c>
      <c r="K15" s="762">
        <f>PROJ_AGCeAGPar!P91</f>
        <v>0.5</v>
      </c>
      <c r="L15" s="762">
        <f>PROJ_AGCeAGPar!Q91</f>
        <v>0.5</v>
      </c>
      <c r="M15" s="762">
        <f>PROJ_AGCeAGPar!R91</f>
        <v>0.5</v>
      </c>
      <c r="N15" s="762">
        <f>PROJ_AGCeAGPar!S91</f>
        <v>0.5</v>
      </c>
      <c r="O15" s="762">
        <f>PROJ_AGCeAGPar!T91</f>
        <v>0.5</v>
      </c>
      <c r="P15" s="762">
        <f>PROJ_AGCeAGPar!U91</f>
        <v>0.5</v>
      </c>
    </row>
    <row r="16" spans="2:16">
      <c r="C16" s="37" t="s">
        <v>506</v>
      </c>
      <c r="D16" s="753">
        <v>12.6</v>
      </c>
      <c r="E16" s="753">
        <v>19.2</v>
      </c>
      <c r="F16" s="772">
        <f>PROJ_AGCeAGPar!K110</f>
        <v>21.024015072949165</v>
      </c>
      <c r="G16" s="753">
        <f>PROJ_AGCeAGPar!L110</f>
        <v>23.132808581654405</v>
      </c>
      <c r="H16" s="753">
        <f>PROJ_AGCeAGPar!M110</f>
        <v>24.659573948043594</v>
      </c>
      <c r="I16" s="753">
        <f>PROJ_AGCeAGPar!N110</f>
        <v>26.050373918713252</v>
      </c>
      <c r="J16" s="753">
        <f>PROJ_AGCeAGPar!O110</f>
        <v>27.613396353836048</v>
      </c>
      <c r="K16" s="753">
        <f>PROJ_AGCeAGPar!P110</f>
        <v>29.170791908192399</v>
      </c>
      <c r="L16" s="753">
        <f>PROJ_AGCeAGPar!Q110</f>
        <v>30.851029522104284</v>
      </c>
      <c r="M16" s="753">
        <f>PROJ_AGCeAGPar!R110</f>
        <v>32.665070058004012</v>
      </c>
      <c r="N16" s="753">
        <f>PROJ_AGCeAGPar!S110</f>
        <v>34.624974261484262</v>
      </c>
      <c r="O16" s="753">
        <f>PROJ_AGCeAGPar!T110</f>
        <v>36.722368053103075</v>
      </c>
      <c r="P16" s="753">
        <f>PROJ_AGCeAGPar!U110</f>
        <v>38.968113182548613</v>
      </c>
    </row>
    <row r="17" spans="2:16" s="320" customFormat="1">
      <c r="C17" s="759" t="s">
        <v>736</v>
      </c>
      <c r="D17" s="762">
        <f>PROJ_AGCeAGPar!I107</f>
        <v>0.74117647058823533</v>
      </c>
      <c r="E17" s="762">
        <f>PROJ_AGCeAGPar!J107</f>
        <v>0.96</v>
      </c>
      <c r="F17" s="773">
        <f>PROJ_AGCeAGPar!K107</f>
        <v>0.96</v>
      </c>
      <c r="G17" s="762">
        <f>PROJ_AGCeAGPar!L107</f>
        <v>0.96</v>
      </c>
      <c r="H17" s="762">
        <f>PROJ_AGCeAGPar!M107</f>
        <v>0.96</v>
      </c>
      <c r="I17" s="762">
        <f>PROJ_AGCeAGPar!N107</f>
        <v>0.96</v>
      </c>
      <c r="J17" s="762">
        <f>PROJ_AGCeAGPar!O107</f>
        <v>0.96</v>
      </c>
      <c r="K17" s="762">
        <f>PROJ_AGCeAGPar!P107</f>
        <v>0.96</v>
      </c>
      <c r="L17" s="762">
        <f>PROJ_AGCeAGPar!Q107</f>
        <v>0.96</v>
      </c>
      <c r="M17" s="762">
        <f>PROJ_AGCeAGPar!R107</f>
        <v>0.96</v>
      </c>
      <c r="N17" s="762">
        <f>PROJ_AGCeAGPar!S107</f>
        <v>0.96</v>
      </c>
      <c r="O17" s="762">
        <f>PROJ_AGCeAGPar!T107</f>
        <v>0.96</v>
      </c>
      <c r="P17" s="762">
        <f>PROJ_AGCeAGPar!U107</f>
        <v>0.96</v>
      </c>
    </row>
    <row r="18" spans="2:16">
      <c r="C18" s="37" t="s">
        <v>422</v>
      </c>
      <c r="D18" s="753">
        <f>59.1+2.4</f>
        <v>61.5</v>
      </c>
      <c r="E18" s="753">
        <v>8.4</v>
      </c>
      <c r="F18" s="772">
        <f>PROJ_AGCeAGPar!K128</f>
        <v>6.9660000000000011</v>
      </c>
      <c r="G18" s="753">
        <f>PROJ_AGCeAGPar!L128</f>
        <v>0</v>
      </c>
      <c r="H18" s="753">
        <f>PROJ_AGCeAGPar!M128</f>
        <v>0</v>
      </c>
      <c r="I18" s="753">
        <f>PROJ_AGCeAGPar!N128</f>
        <v>0</v>
      </c>
      <c r="J18" s="753">
        <f>PROJ_AGCeAGPar!O128</f>
        <v>0</v>
      </c>
      <c r="K18" s="753">
        <f>PROJ_AGCeAGPar!P128</f>
        <v>0</v>
      </c>
      <c r="L18" s="753">
        <f>PROJ_AGCeAGPar!Q128</f>
        <v>0</v>
      </c>
      <c r="M18" s="753">
        <f>PROJ_AGCeAGPar!R128</f>
        <v>0</v>
      </c>
      <c r="N18" s="753">
        <f>PROJ_AGCeAGPar!S128</f>
        <v>0</v>
      </c>
      <c r="O18" s="753">
        <f>PROJ_AGCeAGPar!T128</f>
        <v>0</v>
      </c>
      <c r="P18" s="753">
        <f>PROJ_AGCeAGPar!U128</f>
        <v>0</v>
      </c>
    </row>
    <row r="19" spans="2:16" s="320" customFormat="1">
      <c r="B19" s="743" t="s">
        <v>742</v>
      </c>
      <c r="C19" s="743"/>
      <c r="D19" s="754">
        <f>D10+D12+D14+D16+D18</f>
        <v>218.2</v>
      </c>
      <c r="E19" s="754">
        <v>271.27</v>
      </c>
      <c r="F19" s="776">
        <f t="shared" ref="F19:P19" si="1">F10+F12+F14+F16+F18</f>
        <v>258.60652853113777</v>
      </c>
      <c r="G19" s="754">
        <f t="shared" si="1"/>
        <v>369.86879376223237</v>
      </c>
      <c r="H19" s="754">
        <f t="shared" si="1"/>
        <v>419.741424784277</v>
      </c>
      <c r="I19" s="754">
        <f t="shared" si="1"/>
        <v>485.72466764448103</v>
      </c>
      <c r="J19" s="754">
        <f t="shared" si="1"/>
        <v>559.79462113968941</v>
      </c>
      <c r="K19" s="754">
        <f t="shared" si="1"/>
        <v>634.03045488802684</v>
      </c>
      <c r="L19" s="754">
        <f t="shared" si="1"/>
        <v>711.3890186163012</v>
      </c>
      <c r="M19" s="754">
        <f t="shared" si="1"/>
        <v>776.93777535437277</v>
      </c>
      <c r="N19" s="754">
        <f t="shared" si="1"/>
        <v>861.81521611441747</v>
      </c>
      <c r="O19" s="754">
        <f t="shared" si="1"/>
        <v>930.22371802208522</v>
      </c>
      <c r="P19" s="754">
        <f t="shared" si="1"/>
        <v>1029.2275304141804</v>
      </c>
    </row>
    <row r="20" spans="2:16" s="320" customFormat="1">
      <c r="B20" s="37"/>
      <c r="C20" s="759" t="s">
        <v>733</v>
      </c>
      <c r="D20" s="760"/>
      <c r="E20" s="761">
        <f>E19/D19-1</f>
        <v>0.24321723189734179</v>
      </c>
      <c r="F20" s="771">
        <f t="shared" ref="F20:J20" si="2">F19/E19-1</f>
        <v>-4.6682167098692107E-2</v>
      </c>
      <c r="G20" s="761">
        <f t="shared" si="2"/>
        <v>0.43023765046866536</v>
      </c>
      <c r="H20" s="761">
        <f t="shared" si="2"/>
        <v>0.13483871000510761</v>
      </c>
      <c r="I20" s="761">
        <f t="shared" si="2"/>
        <v>0.15719974004022985</v>
      </c>
      <c r="J20" s="761">
        <f t="shared" si="2"/>
        <v>0.1524937035922227</v>
      </c>
      <c r="K20" s="761">
        <f>K19/J19-1</f>
        <v>0.13261262424637144</v>
      </c>
      <c r="L20" s="761">
        <f t="shared" ref="L20" si="3">L19/K19-1</f>
        <v>0.12201080110881479</v>
      </c>
      <c r="M20" s="761">
        <f t="shared" ref="M20" si="4">M19/L19-1</f>
        <v>9.2141929412360435E-2</v>
      </c>
      <c r="N20" s="761">
        <f t="shared" ref="N20" si="5">N19/M19-1</f>
        <v>0.10924612427466385</v>
      </c>
      <c r="O20" s="761">
        <f t="shared" ref="O20" si="6">O19/N19-1</f>
        <v>7.9377226844629778E-2</v>
      </c>
      <c r="P20" s="761">
        <f t="shared" ref="P20" si="7">P19/O19-1</f>
        <v>0.10643010974027289</v>
      </c>
    </row>
    <row r="21" spans="2:16" s="320" customFormat="1">
      <c r="B21" s="779" t="s">
        <v>743</v>
      </c>
      <c r="C21" s="779"/>
      <c r="D21" s="780">
        <f>PROJ_AGCeAGPar!I152</f>
        <v>398.98700000000002</v>
      </c>
      <c r="E21" s="780">
        <f>PROJ_AGCeAGPar!J152</f>
        <v>435.33699999999999</v>
      </c>
      <c r="F21" s="770">
        <f>PROJ_AGCeAGPar!K152</f>
        <v>449.14806222640323</v>
      </c>
      <c r="G21" s="780">
        <f>PROJ_AGCeAGPar!L152</f>
        <v>555.83506161320656</v>
      </c>
      <c r="H21" s="780">
        <f>PROJ_AGCeAGPar!M152</f>
        <v>623.93844305150424</v>
      </c>
      <c r="I21" s="780">
        <f>PROJ_AGCeAGPar!N152</f>
        <v>728.57959785920548</v>
      </c>
      <c r="J21" s="780">
        <f>PROJ_AGCeAGPar!O152</f>
        <v>822.38439955425588</v>
      </c>
      <c r="K21" s="780">
        <f>PROJ_AGCeAGPar!P152</f>
        <v>933.8103760781454</v>
      </c>
      <c r="L21" s="780">
        <f>PROJ_AGCeAGPar!Q152</f>
        <v>989.25445357778563</v>
      </c>
      <c r="M21" s="780">
        <f>PROJ_AGCeAGPar!R152</f>
        <v>1096.0223068801697</v>
      </c>
      <c r="N21" s="780">
        <f>PROJ_AGCeAGPar!S152</f>
        <v>1217.3463803508876</v>
      </c>
      <c r="O21" s="780">
        <f>PROJ_AGCeAGPar!T152</f>
        <v>1298.5675179743182</v>
      </c>
      <c r="P21" s="780">
        <f>PROJ_AGCeAGPar!U152</f>
        <v>1465.2210798934811</v>
      </c>
    </row>
    <row r="22" spans="2:16" s="320" customFormat="1">
      <c r="B22" s="37"/>
      <c r="C22" s="759" t="s">
        <v>733</v>
      </c>
      <c r="D22" s="760"/>
      <c r="E22" s="761">
        <f>E21/D21-1</f>
        <v>9.1105725249193581E-2</v>
      </c>
      <c r="F22" s="771">
        <f t="shared" ref="F22" si="8">F21/E21-1</f>
        <v>3.1724990585232149E-2</v>
      </c>
      <c r="G22" s="761">
        <f t="shared" ref="G22" si="9">G21/F21-1</f>
        <v>0.23753191510603777</v>
      </c>
      <c r="H22" s="761">
        <f t="shared" ref="H22" si="10">H21/G21-1</f>
        <v>0.12252444320558054</v>
      </c>
      <c r="I22" s="761">
        <f t="shared" ref="I22" si="11">I21/H21-1</f>
        <v>0.16771070283140643</v>
      </c>
      <c r="J22" s="761">
        <f t="shared" ref="J22" si="12">J21/I21-1</f>
        <v>0.12875024495700704</v>
      </c>
      <c r="K22" s="761">
        <f>K21/J21-1</f>
        <v>0.13549135487526764</v>
      </c>
      <c r="L22" s="761">
        <f t="shared" ref="L22" si="13">L21/K21-1</f>
        <v>5.9374021664330368E-2</v>
      </c>
      <c r="M22" s="761">
        <f t="shared" ref="M22" si="14">M21/L21-1</f>
        <v>0.10792759427692467</v>
      </c>
      <c r="N22" s="761">
        <f t="shared" ref="N22" si="15">N21/M21-1</f>
        <v>0.11069489435490332</v>
      </c>
      <c r="O22" s="761">
        <f t="shared" ref="O22" si="16">O21/N21-1</f>
        <v>6.6719825133105815E-2</v>
      </c>
      <c r="P22" s="761">
        <f t="shared" ref="P22" si="17">P21/O21-1</f>
        <v>0.12833646276562627</v>
      </c>
    </row>
    <row r="23" spans="2:16" s="1" customFormat="1">
      <c r="B23" s="743" t="s">
        <v>732</v>
      </c>
      <c r="C23" s="743"/>
      <c r="D23" s="754">
        <f>PROJ_AGCeAGPar!I172</f>
        <v>661.96500000000015</v>
      </c>
      <c r="E23" s="754">
        <f>PROJ_AGCeAGPar!J172</f>
        <v>348.79299999999995</v>
      </c>
      <c r="F23" s="776">
        <f>PROJ_AGCeAGPar!K172</f>
        <v>663.2511250964086</v>
      </c>
      <c r="G23" s="754">
        <f>PROJ_AGCeAGPar!L172</f>
        <v>496.44688245818389</v>
      </c>
      <c r="H23" s="754">
        <f>PROJ_AGCeAGPar!M172</f>
        <v>581.06879496277043</v>
      </c>
      <c r="I23" s="754">
        <f>PROJ_AGCeAGPar!N172</f>
        <v>688.22047893661636</v>
      </c>
      <c r="J23" s="754">
        <f>PROJ_AGCeAGPar!O172</f>
        <v>780.21276752777328</v>
      </c>
      <c r="K23" s="754">
        <f>PROJ_AGCeAGPar!P172</f>
        <v>891.28839197895411</v>
      </c>
      <c r="L23" s="754">
        <f>PROJ_AGCeAGPar!Q172</f>
        <v>944.61172899371957</v>
      </c>
      <c r="M23" s="754">
        <f>PROJ_AGCeAGPar!R172</f>
        <v>1053.8032300910663</v>
      </c>
      <c r="N23" s="754">
        <f>PROJ_AGCeAGPar!S172</f>
        <v>1173.1888670331509</v>
      </c>
      <c r="O23" s="754">
        <f>PROJ_AGCeAGPar!T172</f>
        <v>1253.7027453761541</v>
      </c>
      <c r="P23" s="754">
        <f>PROJ_AGCeAGPar!U172</f>
        <v>1420.4982553865198</v>
      </c>
    </row>
    <row r="24" spans="2:16">
      <c r="C24" s="763" t="s">
        <v>733</v>
      </c>
      <c r="D24" s="760"/>
      <c r="E24" s="764">
        <f>E23/D23-1</f>
        <v>-0.47309449895387234</v>
      </c>
      <c r="F24" s="774">
        <f t="shared" ref="F24:P24" si="18">F23/E23-1</f>
        <v>0.90156088309228877</v>
      </c>
      <c r="G24" s="764">
        <f t="shared" si="18"/>
        <v>-0.25149485063290078</v>
      </c>
      <c r="H24" s="764">
        <f t="shared" si="18"/>
        <v>0.17045511915711198</v>
      </c>
      <c r="I24" s="764">
        <f t="shared" si="18"/>
        <v>0.18440447138571825</v>
      </c>
      <c r="J24" s="764">
        <f t="shared" si="18"/>
        <v>0.13366688642177005</v>
      </c>
      <c r="K24" s="764">
        <f t="shared" si="18"/>
        <v>0.14236581234519075</v>
      </c>
      <c r="L24" s="764">
        <f t="shared" si="18"/>
        <v>5.9827254000660801E-2</v>
      </c>
      <c r="M24" s="764">
        <f t="shared" si="18"/>
        <v>0.11559405599766026</v>
      </c>
      <c r="N24" s="764">
        <f t="shared" si="18"/>
        <v>0.11329025527068048</v>
      </c>
      <c r="O24" s="764">
        <f t="shared" si="18"/>
        <v>6.8628232508387788E-2</v>
      </c>
      <c r="P24" s="764">
        <f t="shared" si="18"/>
        <v>0.13304231056806159</v>
      </c>
    </row>
    <row r="25" spans="2:16" s="1" customFormat="1">
      <c r="B25" s="743" t="s">
        <v>738</v>
      </c>
      <c r="C25" s="743"/>
      <c r="D25" s="754">
        <f>PROJ_AGCeAGPar!I177</f>
        <v>157.21639500000001</v>
      </c>
      <c r="E25" s="754">
        <f>PROJ_AGCeAGPar!J177</f>
        <v>82.837999999999994</v>
      </c>
      <c r="F25" s="776">
        <f>PROJ_AGCeAGPar!K177</f>
        <v>472.56642663119112</v>
      </c>
      <c r="G25" s="754">
        <f>PROJ_AGCeAGPar!L177</f>
        <v>117.90613458381867</v>
      </c>
      <c r="H25" s="754">
        <f>PROJ_AGCeAGPar!M177</f>
        <v>469.21305193243711</v>
      </c>
      <c r="I25" s="754">
        <f>PROJ_AGCeAGPar!N177</f>
        <v>555.73803674131773</v>
      </c>
      <c r="J25" s="754">
        <f>PROJ_AGCeAGPar!O177</f>
        <v>630.02180977867692</v>
      </c>
      <c r="K25" s="754">
        <f>PROJ_AGCeAGPar!P177</f>
        <v>719.71537652300549</v>
      </c>
      <c r="L25" s="754">
        <f>PROJ_AGCeAGPar!Q177</f>
        <v>762.77397116242844</v>
      </c>
      <c r="M25" s="754">
        <f>PROJ_AGCeAGPar!R177</f>
        <v>850.94610829853605</v>
      </c>
      <c r="N25" s="754">
        <f>PROJ_AGCeAGPar!S177</f>
        <v>947.35001012926944</v>
      </c>
      <c r="O25" s="754">
        <f>PROJ_AGCeAGPar!T177</f>
        <v>1012.3649668912444</v>
      </c>
      <c r="P25" s="754">
        <f>PROJ_AGCeAGPar!U177</f>
        <v>1147.0523412246148</v>
      </c>
    </row>
    <row r="26" spans="2:16">
      <c r="C26" s="763" t="s">
        <v>594</v>
      </c>
      <c r="D26" s="765">
        <f>PROJ_AGCeAGPar!I178</f>
        <v>0.24999953487761911</v>
      </c>
      <c r="E26" s="765">
        <f>PROJ_AGCeAGPar!J178</f>
        <v>0.2499989814498631</v>
      </c>
      <c r="F26" s="775">
        <f>PROJ_AGCeAGPar!K178</f>
        <v>0.75</v>
      </c>
      <c r="G26" s="765">
        <f>PROJ_AGCeAGPar!L178</f>
        <v>0.25</v>
      </c>
      <c r="H26" s="765">
        <f>PROJ_AGCeAGPar!M178</f>
        <v>0.85</v>
      </c>
      <c r="I26" s="765">
        <f>PROJ_AGCeAGPar!N178</f>
        <v>0.85</v>
      </c>
      <c r="J26" s="765">
        <f>PROJ_AGCeAGPar!O178</f>
        <v>0.85</v>
      </c>
      <c r="K26" s="765">
        <f>PROJ_AGCeAGPar!P178</f>
        <v>0.85</v>
      </c>
      <c r="L26" s="765">
        <f>PROJ_AGCeAGPar!Q178</f>
        <v>0.85</v>
      </c>
      <c r="M26" s="765">
        <f>PROJ_AGCeAGPar!R178</f>
        <v>0.85</v>
      </c>
      <c r="N26" s="765">
        <f>PROJ_AGCeAGPar!S178</f>
        <v>0.85</v>
      </c>
      <c r="O26" s="765">
        <f>PROJ_AGCeAGPar!T178</f>
        <v>0.85</v>
      </c>
      <c r="P26" s="765">
        <f>PROJ_AGCeAGPar!U178</f>
        <v>0.85</v>
      </c>
    </row>
    <row r="27" spans="2:16" s="320" customFormat="1">
      <c r="B27" s="748" t="s">
        <v>639</v>
      </c>
      <c r="C27" s="748"/>
      <c r="D27" s="740"/>
      <c r="E27" s="740"/>
      <c r="F27" s="769"/>
      <c r="G27" s="740"/>
      <c r="H27" s="740"/>
      <c r="I27" s="740"/>
      <c r="J27" s="740"/>
      <c r="K27" s="740"/>
      <c r="L27" s="740"/>
      <c r="M27" s="740"/>
      <c r="N27" s="740"/>
      <c r="O27" s="740"/>
      <c r="P27" s="740"/>
    </row>
    <row r="28" spans="2:16" s="1" customFormat="1">
      <c r="B28" s="1" t="s">
        <v>735</v>
      </c>
      <c r="D28" s="752">
        <f>PROJ_AGCeAGPar!I293</f>
        <v>310.98499999999996</v>
      </c>
      <c r="E28" s="752">
        <f>PROJ_AGCeAGPar!J293</f>
        <v>238.44599999999994</v>
      </c>
      <c r="F28" s="770">
        <f>PROJ_AGCeAGPar!K293</f>
        <v>784.92857674693789</v>
      </c>
      <c r="G28" s="752">
        <f>PROJ_AGCeAGPar!L293</f>
        <v>527.97254093409674</v>
      </c>
      <c r="H28" s="752">
        <f>PROJ_AGCeAGPar!M293</f>
        <v>538.23025350635544</v>
      </c>
      <c r="I28" s="752">
        <f>PROJ_AGCeAGPar!N293</f>
        <v>655.10182018461387</v>
      </c>
      <c r="J28" s="752">
        <f>PROJ_AGCeAGPar!O293</f>
        <v>781.30465692822509</v>
      </c>
      <c r="K28" s="752">
        <f>PROJ_AGCeAGPar!P293</f>
        <v>928.49473565573635</v>
      </c>
      <c r="L28" s="752">
        <f>PROJ_AGCeAGPar!Q293</f>
        <v>1016.6057519431622</v>
      </c>
      <c r="M28" s="752">
        <f>PROJ_AGCeAGPar!R293</f>
        <v>1164.3171297244633</v>
      </c>
      <c r="N28" s="752">
        <f>PROJ_AGCeAGPar!S293</f>
        <v>1324.9167985474287</v>
      </c>
      <c r="O28" s="752">
        <f>PROJ_AGCeAGPar!T293</f>
        <v>1447.7283419711675</v>
      </c>
      <c r="P28" s="752">
        <f>PROJ_AGCeAGPar!U293</f>
        <v>1654.8958628142559</v>
      </c>
    </row>
    <row r="29" spans="2:16" s="320" customFormat="1">
      <c r="B29" s="37"/>
      <c r="C29" s="759" t="s">
        <v>733</v>
      </c>
      <c r="D29" s="766"/>
      <c r="E29" s="764">
        <f>E28/D28-1</f>
        <v>-0.23325562326157223</v>
      </c>
      <c r="F29" s="774">
        <f t="shared" ref="F29:P29" si="19">F28/E28-1</f>
        <v>2.2918504682273473</v>
      </c>
      <c r="G29" s="764">
        <f t="shared" si="19"/>
        <v>-0.32736231476979871</v>
      </c>
      <c r="H29" s="764">
        <f t="shared" si="19"/>
        <v>1.9428496326931333E-2</v>
      </c>
      <c r="I29" s="764">
        <f t="shared" si="19"/>
        <v>0.2171404634297065</v>
      </c>
      <c r="J29" s="764">
        <f t="shared" si="19"/>
        <v>0.19264613966123023</v>
      </c>
      <c r="K29" s="764">
        <f t="shared" si="19"/>
        <v>0.18839012083481399</v>
      </c>
      <c r="L29" s="764">
        <f t="shared" si="19"/>
        <v>9.4896624508267857E-2</v>
      </c>
      <c r="M29" s="764">
        <f t="shared" si="19"/>
        <v>0.14529858551258679</v>
      </c>
      <c r="N29" s="764">
        <f t="shared" si="19"/>
        <v>0.13793464402689981</v>
      </c>
      <c r="O29" s="764">
        <f t="shared" si="19"/>
        <v>9.26937778722281E-2</v>
      </c>
      <c r="P29" s="764">
        <f t="shared" si="19"/>
        <v>0.14309833885065593</v>
      </c>
    </row>
    <row r="30" spans="2:16">
      <c r="C30" s="37" t="s">
        <v>734</v>
      </c>
      <c r="D30" s="753">
        <f>PROJ_AGCeAGPar!I342</f>
        <v>-529.11599999999999</v>
      </c>
      <c r="E30" s="753">
        <f>PROJ_AGCeAGPar!J342</f>
        <v>-263.52499999999998</v>
      </c>
      <c r="F30" s="772">
        <f>PROJ_AGCeAGPar!K342</f>
        <v>-835.01583328854167</v>
      </c>
      <c r="G30" s="753">
        <f>PROJ_AGCeAGPar!L342</f>
        <v>-577.67117552799346</v>
      </c>
      <c r="H30" s="753">
        <f>PROJ_AGCeAGPar!M342</f>
        <v>-566.1467949627704</v>
      </c>
      <c r="I30" s="753">
        <f>PROJ_AGCeAGPar!N342</f>
        <v>-659.27827893661629</v>
      </c>
      <c r="J30" s="753">
        <f>PROJ_AGCeAGPar!O342</f>
        <v>-754.16478752777323</v>
      </c>
      <c r="K30" s="753">
        <f>PROJ_AGCeAGPar!P342</f>
        <v>-873.05480597895416</v>
      </c>
      <c r="L30" s="753">
        <f>PROJ_AGCeAGPar!Q342</f>
        <v>-931.84821879371952</v>
      </c>
      <c r="M30" s="753">
        <f>PROJ_AGCeAGPar!R342</f>
        <v>-1044.8687729510664</v>
      </c>
      <c r="N30" s="753">
        <f>PROJ_AGCeAGPar!S342</f>
        <v>-1168.7216384631508</v>
      </c>
      <c r="O30" s="753">
        <f>PROJ_AGCeAGPar!T342</f>
        <v>-1251.4691310911542</v>
      </c>
      <c r="P30" s="753">
        <f>PROJ_AGCeAGPar!U342</f>
        <v>-1420.4982553865198</v>
      </c>
    </row>
    <row r="31" spans="2:16">
      <c r="C31" s="759" t="s">
        <v>733</v>
      </c>
      <c r="D31" s="760"/>
      <c r="E31" s="764">
        <f>E30/D30-1</f>
        <v>-0.50195231291437037</v>
      </c>
      <c r="F31" s="774">
        <f t="shared" ref="F31:P31" si="20">F30/E30-1</f>
        <v>2.1686399138166843</v>
      </c>
      <c r="G31" s="764">
        <f t="shared" si="20"/>
        <v>-0.30819135099157113</v>
      </c>
      <c r="H31" s="764">
        <f t="shared" si="20"/>
        <v>-1.9949724087738541E-2</v>
      </c>
      <c r="I31" s="764">
        <f t="shared" si="20"/>
        <v>0.16450059384328086</v>
      </c>
      <c r="J31" s="764">
        <f t="shared" si="20"/>
        <v>0.14392482146416885</v>
      </c>
      <c r="K31" s="764">
        <f t="shared" si="20"/>
        <v>0.15764461615996983</v>
      </c>
      <c r="L31" s="764">
        <f t="shared" si="20"/>
        <v>6.7342178763726501E-2</v>
      </c>
      <c r="M31" s="764">
        <f t="shared" si="20"/>
        <v>0.1212864411584671</v>
      </c>
      <c r="N31" s="764">
        <f t="shared" si="20"/>
        <v>0.11853437361543651</v>
      </c>
      <c r="O31" s="764">
        <f t="shared" si="20"/>
        <v>7.0801711806084855E-2</v>
      </c>
      <c r="P31" s="764">
        <f t="shared" si="20"/>
        <v>0.13506455740381651</v>
      </c>
    </row>
    <row r="32" spans="2:16">
      <c r="C32" s="734" t="s">
        <v>556</v>
      </c>
      <c r="D32" s="753">
        <f>PROJ_AGCeAGPar!I343</f>
        <v>133.400395</v>
      </c>
      <c r="E32" s="753">
        <f>PROJ_AGCeAGPar!J343</f>
        <v>67</v>
      </c>
      <c r="F32" s="772">
        <f>PROJ_AGCeAGPar!K343</f>
        <v>401.68146263651244</v>
      </c>
      <c r="G32" s="753">
        <f>PROJ_AGCeAGPar!L343</f>
        <v>100.22021439624586</v>
      </c>
      <c r="H32" s="753">
        <f>PROJ_AGCeAGPar!M343</f>
        <v>398.83109414257154</v>
      </c>
      <c r="I32" s="753">
        <f>PROJ_AGCeAGPar!N343</f>
        <v>472.37733123012009</v>
      </c>
      <c r="J32" s="753">
        <f>PROJ_AGCeAGPar!O343</f>
        <v>535.51853831187543</v>
      </c>
      <c r="K32" s="753">
        <f>PROJ_AGCeAGPar!P343</f>
        <v>611.75807004455464</v>
      </c>
      <c r="L32" s="753">
        <f>PROJ_AGCeAGPar!Q343</f>
        <v>648.35787548806422</v>
      </c>
      <c r="M32" s="753">
        <f>PROJ_AGCeAGPar!R343</f>
        <v>723.30419205375563</v>
      </c>
      <c r="N32" s="753">
        <f>PROJ_AGCeAGPar!S343</f>
        <v>805.24750860987899</v>
      </c>
      <c r="O32" s="753">
        <f>PROJ_AGCeAGPar!T343</f>
        <v>860.51022185755778</v>
      </c>
      <c r="P32" s="753">
        <f>PROJ_AGCeAGPar!U343</f>
        <v>974.99449004092253</v>
      </c>
    </row>
    <row r="33" spans="2:16">
      <c r="C33" s="734" t="s">
        <v>554</v>
      </c>
      <c r="D33" s="753">
        <f>PROJ_AGCeAGPar!I344</f>
        <v>-40.611999999999853</v>
      </c>
      <c r="E33" s="753">
        <f>PROJ_AGCeAGPar!J344</f>
        <v>70.696000000000012</v>
      </c>
      <c r="F33" s="772">
        <f>PROJ_AGCeAGPar!K344</f>
        <v>-101.55367038610324</v>
      </c>
      <c r="G33" s="753">
        <f>PROJ_AGCeAGPar!L344</f>
        <v>-8.5445853269385807</v>
      </c>
      <c r="H33" s="753">
        <f>PROJ_AGCeAGPar!M344</f>
        <v>-54.12645079816992</v>
      </c>
      <c r="I33" s="753">
        <f>PROJ_AGCeAGPar!N344</f>
        <v>13.220022719946783</v>
      </c>
      <c r="J33" s="753">
        <f>PROJ_AGCeAGPar!O344</f>
        <v>6.2198674783809835</v>
      </c>
      <c r="K33" s="753">
        <f>PROJ_AGCeAGPar!P344</f>
        <v>-2.9951569684026609</v>
      </c>
      <c r="L33" s="753">
        <f>PROJ_AGCeAGPar!Q344</f>
        <v>-0.19605345416665898</v>
      </c>
      <c r="M33" s="753">
        <f>PROJ_AGCeAGPar!R344</f>
        <v>-2.7099772889801699</v>
      </c>
      <c r="N33" s="753">
        <f>PROJ_AGCeAGPar!S344</f>
        <v>-3.0232005768745722</v>
      </c>
      <c r="O33" s="753">
        <f>PROJ_AGCeAGPar!T344</f>
        <v>-1.0056792319919055</v>
      </c>
      <c r="P33" s="753">
        <f>PROJ_AGCeAGPar!U344</f>
        <v>-5.4454302102874266</v>
      </c>
    </row>
    <row r="34" spans="2:16">
      <c r="C34" s="734" t="s">
        <v>668</v>
      </c>
      <c r="D34" s="753">
        <f>PROJ_AGCeAGPar!I347+PROJ_AGCeAGPar!I348</f>
        <v>353.39560500000005</v>
      </c>
      <c r="E34" s="753">
        <f>PROJ_AGCeAGPar!J347+PROJ_AGCeAGPar!J348</f>
        <v>-274.16200000000003</v>
      </c>
      <c r="F34" s="772">
        <f>PROJ_AGCeAGPar!K347+PROJ_AGCeAGPar!K348</f>
        <v>-349.1150360053216</v>
      </c>
      <c r="G34" s="753">
        <f>PROJ_AGCeAGPar!L347+PROJ_AGCeAGPar!L348</f>
        <v>17.685920187572719</v>
      </c>
      <c r="H34" s="753">
        <f>PROJ_AGCeAGPar!M347+PROJ_AGCeAGPar!M348</f>
        <v>70.381957789865851</v>
      </c>
      <c r="I34" s="753">
        <f>PROJ_AGCeAGPar!N347+PROJ_AGCeAGPar!N348</f>
        <v>83.360705511197295</v>
      </c>
      <c r="J34" s="753">
        <f>PROJ_AGCeAGPar!O347+PROJ_AGCeAGPar!O348</f>
        <v>94.503271466801323</v>
      </c>
      <c r="K34" s="753">
        <f>PROJ_AGCeAGPar!P347+PROJ_AGCeAGPar!P348</f>
        <v>107.95730647845073</v>
      </c>
      <c r="L34" s="753">
        <f>PROJ_AGCeAGPar!Q347+PROJ_AGCeAGPar!Q348</f>
        <v>114.41609567436421</v>
      </c>
      <c r="M34" s="753">
        <f>PROJ_AGCeAGPar!R347+PROJ_AGCeAGPar!R348</f>
        <v>127.64191624478019</v>
      </c>
      <c r="N34" s="753">
        <f>PROJ_AGCeAGPar!S347+PROJ_AGCeAGPar!S348</f>
        <v>142.10250151939039</v>
      </c>
      <c r="O34" s="753">
        <f>PROJ_AGCeAGPar!T347+PROJ_AGCeAGPar!T348</f>
        <v>151.85474503368692</v>
      </c>
      <c r="P34" s="753">
        <f>PROJ_AGCeAGPar!U347+PROJ_AGCeAGPar!U348</f>
        <v>172.05785118369226</v>
      </c>
    </row>
    <row r="35" spans="2:16">
      <c r="B35" s="458" t="s">
        <v>737</v>
      </c>
      <c r="C35" s="458"/>
      <c r="D35" s="754">
        <f>D28+D30+D32+D33+D34</f>
        <v>228.05300000000017</v>
      </c>
      <c r="E35" s="754">
        <f t="shared" ref="E35:P35" si="21">E28+E30+E32+E33+E34</f>
        <v>-161.54500000000007</v>
      </c>
      <c r="F35" s="776">
        <f t="shared" si="21"/>
        <v>-99.074500296516192</v>
      </c>
      <c r="G35" s="754">
        <f t="shared" si="21"/>
        <v>59.66291466298329</v>
      </c>
      <c r="H35" s="754">
        <f t="shared" si="21"/>
        <v>387.17005967785252</v>
      </c>
      <c r="I35" s="754">
        <f t="shared" si="21"/>
        <v>564.78160070926174</v>
      </c>
      <c r="J35" s="754">
        <f t="shared" si="21"/>
        <v>663.38154665750949</v>
      </c>
      <c r="K35" s="754">
        <f t="shared" si="21"/>
        <v>772.16014923138493</v>
      </c>
      <c r="L35" s="754">
        <f t="shared" si="21"/>
        <v>847.33545085770447</v>
      </c>
      <c r="M35" s="754">
        <f t="shared" si="21"/>
        <v>967.68448778295249</v>
      </c>
      <c r="N35" s="754">
        <f t="shared" si="21"/>
        <v>1100.5219696366726</v>
      </c>
      <c r="O35" s="754">
        <f t="shared" si="21"/>
        <v>1207.6184985392661</v>
      </c>
      <c r="P35" s="754">
        <f t="shared" si="21"/>
        <v>1376.0045184420635</v>
      </c>
    </row>
    <row r="36" spans="2:16">
      <c r="C36" s="734" t="s">
        <v>558</v>
      </c>
      <c r="D36" s="753">
        <f>PROJ_AGCeAGPar!I351</f>
        <v>-144.94099999999997</v>
      </c>
      <c r="E36" s="753">
        <f>PROJ_AGCeAGPar!J351</f>
        <v>119.702</v>
      </c>
      <c r="F36" s="772">
        <f>PROJ_AGCeAGPar!K351</f>
        <v>878.39035426213013</v>
      </c>
      <c r="G36" s="753">
        <f>PROJ_AGCeAGPar!L351</f>
        <v>40.974687893613464</v>
      </c>
      <c r="H36" s="753">
        <f>PROJ_AGCeAGPar!M351</f>
        <v>1.6377812313596678</v>
      </c>
      <c r="I36" s="753">
        <f>PROJ_AGCeAGPar!N351</f>
        <v>-0.89489200916659684</v>
      </c>
      <c r="J36" s="753">
        <f>PROJ_AGCeAGPar!O351</f>
        <v>-140.24064957357189</v>
      </c>
      <c r="K36" s="753">
        <f>PROJ_AGCeAGPar!P351</f>
        <v>-141.11105198766245</v>
      </c>
      <c r="L36" s="753">
        <f>PROJ_AGCeAGPar!Q351</f>
        <v>-140.90168405144061</v>
      </c>
      <c r="M36" s="753">
        <f>PROJ_AGCeAGPar!R351</f>
        <v>-140.02416790769325</v>
      </c>
      <c r="N36" s="753">
        <f>PROJ_AGCeAGPar!S351</f>
        <v>-132.46246385700135</v>
      </c>
      <c r="O36" s="753">
        <f>PROJ_AGCeAGPar!T351</f>
        <v>-142.52489749939093</v>
      </c>
      <c r="P36" s="753">
        <f>PROJ_AGCeAGPar!U351</f>
        <v>-153.24671641228281</v>
      </c>
    </row>
    <row r="37" spans="2:16">
      <c r="C37" s="734" t="s">
        <v>559</v>
      </c>
      <c r="D37" s="753">
        <f>PROJ_AGCeAGPar!I352</f>
        <v>-75.540999999999755</v>
      </c>
      <c r="E37" s="753">
        <f>PROJ_AGCeAGPar!J352</f>
        <v>105.02500000000001</v>
      </c>
      <c r="F37" s="772">
        <f>PROJ_AGCeAGPar!K352</f>
        <v>-65.100750932712913</v>
      </c>
      <c r="G37" s="753">
        <f>PROJ_AGCeAGPar!L352</f>
        <v>-17.555044378184419</v>
      </c>
      <c r="H37" s="753">
        <f>PROJ_AGCeAGPar!M352</f>
        <v>-70.381957789865822</v>
      </c>
      <c r="I37" s="753">
        <f>PROJ_AGCeAGPar!N352</f>
        <v>-83.360705511197409</v>
      </c>
      <c r="J37" s="753">
        <f>PROJ_AGCeAGPar!O352</f>
        <v>-94.503271466801152</v>
      </c>
      <c r="K37" s="753">
        <f>PROJ_AGCeAGPar!P352</f>
        <v>-107.95730647845164</v>
      </c>
      <c r="L37" s="753">
        <f>PROJ_AGCeAGPar!Q352</f>
        <v>-114.41609567436439</v>
      </c>
      <c r="M37" s="753">
        <f>PROJ_AGCeAGPar!R352</f>
        <v>-127.64191624477951</v>
      </c>
      <c r="N37" s="753">
        <f>PROJ_AGCeAGPar!S352</f>
        <v>-142.10250151939067</v>
      </c>
      <c r="O37" s="753">
        <f>PROJ_AGCeAGPar!T352</f>
        <v>-151.85474503368596</v>
      </c>
      <c r="P37" s="753">
        <f>PROJ_AGCeAGPar!U352</f>
        <v>-172.05785118369317</v>
      </c>
    </row>
    <row r="38" spans="2:16">
      <c r="C38" s="734" t="s">
        <v>673</v>
      </c>
      <c r="D38" s="753">
        <f>PROJ_AGCeAGPar!I353</f>
        <v>-40.116</v>
      </c>
      <c r="E38" s="753">
        <f>PROJ_AGCeAGPar!J353</f>
        <v>-82.516999999999996</v>
      </c>
      <c r="F38" s="772">
        <f>PROJ_AGCeAGPar!K353</f>
        <v>-121.31978604468486</v>
      </c>
      <c r="G38" s="753">
        <f>PROJ_AGCeAGPar!L353</f>
        <v>-107.83843409366321</v>
      </c>
      <c r="H38" s="753">
        <f>PROJ_AGCeAGPar!M353</f>
        <v>-57.447727417893844</v>
      </c>
      <c r="I38" s="753">
        <f>PROJ_AGCeAGPar!N353</f>
        <v>-227.81265907649396</v>
      </c>
      <c r="J38" s="753">
        <f>PROJ_AGCeAGPar!O353</f>
        <v>-276.61644057410535</v>
      </c>
      <c r="K38" s="753">
        <f>PROJ_AGCeAGPar!P353</f>
        <v>-333.07769295802393</v>
      </c>
      <c r="L38" s="753">
        <f>PROJ_AGCeAGPar!Q353</f>
        <v>-368.47163649863779</v>
      </c>
      <c r="M38" s="753">
        <f>PROJ_AGCeAGPar!R353</f>
        <v>-425.40872037433962</v>
      </c>
      <c r="N38" s="753">
        <f>PROJ_AGCeAGPar!S353</f>
        <v>-487.23297779063819</v>
      </c>
      <c r="O38" s="753">
        <f>PROJ_AGCeAGPar!T353</f>
        <v>-535.81621740261789</v>
      </c>
      <c r="P38" s="753">
        <f>PROJ_AGCeAGPar!U353</f>
        <v>-614.0176836530793</v>
      </c>
    </row>
    <row r="39" spans="2:16">
      <c r="B39" s="458" t="s">
        <v>561</v>
      </c>
      <c r="C39" s="458"/>
      <c r="D39" s="754">
        <f>D35+D36+D37+D38</f>
        <v>-32.544999999999561</v>
      </c>
      <c r="E39" s="754">
        <f t="shared" ref="E39:P39" si="22">E35+E36+E37+E38</f>
        <v>-19.335000000000065</v>
      </c>
      <c r="F39" s="776">
        <f t="shared" si="22"/>
        <v>592.89531698821622</v>
      </c>
      <c r="G39" s="754">
        <f t="shared" si="22"/>
        <v>-24.755875915250869</v>
      </c>
      <c r="H39" s="754">
        <f t="shared" si="22"/>
        <v>260.97815570145258</v>
      </c>
      <c r="I39" s="754">
        <f t="shared" si="22"/>
        <v>252.71334411240377</v>
      </c>
      <c r="J39" s="754">
        <f t="shared" si="22"/>
        <v>152.0211850430311</v>
      </c>
      <c r="K39" s="754">
        <f t="shared" si="22"/>
        <v>190.01409780724691</v>
      </c>
      <c r="L39" s="754">
        <f t="shared" si="22"/>
        <v>223.54603463326174</v>
      </c>
      <c r="M39" s="754">
        <f t="shared" si="22"/>
        <v>274.6096832561401</v>
      </c>
      <c r="N39" s="754">
        <f t="shared" si="22"/>
        <v>338.72402646964235</v>
      </c>
      <c r="O39" s="754">
        <f t="shared" si="22"/>
        <v>377.42263860357116</v>
      </c>
      <c r="P39" s="754">
        <f t="shared" si="22"/>
        <v>436.6822671930081</v>
      </c>
    </row>
    <row r="40" spans="2:16" s="320" customFormat="1">
      <c r="B40" s="393" t="s">
        <v>739</v>
      </c>
      <c r="C40" s="1"/>
      <c r="D40" s="752">
        <f>PROJ_AGCeAGPar!I368</f>
        <v>30.927</v>
      </c>
      <c r="E40" s="752">
        <f>PROJ_AGCeAGPar!J368</f>
        <v>11.592000000000001</v>
      </c>
      <c r="F40" s="770">
        <f>PROJ_AGCeAGPar!K368</f>
        <v>604.48731698821666</v>
      </c>
      <c r="G40" s="752">
        <f>PROJ_AGCeAGPar!L368</f>
        <v>579.73144107296548</v>
      </c>
      <c r="H40" s="752">
        <f>PROJ_AGCeAGPar!M368</f>
        <v>840.70959677441806</v>
      </c>
      <c r="I40" s="752">
        <f>PROJ_AGCeAGPar!N368</f>
        <v>1093.4229408868218</v>
      </c>
      <c r="J40" s="752">
        <f>PROJ_AGCeAGPar!O368</f>
        <v>1245.4441259298528</v>
      </c>
      <c r="K40" s="752">
        <f>PROJ_AGCeAGPar!P368</f>
        <v>1435.4582237370996</v>
      </c>
      <c r="L40" s="752">
        <f>PROJ_AGCeAGPar!Q368</f>
        <v>1659.0042583703612</v>
      </c>
      <c r="M40" s="752">
        <f>PROJ_AGCeAGPar!R368</f>
        <v>1933.6139416265014</v>
      </c>
      <c r="N40" s="752">
        <f>PROJ_AGCeAGPar!S368</f>
        <v>2272.3379680961434</v>
      </c>
      <c r="O40" s="752">
        <f>PROJ_AGCeAGPar!T368</f>
        <v>2649.760606699715</v>
      </c>
      <c r="P40" s="752">
        <f>PROJ_AGCeAGPar!U368</f>
        <v>3086.4428738927227</v>
      </c>
    </row>
    <row r="41" spans="2:16" s="320" customFormat="1">
      <c r="B41" s="376" t="s">
        <v>740</v>
      </c>
      <c r="C41" s="747"/>
      <c r="D41" s="755">
        <f>PROJ_AGCeAGPar!I314+PROJ_AGCeAGPar!I315+PROJ_AGCeAGPar!I316</f>
        <v>1498.731</v>
      </c>
      <c r="E41" s="755">
        <f>PROJ_AGCeAGPar!J314+PROJ_AGCeAGPar!J315+PROJ_AGCeAGPar!J316</f>
        <v>1969.4179999999999</v>
      </c>
      <c r="F41" s="777">
        <f>PROJ_AGCeAGPar!K314+PROJ_AGCeAGPar!K315+PROJ_AGCeAGPar!K316</f>
        <v>2751.8674066573508</v>
      </c>
      <c r="G41" s="755">
        <f>PROJ_AGCeAGPar!L314+PROJ_AGCeAGPar!L315+PROJ_AGCeAGPar!L316</f>
        <v>3211.6324476015257</v>
      </c>
      <c r="H41" s="755">
        <f>PROJ_AGCeAGPar!M314+PROJ_AGCeAGPar!M315+PROJ_AGCeAGPar!M316</f>
        <v>3308.5661906318587</v>
      </c>
      <c r="I41" s="755">
        <f>PROJ_AGCeAGPar!N314+PROJ_AGCeAGPar!N315+PROJ_AGCeAGPar!N316</f>
        <v>3412.1064328271577</v>
      </c>
      <c r="J41" s="755">
        <f>PROJ_AGCeAGPar!O314+PROJ_AGCeAGPar!O315+PROJ_AGCeAGPar!O316</f>
        <v>3536.2494105762544</v>
      </c>
      <c r="K41" s="755">
        <f>PROJ_AGCeAGPar!P314+PROJ_AGCeAGPar!P315+PROJ_AGCeAGPar!P316</f>
        <v>3689.5888400322028</v>
      </c>
      <c r="L41" s="755">
        <f>PROJ_AGCeAGPar!Q314+PROJ_AGCeAGPar!Q315+PROJ_AGCeAGPar!Q316</f>
        <v>3858.663087663494</v>
      </c>
      <c r="M41" s="755">
        <f>PROJ_AGCeAGPar!R314+PROJ_AGCeAGPar!R315+PROJ_AGCeAGPar!R316</f>
        <v>4052.5857523160248</v>
      </c>
      <c r="N41" s="755">
        <f>PROJ_AGCeAGPar!S314+PROJ_AGCeAGPar!S315+PROJ_AGCeAGPar!S316</f>
        <v>4273.9573806499066</v>
      </c>
      <c r="O41" s="755">
        <f>PROJ_AGCeAGPar!T314+PROJ_AGCeAGPar!T315+PROJ_AGCeAGPar!T316</f>
        <v>4513.0615448498165</v>
      </c>
      <c r="P41" s="755">
        <f>PROJ_AGCeAGPar!U314+PROJ_AGCeAGPar!U315+PROJ_AGCeAGPar!U316</f>
        <v>4786.507459011721</v>
      </c>
    </row>
    <row r="42" spans="2:16" s="320" customFormat="1">
      <c r="B42" s="735" t="s">
        <v>504</v>
      </c>
      <c r="D42" s="753">
        <f>PROJ_AGCeAGPar!I329</f>
        <v>1415.1650000000002</v>
      </c>
      <c r="E42" s="753">
        <f>PROJ_AGCeAGPar!J329</f>
        <v>1676.1190000000001</v>
      </c>
      <c r="F42" s="772">
        <f>PROJ_AGCeAGPar!K329</f>
        <v>2274.6270397695403</v>
      </c>
      <c r="G42" s="753">
        <f>PROJ_AGCeAGPar!L329</f>
        <v>2677.2061022317894</v>
      </c>
      <c r="H42" s="753">
        <f>PROJ_AGCeAGPar!M329</f>
        <v>3087.6066705303851</v>
      </c>
      <c r="I42" s="753">
        <f>PROJ_AGCeAGPar!N329</f>
        <v>3431.5351261273076</v>
      </c>
      <c r="J42" s="753">
        <f>PROJ_AGCeAGPar!O329</f>
        <v>3841.7200710146262</v>
      </c>
      <c r="K42" s="753">
        <f>PROJ_AGCeAGPar!P329</f>
        <v>4329.179807233887</v>
      </c>
      <c r="L42" s="753">
        <f>PROJ_AGCeAGPar!Q329</f>
        <v>4862.897827004047</v>
      </c>
      <c r="M42" s="753">
        <f>PROJ_AGCeAGPar!R329</f>
        <v>5474.1643201093912</v>
      </c>
      <c r="N42" s="753">
        <f>PROJ_AGCeAGPar!S329</f>
        <v>6169.745639346791</v>
      </c>
      <c r="O42" s="753">
        <f>PROJ_AGCeAGPar!T329</f>
        <v>6929.8030188816547</v>
      </c>
      <c r="P42" s="753">
        <f>PROJ_AGCeAGPar!U329</f>
        <v>7798.6233468591381</v>
      </c>
    </row>
    <row r="43" spans="2:16">
      <c r="C43" s="399" t="s">
        <v>566</v>
      </c>
      <c r="D43" s="753">
        <f>PROJ_AGCeAGPar!I365</f>
        <v>40.402000000000001</v>
      </c>
      <c r="E43" s="753">
        <f>PROJ_AGCeAGPar!J365</f>
        <v>40.195999999999998</v>
      </c>
      <c r="F43" s="772">
        <f>PROJ_AGCeAGPar!K365</f>
        <v>0</v>
      </c>
      <c r="G43" s="753">
        <f>PROJ_AGCeAGPar!L365</f>
        <v>14.634678333333333</v>
      </c>
      <c r="H43" s="753">
        <f>PROJ_AGCeAGPar!M365</f>
        <v>14.634678333333333</v>
      </c>
      <c r="I43" s="753">
        <f>PROJ_AGCeAGPar!N365</f>
        <v>147.96801166666668</v>
      </c>
      <c r="J43" s="753">
        <f>PROJ_AGCeAGPar!O365</f>
        <v>585.22673563957471</v>
      </c>
      <c r="K43" s="753">
        <f>PROJ_AGCeAGPar!P365</f>
        <v>583.6489455047323</v>
      </c>
      <c r="L43" s="753">
        <f>PROJ_AGCeAGPar!Q365</f>
        <v>587.38248893849163</v>
      </c>
      <c r="M43" s="753">
        <f>PROJ_AGCeAGPar!R365</f>
        <v>454.04915560515843</v>
      </c>
      <c r="N43" s="753">
        <f>PROJ_AGCeAGPar!S365</f>
        <v>327.36113329891708</v>
      </c>
      <c r="O43" s="753">
        <f>PROJ_AGCeAGPar!T365</f>
        <v>195.6055901004261</v>
      </c>
      <c r="P43" s="753">
        <f>PROJ_AGCeAGPar!U365</f>
        <v>58.538713333333334</v>
      </c>
    </row>
    <row r="44" spans="2:16">
      <c r="C44" s="399" t="s">
        <v>567</v>
      </c>
      <c r="D44" s="753">
        <f>PROJ_AGCeAGPar!I366</f>
        <v>40.003999999999998</v>
      </c>
      <c r="E44" s="753">
        <f>PROJ_AGCeAGPar!J366</f>
        <v>159.91200000000001</v>
      </c>
      <c r="F44" s="772">
        <f>PROJ_AGCeAGPar!K366</f>
        <v>1078.4983542621301</v>
      </c>
      <c r="G44" s="753">
        <f>PROJ_AGCeAGPar!L366</f>
        <v>1104.8383638224102</v>
      </c>
      <c r="H44" s="753">
        <f>PROJ_AGCeAGPar!M366</f>
        <v>1106.4761450537699</v>
      </c>
      <c r="I44" s="753">
        <f>PROJ_AGCeAGPar!N366</f>
        <v>972.24791971127001</v>
      </c>
      <c r="J44" s="753">
        <f>PROJ_AGCeAGPar!O366</f>
        <v>394.74854616479001</v>
      </c>
      <c r="K44" s="753">
        <f>PROJ_AGCeAGPar!P366</f>
        <v>255.21528431197001</v>
      </c>
      <c r="L44" s="753">
        <f>PROJ_AGCeAGPar!Q366</f>
        <v>110.58005682677</v>
      </c>
      <c r="M44" s="753">
        <f>PROJ_AGCeAGPar!R366</f>
        <v>103.88922225241001</v>
      </c>
      <c r="N44" s="753">
        <f>PROJ_AGCeAGPar!S366</f>
        <v>98.114780701650005</v>
      </c>
      <c r="O44" s="753">
        <f>PROJ_AGCeAGPar!T366</f>
        <v>87.34542640075</v>
      </c>
      <c r="P44" s="753">
        <f>PROJ_AGCeAGPar!U366</f>
        <v>71.16558675556</v>
      </c>
    </row>
    <row r="45" spans="2:16">
      <c r="B45" s="744" t="s">
        <v>326</v>
      </c>
      <c r="C45" s="743"/>
      <c r="D45" s="754">
        <f>PROJ_AGCeAGPar!I367</f>
        <v>80.406000000000006</v>
      </c>
      <c r="E45" s="754">
        <f>PROJ_AGCeAGPar!J367</f>
        <v>200.108</v>
      </c>
      <c r="F45" s="776">
        <f>PROJ_AGCeAGPar!K367</f>
        <v>1078.4983542621301</v>
      </c>
      <c r="G45" s="754">
        <f>PROJ_AGCeAGPar!L367</f>
        <v>1119.4730421557435</v>
      </c>
      <c r="H45" s="754">
        <f>PROJ_AGCeAGPar!M367</f>
        <v>1121.1108233871032</v>
      </c>
      <c r="I45" s="754">
        <f>PROJ_AGCeAGPar!N367</f>
        <v>1120.2159313779366</v>
      </c>
      <c r="J45" s="754">
        <f>PROJ_AGCeAGPar!O367</f>
        <v>979.97528180436473</v>
      </c>
      <c r="K45" s="754">
        <f>PROJ_AGCeAGPar!P367</f>
        <v>838.86422981670228</v>
      </c>
      <c r="L45" s="754">
        <f>PROJ_AGCeAGPar!Q367</f>
        <v>697.96254576526167</v>
      </c>
      <c r="M45" s="754">
        <f>PROJ_AGCeAGPar!R367</f>
        <v>557.93837785756841</v>
      </c>
      <c r="N45" s="754">
        <f>PROJ_AGCeAGPar!S367</f>
        <v>425.47591400056706</v>
      </c>
      <c r="O45" s="754">
        <f>PROJ_AGCeAGPar!T367</f>
        <v>282.95101650117613</v>
      </c>
      <c r="P45" s="754">
        <f>PROJ_AGCeAGPar!U367</f>
        <v>129.70430008889332</v>
      </c>
    </row>
    <row r="46" spans="2:16" s="37" customFormat="1">
      <c r="B46" s="357" t="s">
        <v>327</v>
      </c>
      <c r="D46" s="753">
        <f>PROJ_AGCeAGPar!I369</f>
        <v>49.479000000000006</v>
      </c>
      <c r="E46" s="753">
        <f>PROJ_AGCeAGPar!J369</f>
        <v>188.51599999999999</v>
      </c>
      <c r="F46" s="772">
        <f>PROJ_AGCeAGPar!K369</f>
        <v>474.01103727391342</v>
      </c>
      <c r="G46" s="753">
        <f>PROJ_AGCeAGPar!L369</f>
        <v>539.74160108277806</v>
      </c>
      <c r="H46" s="753">
        <f>PROJ_AGCeAGPar!M369</f>
        <v>280.40122661268515</v>
      </c>
      <c r="I46" s="753">
        <f>PROJ_AGCeAGPar!N369</f>
        <v>26.792990491114779</v>
      </c>
      <c r="J46" s="753">
        <f>PROJ_AGCeAGPar!O369</f>
        <v>-265.46884412548809</v>
      </c>
      <c r="K46" s="753">
        <f>PROJ_AGCeAGPar!P369</f>
        <v>-596.59399392039734</v>
      </c>
      <c r="L46" s="753">
        <f>PROJ_AGCeAGPar!Q369</f>
        <v>-961.04171260509952</v>
      </c>
      <c r="M46" s="753">
        <f>PROJ_AGCeAGPar!R369</f>
        <v>-1375.675563768933</v>
      </c>
      <c r="N46" s="753">
        <f>PROJ_AGCeAGPar!S369</f>
        <v>-1846.8620540955762</v>
      </c>
      <c r="O46" s="753">
        <f>PROJ_AGCeAGPar!T369</f>
        <v>-2366.8095901985389</v>
      </c>
      <c r="P46" s="753">
        <f>PROJ_AGCeAGPar!U369</f>
        <v>-2956.7385738038292</v>
      </c>
    </row>
    <row r="47" spans="2:16">
      <c r="B47" s="745" t="s">
        <v>568</v>
      </c>
      <c r="C47" s="746"/>
      <c r="D47" s="756">
        <f>PROJ_AGCeAGPar!I370</f>
        <v>5.6817402917680976E-2</v>
      </c>
      <c r="E47" s="756">
        <f>PROJ_AGCeAGPar!J370</f>
        <v>0.11938770457228871</v>
      </c>
      <c r="F47" s="778">
        <f>PROJ_AGCeAGPar!K370</f>
        <v>0.47414294097699677</v>
      </c>
      <c r="G47" s="756">
        <f>PROJ_AGCeAGPar!L370</f>
        <v>0.41814974245819975</v>
      </c>
      <c r="H47" s="756">
        <f>PROJ_AGCeAGPar!M370</f>
        <v>0.36310027248209054</v>
      </c>
      <c r="I47" s="756">
        <f>PROJ_AGCeAGPar!N370</f>
        <v>0.32644746161819627</v>
      </c>
      <c r="J47" s="756">
        <f>PROJ_AGCeAGPar!O370</f>
        <v>0.25508763358324182</v>
      </c>
      <c r="K47" s="756">
        <f>PROJ_AGCeAGPar!P370</f>
        <v>0.19376978253825206</v>
      </c>
      <c r="L47" s="756">
        <f>PROJ_AGCeAGPar!Q370</f>
        <v>0.14352811237147978</v>
      </c>
      <c r="M47" s="756">
        <f>PROJ_AGCeAGPar!R370</f>
        <v>0.10192210997539421</v>
      </c>
      <c r="N47" s="756">
        <f>PROJ_AGCeAGPar!S370</f>
        <v>6.8961662096269735E-2</v>
      </c>
      <c r="O47" s="756">
        <f>PROJ_AGCeAGPar!T370</f>
        <v>4.0831033108764944E-2</v>
      </c>
      <c r="P47" s="756">
        <f>PROJ_AGCeAGPar!U370</f>
        <v>1.6631691815342148E-2</v>
      </c>
    </row>
    <row r="48" spans="2:16">
      <c r="C48" s="399" t="s">
        <v>745</v>
      </c>
      <c r="D48" s="753">
        <f>PROJ_AGCeAGPar!I372</f>
        <v>-161.72599999999997</v>
      </c>
      <c r="E48" s="753">
        <f>PROJ_AGCeAGPar!J372</f>
        <v>-24.687000000000001</v>
      </c>
      <c r="F48" s="772">
        <f>PROJ_AGCeAGPar!K372</f>
        <v>-72.70932074246133</v>
      </c>
      <c r="G48" s="753">
        <f>PROJ_AGCeAGPar!L372</f>
        <v>-48.733948643292152</v>
      </c>
      <c r="H48" s="753">
        <f>PROJ_AGCeAGPar!M372</f>
        <v>-92.965734499465171</v>
      </c>
      <c r="I48" s="753">
        <f>PROJ_AGCeAGPar!N372</f>
        <v>-96.370300186178412</v>
      </c>
      <c r="J48" s="753">
        <f>PROJ_AGCeAGPar!O372</f>
        <v>-230.90191737454879</v>
      </c>
      <c r="K48" s="753">
        <f>PROJ_AGCeAGPar!P372</f>
        <v>-216.97467276371447</v>
      </c>
      <c r="L48" s="753">
        <f>PROJ_AGCeAGPar!Q372</f>
        <v>-202.81817397085308</v>
      </c>
      <c r="M48" s="753">
        <f>PROJ_AGCeAGPar!R372</f>
        <v>-188.67789437881822</v>
      </c>
      <c r="N48" s="753">
        <f>PROJ_AGCeAGPar!S372</f>
        <v>-168.26924888490049</v>
      </c>
      <c r="O48" s="753">
        <f>PROJ_AGCeAGPar!T372</f>
        <v>-165.42331011693489</v>
      </c>
      <c r="P48" s="753">
        <f>PROJ_AGCeAGPar!U372</f>
        <v>-162.13090599719897</v>
      </c>
    </row>
    <row r="49" spans="2:16">
      <c r="B49" s="458" t="s">
        <v>746</v>
      </c>
      <c r="C49" s="746"/>
      <c r="D49" s="792">
        <f t="shared" ref="D49:P49" si="23">D35/-D48</f>
        <v>1.4101195849770614</v>
      </c>
      <c r="E49" s="792">
        <f t="shared" si="23"/>
        <v>-6.543727467898087</v>
      </c>
      <c r="F49" s="793">
        <f t="shared" si="23"/>
        <v>-1.3626107256240385</v>
      </c>
      <c r="G49" s="792">
        <f t="shared" si="23"/>
        <v>1.2242577571476023</v>
      </c>
      <c r="H49" s="792">
        <f t="shared" si="23"/>
        <v>4.164653372152725</v>
      </c>
      <c r="I49" s="792">
        <f t="shared" si="23"/>
        <v>5.8605358665289664</v>
      </c>
      <c r="J49" s="792">
        <f t="shared" si="23"/>
        <v>2.8730014640001031</v>
      </c>
      <c r="K49" s="792">
        <f t="shared" si="23"/>
        <v>3.5587570631908165</v>
      </c>
      <c r="L49" s="792">
        <f t="shared" si="23"/>
        <v>4.1778083012396845</v>
      </c>
      <c r="M49" s="792">
        <f t="shared" si="23"/>
        <v>5.1287645061380802</v>
      </c>
      <c r="N49" s="792">
        <f t="shared" si="23"/>
        <v>6.5402441440114316</v>
      </c>
      <c r="O49" s="792">
        <f t="shared" si="23"/>
        <v>7.3001712859307517</v>
      </c>
      <c r="P49" s="792">
        <f t="shared" si="23"/>
        <v>8.4869970347654498</v>
      </c>
    </row>
    <row r="52" spans="2:16">
      <c r="B52" s="758" t="s">
        <v>741</v>
      </c>
      <c r="C52" s="738"/>
      <c r="D52" s="739">
        <v>2010</v>
      </c>
      <c r="E52" s="739">
        <v>2011</v>
      </c>
      <c r="F52" s="767">
        <f>E52+1</f>
        <v>2012</v>
      </c>
      <c r="G52" s="749">
        <f t="shared" ref="G52:M52" si="24">F52+1</f>
        <v>2013</v>
      </c>
      <c r="H52" s="749">
        <f t="shared" si="24"/>
        <v>2014</v>
      </c>
      <c r="I52" s="749">
        <f t="shared" si="24"/>
        <v>2015</v>
      </c>
      <c r="J52" s="749">
        <f t="shared" si="24"/>
        <v>2016</v>
      </c>
      <c r="K52" s="749">
        <f t="shared" si="24"/>
        <v>2017</v>
      </c>
      <c r="L52" s="749">
        <f t="shared" si="24"/>
        <v>2018</v>
      </c>
      <c r="M52" s="749">
        <f t="shared" si="24"/>
        <v>2019</v>
      </c>
      <c r="N52" s="749">
        <f>M52+1</f>
        <v>2020</v>
      </c>
      <c r="O52" s="749">
        <f t="shared" ref="O52" si="25">N52+1</f>
        <v>2021</v>
      </c>
      <c r="P52" s="749">
        <f>O52+1</f>
        <v>2022</v>
      </c>
    </row>
    <row r="53" spans="2:16" ht="3.75" customHeight="1">
      <c r="B53" s="741"/>
      <c r="C53" s="741"/>
      <c r="D53" s="750"/>
      <c r="E53" s="750"/>
      <c r="F53" s="768"/>
      <c r="G53" s="751"/>
      <c r="H53" s="751"/>
      <c r="I53" s="751"/>
      <c r="J53" s="751"/>
      <c r="K53" s="751"/>
      <c r="L53" s="751"/>
      <c r="M53" s="751"/>
      <c r="N53" s="751"/>
      <c r="O53" s="751"/>
      <c r="P53" s="751"/>
    </row>
    <row r="54" spans="2:16">
      <c r="B54" s="813" t="s">
        <v>747</v>
      </c>
      <c r="C54" s="813"/>
      <c r="D54" s="814"/>
      <c r="E54" s="814"/>
      <c r="F54" s="815"/>
      <c r="G54" s="814"/>
      <c r="H54" s="814"/>
      <c r="I54" s="814"/>
      <c r="J54" s="814"/>
      <c r="K54" s="814"/>
      <c r="L54" s="814"/>
      <c r="M54" s="814"/>
      <c r="N54" s="814"/>
      <c r="O54" s="814"/>
      <c r="P54" s="814"/>
    </row>
    <row r="55" spans="2:16" s="742" customFormat="1">
      <c r="B55" s="399" t="s">
        <v>748</v>
      </c>
      <c r="C55" s="757"/>
      <c r="D55" s="753">
        <f>PROJ_ConsAG!I8</f>
        <v>4256.1289999999999</v>
      </c>
      <c r="E55" s="753">
        <f>PROJ_ConsAG!J8</f>
        <v>4337.5320000000002</v>
      </c>
      <c r="F55" s="772">
        <f>PROJ_ConsAG!K8</f>
        <v>4408.0692079160808</v>
      </c>
      <c r="G55" s="753">
        <f>PROJ_ConsAG!L8</f>
        <v>4518.6059881091433</v>
      </c>
      <c r="H55" s="753">
        <f>PROJ_ConsAG!M8</f>
        <v>4618.0153198475446</v>
      </c>
      <c r="I55" s="753">
        <f>PROJ_ConsAG!N8</f>
        <v>4726.538679863962</v>
      </c>
      <c r="J55" s="753">
        <f>PROJ_ConsAG!O8</f>
        <v>4844.7021468605608</v>
      </c>
      <c r="K55" s="753">
        <f>PROJ_ConsAG!P8</f>
        <v>4958.5526473117843</v>
      </c>
      <c r="L55" s="753">
        <f>PROJ_ConsAG!Q8</f>
        <v>5077.5579108472675</v>
      </c>
      <c r="M55" s="753">
        <f>PROJ_ConsAG!R8</f>
        <v>5201.9580796630253</v>
      </c>
      <c r="N55" s="753">
        <f>PROJ_ConsAG!S8</f>
        <v>5332.0070316546007</v>
      </c>
      <c r="O55" s="753">
        <f>PROJ_ConsAG!T8</f>
        <v>5466.5837676136052</v>
      </c>
      <c r="P55" s="753">
        <f>PROJ_ConsAG!U8</f>
        <v>5605.8784550398932</v>
      </c>
    </row>
    <row r="56" spans="2:16" s="742" customFormat="1">
      <c r="B56" s="784" t="s">
        <v>733</v>
      </c>
      <c r="C56" s="757"/>
      <c r="D56" s="753"/>
      <c r="E56" s="785">
        <f>PROJ_ConsAG!J9</f>
        <v>1.9126065022935235E-2</v>
      </c>
      <c r="F56" s="771">
        <f>PROJ_ConsAG!K9</f>
        <v>1.6262060525681576E-2</v>
      </c>
      <c r="G56" s="785">
        <f>PROJ_ConsAG!L9</f>
        <v>2.5076008333662081E-2</v>
      </c>
      <c r="H56" s="785">
        <f>PROJ_ConsAG!M9</f>
        <v>2.200000000000002E-2</v>
      </c>
      <c r="I56" s="785">
        <f>PROJ_ConsAG!N9</f>
        <v>2.3500000000000076E-2</v>
      </c>
      <c r="J56" s="785">
        <f>PROJ_ConsAG!O9</f>
        <v>2.4999999999999911E-2</v>
      </c>
      <c r="K56" s="785">
        <f>PROJ_ConsAG!P9</f>
        <v>2.3500000000000076E-2</v>
      </c>
      <c r="L56" s="785">
        <f>PROJ_ConsAG!Q9</f>
        <v>2.4000000000000021E-2</v>
      </c>
      <c r="M56" s="785">
        <f>PROJ_ConsAG!R9</f>
        <v>2.4499999999999966E-2</v>
      </c>
      <c r="N56" s="785">
        <f>PROJ_ConsAG!S9</f>
        <v>2.4999999999999911E-2</v>
      </c>
      <c r="O56" s="785">
        <f>PROJ_ConsAG!T9</f>
        <v>2.5239414569422136E-2</v>
      </c>
      <c r="P56" s="785">
        <f>PROJ_ConsAG!U9</f>
        <v>2.5481121912286353E-2</v>
      </c>
    </row>
    <row r="57" spans="2:16" s="742" customFormat="1">
      <c r="B57" s="784" t="s">
        <v>684</v>
      </c>
      <c r="C57" s="757"/>
      <c r="D57" s="753"/>
      <c r="E57" s="786">
        <f>PROJ_ConsAG!J10</f>
        <v>0.69988038006714526</v>
      </c>
      <c r="F57" s="795">
        <f>PROJ_ConsAG!K10</f>
        <v>0.5</v>
      </c>
      <c r="G57" s="786">
        <f>PROJ_ConsAG!L10</f>
        <v>0.5</v>
      </c>
      <c r="H57" s="786">
        <f>PROJ_ConsAG!M10</f>
        <v>0.5</v>
      </c>
      <c r="I57" s="786">
        <f>PROJ_ConsAG!N10</f>
        <v>0.5</v>
      </c>
      <c r="J57" s="786">
        <f>PROJ_ConsAG!O10</f>
        <v>0.5</v>
      </c>
      <c r="K57" s="786">
        <f>PROJ_ConsAG!P10</f>
        <v>0.5</v>
      </c>
      <c r="L57" s="786">
        <f>PROJ_ConsAG!Q10</f>
        <v>0.5</v>
      </c>
      <c r="M57" s="786">
        <f>PROJ_ConsAG!R10</f>
        <v>0.5</v>
      </c>
      <c r="N57" s="786">
        <f>PROJ_ConsAG!S10</f>
        <v>0.5</v>
      </c>
      <c r="O57" s="786">
        <f>PROJ_ConsAG!T10</f>
        <v>0.5</v>
      </c>
      <c r="P57" s="786">
        <f>PROJ_ConsAG!U10</f>
        <v>0.5</v>
      </c>
    </row>
    <row r="58" spans="2:16" s="742" customFormat="1">
      <c r="B58" s="401" t="s">
        <v>311</v>
      </c>
      <c r="C58" s="757"/>
      <c r="D58" s="752">
        <f>PROJ_ConsAG!I21</f>
        <v>564.02099999999973</v>
      </c>
      <c r="E58" s="752">
        <f>PROJ_ConsAG!J21</f>
        <v>682.93100000000027</v>
      </c>
      <c r="F58" s="770">
        <f>PROJ_ConsAG!K21</f>
        <v>652.71640190981498</v>
      </c>
      <c r="G58" s="752">
        <f>PROJ_ConsAG!L21</f>
        <v>669.08392384362321</v>
      </c>
      <c r="H58" s="752">
        <f>PROJ_ConsAG!M21</f>
        <v>683.80377016818295</v>
      </c>
      <c r="I58" s="752">
        <f>PROJ_ConsAG!N21</f>
        <v>699.87315876713558</v>
      </c>
      <c r="J58" s="752">
        <f>PROJ_ConsAG!O21</f>
        <v>717.36998773631365</v>
      </c>
      <c r="K58" s="752">
        <f>PROJ_ConsAG!P21</f>
        <v>734.22818244811731</v>
      </c>
      <c r="L58" s="752">
        <f>PROJ_ConsAG!Q21</f>
        <v>751.84965882687197</v>
      </c>
      <c r="M58" s="752">
        <f>PROJ_ConsAG!R21</f>
        <v>770.26997546813027</v>
      </c>
      <c r="N58" s="752">
        <f>PROJ_ConsAG!S21</f>
        <v>789.52672485483379</v>
      </c>
      <c r="O58" s="752">
        <f>PROJ_ConsAG!T21</f>
        <v>809.45391717708287</v>
      </c>
      <c r="P58" s="752">
        <f>PROJ_ConsAG!U21</f>
        <v>830.07971112304972</v>
      </c>
    </row>
    <row r="59" spans="2:16" s="742" customFormat="1">
      <c r="B59" s="787" t="s">
        <v>328</v>
      </c>
      <c r="C59" s="757"/>
      <c r="D59" s="785">
        <f>PROJ_ConsAG!I22</f>
        <v>0.13251971451053288</v>
      </c>
      <c r="E59" s="785">
        <f>PROJ_ConsAG!J22</f>
        <v>0.15744690759630137</v>
      </c>
      <c r="F59" s="771">
        <f>PROJ_ConsAG!K22</f>
        <v>0.14807308395649879</v>
      </c>
      <c r="G59" s="785">
        <f>PROJ_ConsAG!L22</f>
        <v>0.14807308395649876</v>
      </c>
      <c r="H59" s="785">
        <f>PROJ_ConsAG!M22</f>
        <v>0.14807308395649876</v>
      </c>
      <c r="I59" s="785">
        <f>PROJ_ConsAG!N22</f>
        <v>0.14807308395649882</v>
      </c>
      <c r="J59" s="785">
        <f>PROJ_ConsAG!O22</f>
        <v>0.14807308395649876</v>
      </c>
      <c r="K59" s="785">
        <f>PROJ_ConsAG!P22</f>
        <v>0.14807308395649882</v>
      </c>
      <c r="L59" s="785">
        <f>PROJ_ConsAG!Q22</f>
        <v>0.14807308395649876</v>
      </c>
      <c r="M59" s="785">
        <f>PROJ_ConsAG!R22</f>
        <v>0.14807308395649876</v>
      </c>
      <c r="N59" s="785">
        <f>PROJ_ConsAG!S22</f>
        <v>0.14807308395649882</v>
      </c>
      <c r="O59" s="785">
        <f>PROJ_ConsAG!T22</f>
        <v>0.14807308395649879</v>
      </c>
      <c r="P59" s="785">
        <f>PROJ_ConsAG!U22</f>
        <v>0.14807308395649876</v>
      </c>
    </row>
    <row r="60" spans="2:16">
      <c r="B60" s="1" t="s">
        <v>749</v>
      </c>
      <c r="C60" s="1"/>
      <c r="D60" s="752">
        <f>PROJ_ConsAG!I39</f>
        <v>364.19269999999972</v>
      </c>
      <c r="E60" s="752">
        <f>PROJ_ConsAG!J39</f>
        <v>396.27900000000022</v>
      </c>
      <c r="F60" s="770">
        <f>PROJ_ConsAG!K39</f>
        <v>449.65118493658451</v>
      </c>
      <c r="G60" s="752">
        <f>PROJ_ConsAG!L39</f>
        <v>463.47551318530191</v>
      </c>
      <c r="H60" s="752">
        <f>PROJ_ConsAG!M39</f>
        <v>462.0942795733481</v>
      </c>
      <c r="I60" s="752">
        <f>PROJ_ConsAG!N39</f>
        <v>450.95186388049251</v>
      </c>
      <c r="J60" s="752">
        <f>PROJ_ConsAG!O39</f>
        <v>440.99893463931915</v>
      </c>
      <c r="K60" s="752">
        <f>PROJ_ConsAG!P39</f>
        <v>433.8120283027406</v>
      </c>
      <c r="L60" s="752">
        <f>PROJ_ConsAG!Q39</f>
        <v>436.29942261792428</v>
      </c>
      <c r="M60" s="752">
        <f>PROJ_ConsAG!R39</f>
        <v>443.0801437164107</v>
      </c>
      <c r="N60" s="752">
        <f>PROJ_ConsAG!S39</f>
        <v>452.71496854681527</v>
      </c>
      <c r="O60" s="752">
        <f>PROJ_ConsAG!T39</f>
        <v>463.64060648389147</v>
      </c>
      <c r="P60" s="752">
        <f>PROJ_ConsAG!U39</f>
        <v>473.67174918104553</v>
      </c>
    </row>
    <row r="61" spans="2:16">
      <c r="B61" s="37"/>
      <c r="C61" s="759" t="s">
        <v>733</v>
      </c>
      <c r="D61" s="766"/>
      <c r="E61" s="764">
        <f>E60/D60-1</f>
        <v>8.8102534729555426E-2</v>
      </c>
      <c r="F61" s="774">
        <f t="shared" ref="F61:P61" si="26">F60/E60-1</f>
        <v>0.13468335424431843</v>
      </c>
      <c r="G61" s="764">
        <f t="shared" si="26"/>
        <v>3.0744560921522002E-2</v>
      </c>
      <c r="H61" s="764">
        <f t="shared" si="26"/>
        <v>-2.9801652356152841E-3</v>
      </c>
      <c r="I61" s="764">
        <f t="shared" si="26"/>
        <v>-2.4112862213190311E-2</v>
      </c>
      <c r="J61" s="764">
        <f t="shared" si="26"/>
        <v>-2.2070934923136276E-2</v>
      </c>
      <c r="K61" s="764">
        <f t="shared" si="26"/>
        <v>-1.6296879135221709E-2</v>
      </c>
      <c r="L61" s="764">
        <f t="shared" si="26"/>
        <v>5.7338067017538297E-3</v>
      </c>
      <c r="M61" s="764">
        <f t="shared" si="26"/>
        <v>1.5541439541221669E-2</v>
      </c>
      <c r="N61" s="764">
        <f t="shared" si="26"/>
        <v>2.1745106313252549E-2</v>
      </c>
      <c r="O61" s="764">
        <f t="shared" si="26"/>
        <v>2.4133591102911245E-2</v>
      </c>
      <c r="P61" s="764">
        <f t="shared" si="26"/>
        <v>2.1635599981690845E-2</v>
      </c>
    </row>
    <row r="62" spans="2:16" s="320" customFormat="1">
      <c r="B62" s="37"/>
      <c r="C62" s="37" t="s">
        <v>595</v>
      </c>
      <c r="D62" s="788">
        <f>PROJ_ConsAG!I114</f>
        <v>75.427999999999997</v>
      </c>
      <c r="E62" s="788">
        <f>PROJ_ConsAG!J114</f>
        <v>67.100999999999999</v>
      </c>
      <c r="F62" s="796">
        <f>PROJ_ConsAG!K114</f>
        <v>84.967876611157422</v>
      </c>
      <c r="G62" s="788">
        <f>PROJ_ConsAG!L114</f>
        <v>103.28278316911273</v>
      </c>
      <c r="H62" s="788">
        <f>PROJ_ConsAG!M114</f>
        <v>122.00061767134305</v>
      </c>
      <c r="I62" s="788">
        <f>PROJ_ConsAG!N114</f>
        <v>141.1583212843758</v>
      </c>
      <c r="J62" s="788">
        <f>PROJ_ConsAG!O114</f>
        <v>160.79496748773437</v>
      </c>
      <c r="K62" s="788">
        <f>PROJ_ConsAG!P114</f>
        <v>180.89307487687188</v>
      </c>
      <c r="L62" s="788">
        <f>PROJ_ConsAG!Q114</f>
        <v>201.47353684334868</v>
      </c>
      <c r="M62" s="788">
        <f>PROJ_ConsAG!R114</f>
        <v>222.55822012800417</v>
      </c>
      <c r="N62" s="788">
        <f>PROJ_ConsAG!S114</f>
        <v>244.17002049477605</v>
      </c>
      <c r="O62" s="788">
        <f>PROJ_ConsAG!T114</f>
        <v>266.32729005059645</v>
      </c>
      <c r="P62" s="788">
        <f>PROJ_ConsAG!U114</f>
        <v>289.04915169321214</v>
      </c>
    </row>
    <row r="63" spans="2:16">
      <c r="B63" s="320"/>
      <c r="C63" s="37" t="s">
        <v>734</v>
      </c>
      <c r="D63" s="753">
        <f>PROJ_ConsAG!I115</f>
        <v>-91.328000000000003</v>
      </c>
      <c r="E63" s="753">
        <f>PROJ_ConsAG!J115</f>
        <v>-200.84700000000001</v>
      </c>
      <c r="F63" s="772">
        <f>PROJ_ConsAG!K115</f>
        <v>-198.36311435622363</v>
      </c>
      <c r="G63" s="753">
        <f>PROJ_ConsAG!L115</f>
        <v>-203.33726946491143</v>
      </c>
      <c r="H63" s="753">
        <f>PROJ_ConsAG!M115</f>
        <v>-207.81068939313948</v>
      </c>
      <c r="I63" s="753">
        <f>PROJ_ConsAG!N115</f>
        <v>-212.69424059387828</v>
      </c>
      <c r="J63" s="753">
        <f>PROJ_ConsAG!O115</f>
        <v>-218.01159660872523</v>
      </c>
      <c r="K63" s="753">
        <f>PROJ_ConsAG!P115</f>
        <v>-223.13486912903028</v>
      </c>
      <c r="L63" s="753">
        <f>PROJ_ConsAG!Q115</f>
        <v>-228.49010598812703</v>
      </c>
      <c r="M63" s="753">
        <f>PROJ_ConsAG!R115</f>
        <v>-234.08811358483612</v>
      </c>
      <c r="N63" s="753">
        <f>PROJ_ConsAG!S115</f>
        <v>-239.94031642445702</v>
      </c>
      <c r="O63" s="753">
        <f>PROJ_ConsAG!T115</f>
        <v>-245.99626954261223</v>
      </c>
      <c r="P63" s="753">
        <f>PROJ_ConsAG!U115</f>
        <v>-252.26453047679519</v>
      </c>
    </row>
    <row r="64" spans="2:16">
      <c r="B64" s="320"/>
      <c r="C64" s="759" t="s">
        <v>733</v>
      </c>
      <c r="D64" s="760"/>
      <c r="E64" s="764">
        <f>E63/D63-1</f>
        <v>1.1991831639803783</v>
      </c>
      <c r="F64" s="774">
        <f t="shared" ref="F64" si="27">F63/E63-1</f>
        <v>-1.2367053746266454E-2</v>
      </c>
      <c r="G64" s="764">
        <f t="shared" ref="G64" si="28">G63/F63-1</f>
        <v>2.5076008333661859E-2</v>
      </c>
      <c r="H64" s="764">
        <f t="shared" ref="H64" si="29">H63/G63-1</f>
        <v>2.200000000000002E-2</v>
      </c>
      <c r="I64" s="764">
        <f t="shared" ref="I64" si="30">I63/H63-1</f>
        <v>2.3500000000000076E-2</v>
      </c>
      <c r="J64" s="764">
        <f t="shared" ref="J64" si="31">J63/I63-1</f>
        <v>2.4999999999999911E-2</v>
      </c>
      <c r="K64" s="764">
        <f t="shared" ref="K64" si="32">K63/J63-1</f>
        <v>2.3500000000000076E-2</v>
      </c>
      <c r="L64" s="764">
        <f t="shared" ref="L64" si="33">L63/K63-1</f>
        <v>2.4000000000000021E-2</v>
      </c>
      <c r="M64" s="764">
        <f t="shared" ref="M64" si="34">M63/L63-1</f>
        <v>2.4499999999999966E-2</v>
      </c>
      <c r="N64" s="764">
        <f t="shared" ref="N64" si="35">N63/M63-1</f>
        <v>2.4999999999999911E-2</v>
      </c>
      <c r="O64" s="764">
        <f t="shared" ref="O64" si="36">O63/N63-1</f>
        <v>2.5239414569422136E-2</v>
      </c>
      <c r="P64" s="764">
        <f t="shared" ref="P64" si="37">P63/O63-1</f>
        <v>2.5481121912286353E-2</v>
      </c>
    </row>
    <row r="65" spans="2:16">
      <c r="B65" s="320"/>
      <c r="C65" s="734" t="s">
        <v>556</v>
      </c>
      <c r="D65" s="753">
        <f>PROJ_ConsAG!I116</f>
        <v>55.290999999999997</v>
      </c>
      <c r="E65" s="753">
        <f>PROJ_ConsAG!J116</f>
        <v>56.290999999999997</v>
      </c>
      <c r="F65" s="772">
        <f>PROJ_ConsAG!K116</f>
        <v>57.290999999999997</v>
      </c>
      <c r="G65" s="753">
        <f>PROJ_ConsAG!L116</f>
        <v>58.290999999999997</v>
      </c>
      <c r="H65" s="753">
        <f>PROJ_ConsAG!M116</f>
        <v>59.290999999999997</v>
      </c>
      <c r="I65" s="753">
        <f>PROJ_ConsAG!N116</f>
        <v>60.290999999999997</v>
      </c>
      <c r="J65" s="753">
        <f>PROJ_ConsAG!O116</f>
        <v>61.290999999999997</v>
      </c>
      <c r="K65" s="753">
        <f>PROJ_ConsAG!P116</f>
        <v>62.290999999999997</v>
      </c>
      <c r="L65" s="753">
        <f>PROJ_ConsAG!Q116</f>
        <v>63.290999999999997</v>
      </c>
      <c r="M65" s="753">
        <f>PROJ_ConsAG!R116</f>
        <v>64.290999999999997</v>
      </c>
      <c r="N65" s="753">
        <f>PROJ_ConsAG!S116</f>
        <v>65.290999999999997</v>
      </c>
      <c r="O65" s="753">
        <f>PROJ_ConsAG!T116</f>
        <v>66.290999999999997</v>
      </c>
      <c r="P65" s="753">
        <f>PROJ_ConsAG!U116</f>
        <v>67.290999999999997</v>
      </c>
    </row>
    <row r="66" spans="2:16">
      <c r="B66" s="320"/>
      <c r="C66" s="734" t="s">
        <v>554</v>
      </c>
      <c r="D66" s="753">
        <f>PROJ_ConsAG!I117</f>
        <v>-1498.6650000000004</v>
      </c>
      <c r="E66" s="753">
        <f>PROJ_ConsAG!J117</f>
        <v>793.06200000000126</v>
      </c>
      <c r="F66" s="772">
        <f>PROJ_ConsAG!K117</f>
        <v>-4.8866972265341246</v>
      </c>
      <c r="G66" s="753">
        <f>PROJ_ConsAG!L117</f>
        <v>-267.40123084136508</v>
      </c>
      <c r="H66" s="753">
        <f>PROJ_ConsAG!M117</f>
        <v>-289.90062573794444</v>
      </c>
      <c r="I66" s="753">
        <f>PROJ_ConsAG!N117</f>
        <v>-279.83089028298878</v>
      </c>
      <c r="J66" s="753">
        <f>PROJ_ConsAG!O117</f>
        <v>-235.81257697266824</v>
      </c>
      <c r="K66" s="753">
        <f>PROJ_ConsAG!P117</f>
        <v>-107.95075650318881</v>
      </c>
      <c r="L66" s="753">
        <f>PROJ_ConsAG!Q117</f>
        <v>-43.349053282125396</v>
      </c>
      <c r="M66" s="753">
        <f>PROJ_ConsAG!R117</f>
        <v>-45.264566155970442</v>
      </c>
      <c r="N66" s="753">
        <f>PROJ_ConsAG!S117</f>
        <v>-47.28971079787425</v>
      </c>
      <c r="O66" s="753">
        <f>PROJ_ConsAG!T117</f>
        <v>-48.924804259553639</v>
      </c>
      <c r="P66" s="753">
        <f>PROJ_ConsAG!U117</f>
        <v>-50.655166185220878</v>
      </c>
    </row>
    <row r="67" spans="2:16">
      <c r="B67" s="320"/>
      <c r="C67" s="734" t="s">
        <v>668</v>
      </c>
      <c r="D67" s="753">
        <f>PROJ_ConsAG!I120</f>
        <v>-450.22800000000007</v>
      </c>
      <c r="E67" s="753">
        <f>PROJ_ConsAG!J120</f>
        <v>-74.643000000000058</v>
      </c>
      <c r="F67" s="772">
        <f>PROJ_ConsAG!K120</f>
        <v>0</v>
      </c>
      <c r="G67" s="753">
        <f>PROJ_ConsAG!L120</f>
        <v>0</v>
      </c>
      <c r="H67" s="753">
        <f>PROJ_ConsAG!M120</f>
        <v>0</v>
      </c>
      <c r="I67" s="753">
        <f>PROJ_ConsAG!N120</f>
        <v>0</v>
      </c>
      <c r="J67" s="753">
        <f>PROJ_ConsAG!O120</f>
        <v>0</v>
      </c>
      <c r="K67" s="753">
        <f>PROJ_ConsAG!P120</f>
        <v>0</v>
      </c>
      <c r="L67" s="753">
        <f>PROJ_ConsAG!Q120</f>
        <v>0</v>
      </c>
      <c r="M67" s="753">
        <f>PROJ_ConsAG!R120</f>
        <v>0</v>
      </c>
      <c r="N67" s="753">
        <f>PROJ_ConsAG!S120</f>
        <v>0</v>
      </c>
      <c r="O67" s="753">
        <f>PROJ_ConsAG!T120</f>
        <v>3.694822225952521E-13</v>
      </c>
      <c r="P67" s="753">
        <f>PROJ_ConsAG!U120</f>
        <v>0</v>
      </c>
    </row>
    <row r="68" spans="2:16" s="320" customFormat="1">
      <c r="C68" s="734" t="s">
        <v>677</v>
      </c>
      <c r="D68" s="753">
        <f>PROJ_ConsAG!I121</f>
        <v>-303.238</v>
      </c>
      <c r="E68" s="753">
        <f>PROJ_ConsAG!J121</f>
        <v>-121.91199999999998</v>
      </c>
      <c r="F68" s="772">
        <f>PROJ_ConsAG!K121</f>
        <v>-149.83881871127204</v>
      </c>
      <c r="G68" s="753">
        <f>PROJ_ConsAG!L121</f>
        <v>-153.71242535856203</v>
      </c>
      <c r="H68" s="753">
        <f>PROJ_ConsAG!M121</f>
        <v>-157.17470175645042</v>
      </c>
      <c r="I68" s="753">
        <f>PROJ_ConsAG!N121</f>
        <v>-160.9249922117271</v>
      </c>
      <c r="J68" s="753">
        <f>PROJ_ConsAG!O121</f>
        <v>-164.98798047702019</v>
      </c>
      <c r="K68" s="753">
        <f>PROJ_ConsAG!P121</f>
        <v>-168.89297365059031</v>
      </c>
      <c r="L68" s="753">
        <f>PROJ_ConsAG!Q121</f>
        <v>-172.86771168617244</v>
      </c>
      <c r="M68" s="753">
        <f>PROJ_ConsAG!R121</f>
        <v>-177.24664405187963</v>
      </c>
      <c r="N68" s="753">
        <f>PROJ_ConsAG!S121</f>
        <v>-181.67781015317678</v>
      </c>
      <c r="O68" s="753">
        <f>PROJ_ConsAG!T121</f>
        <v>-186.26325172169749</v>
      </c>
      <c r="P68" s="753">
        <f>PROJ_ConsAG!U121</f>
        <v>-191.00944834659697</v>
      </c>
    </row>
    <row r="69" spans="2:16">
      <c r="B69" s="458" t="s">
        <v>737</v>
      </c>
      <c r="C69" s="458"/>
      <c r="D69" s="754">
        <f>D60+D62+D63+D65+D66+D67+D68</f>
        <v>-1848.5473000000009</v>
      </c>
      <c r="E69" s="754">
        <f t="shared" ref="E69:P69" si="38">E60+E62+E63+E65+E66+E67+E68</f>
        <v>915.3310000000015</v>
      </c>
      <c r="F69" s="776">
        <f t="shared" si="38"/>
        <v>238.82143125371215</v>
      </c>
      <c r="G69" s="754">
        <f t="shared" si="38"/>
        <v>0.59837068957608608</v>
      </c>
      <c r="H69" s="754">
        <f t="shared" si="38"/>
        <v>-11.500119642843117</v>
      </c>
      <c r="I69" s="754">
        <f t="shared" si="38"/>
        <v>-1.0489379237258163</v>
      </c>
      <c r="J69" s="754">
        <f t="shared" si="38"/>
        <v>44.272748068639942</v>
      </c>
      <c r="K69" s="754">
        <f t="shared" si="38"/>
        <v>177.01750389680308</v>
      </c>
      <c r="L69" s="754">
        <f t="shared" si="38"/>
        <v>256.35708850484809</v>
      </c>
      <c r="M69" s="754">
        <f t="shared" si="38"/>
        <v>273.3300400517287</v>
      </c>
      <c r="N69" s="754">
        <f t="shared" si="38"/>
        <v>293.26815166608321</v>
      </c>
      <c r="O69" s="754">
        <f t="shared" si="38"/>
        <v>315.07457101062477</v>
      </c>
      <c r="P69" s="754">
        <f t="shared" si="38"/>
        <v>336.08275586564469</v>
      </c>
    </row>
    <row r="70" spans="2:16">
      <c r="B70" s="320"/>
      <c r="C70" s="734" t="s">
        <v>558</v>
      </c>
      <c r="D70" s="753">
        <f>PROJ_ConsAG!I124</f>
        <v>782.74600000000009</v>
      </c>
      <c r="E70" s="753">
        <f>PROJ_ConsAG!J124</f>
        <v>-333.11900000000009</v>
      </c>
      <c r="F70" s="772">
        <f>PROJ_ConsAG!K124</f>
        <v>-198.15600000000001</v>
      </c>
      <c r="G70" s="753">
        <f>PROJ_ConsAG!L124</f>
        <v>-26</v>
      </c>
      <c r="H70" s="753">
        <f>PROJ_ConsAG!M124</f>
        <v>-42</v>
      </c>
      <c r="I70" s="753">
        <f>PROJ_ConsAG!N124</f>
        <v>-78</v>
      </c>
      <c r="J70" s="753">
        <f>PROJ_ConsAG!O124</f>
        <v>-35.701999999999998</v>
      </c>
      <c r="K70" s="753">
        <f>PROJ_ConsAG!P124</f>
        <v>-25</v>
      </c>
      <c r="L70" s="753">
        <f>PROJ_ConsAG!Q124</f>
        <v>-44.769000000000005</v>
      </c>
      <c r="M70" s="753">
        <f>PROJ_ConsAG!R124</f>
        <v>0</v>
      </c>
      <c r="N70" s="753">
        <f>PROJ_ConsAG!S124</f>
        <v>0</v>
      </c>
      <c r="O70" s="753">
        <f>PROJ_ConsAG!T124</f>
        <v>0</v>
      </c>
      <c r="P70" s="753">
        <f>PROJ_ConsAG!U124</f>
        <v>0</v>
      </c>
    </row>
    <row r="71" spans="2:16">
      <c r="B71" s="320"/>
      <c r="C71" s="734" t="s">
        <v>559</v>
      </c>
      <c r="D71" s="753">
        <f>PROJ_ConsAG!I125</f>
        <v>1970.8203000000003</v>
      </c>
      <c r="E71" s="753">
        <f>PROJ_ConsAG!J125</f>
        <v>123.32300000000015</v>
      </c>
      <c r="F71" s="772">
        <f>PROJ_ConsAG!K125</f>
        <v>-5.3396078211222431</v>
      </c>
      <c r="G71" s="753">
        <f>PROJ_ConsAG!L125</f>
        <v>-5.5037717190757292</v>
      </c>
      <c r="H71" s="753">
        <f>PROJ_ConsAG!M125</f>
        <v>-5.4873695699333922</v>
      </c>
      <c r="I71" s="753">
        <f>PROJ_ConsAG!N125</f>
        <v>-5.3550533835807528</v>
      </c>
      <c r="J71" s="753">
        <f>PROJ_ConsAG!O125</f>
        <v>-5.2368623488421093</v>
      </c>
      <c r="K71" s="753">
        <f>PROJ_ConsAG!P125</f>
        <v>-5.1515178360944134</v>
      </c>
      <c r="L71" s="753">
        <f>PROJ_ConsAG!Q125</f>
        <v>-5.1810556435884791</v>
      </c>
      <c r="M71" s="753">
        <f>PROJ_ConsAG!R125</f>
        <v>-5.2615767066321553</v>
      </c>
      <c r="N71" s="753">
        <f>PROJ_ConsAG!S125</f>
        <v>-5.3759902514938886</v>
      </c>
      <c r="O71" s="753">
        <f>PROJ_ConsAG!T125</f>
        <v>-5.5057322019957269</v>
      </c>
      <c r="P71" s="753">
        <f>PROJ_ConsAG!U125</f>
        <v>-5.6248520215238926</v>
      </c>
    </row>
    <row r="72" spans="2:16">
      <c r="B72" s="320"/>
      <c r="C72" s="734" t="s">
        <v>673</v>
      </c>
      <c r="D72" s="753">
        <f>PROJ_ConsAG!I126</f>
        <v>-250.00000000000003</v>
      </c>
      <c r="E72" s="753">
        <f>PROJ_ConsAG!J126</f>
        <v>-99.281000000000006</v>
      </c>
      <c r="F72" s="772">
        <f>PROJ_ConsAG!K126</f>
        <v>-101.45254860131688</v>
      </c>
      <c r="G72" s="753">
        <f>PROJ_ConsAG!L126</f>
        <v>-104.57166266243374</v>
      </c>
      <c r="H72" s="753">
        <f>PROJ_ConsAG!M126</f>
        <v>-104.26002182873667</v>
      </c>
      <c r="I72" s="753">
        <f>PROJ_ConsAG!N126</f>
        <v>-101.74601428803612</v>
      </c>
      <c r="J72" s="753">
        <f>PROJ_ConsAG!O126</f>
        <v>-99.500384627996382</v>
      </c>
      <c r="K72" s="753">
        <f>PROJ_ConsAG!P126</f>
        <v>-97.878838885805848</v>
      </c>
      <c r="L72" s="753">
        <f>PROJ_ConsAG!Q126</f>
        <v>-98.440057228169167</v>
      </c>
      <c r="M72" s="753">
        <f>PROJ_ConsAG!R126</f>
        <v>-99.969957426015156</v>
      </c>
      <c r="N72" s="753">
        <f>PROJ_ConsAG!S126</f>
        <v>-102.14381477837519</v>
      </c>
      <c r="O72" s="753">
        <f>PROJ_ConsAG!T126</f>
        <v>-104.60891183792802</v>
      </c>
      <c r="P72" s="753">
        <f>PROJ_ConsAG!U126</f>
        <v>-106.8721884089734</v>
      </c>
    </row>
    <row r="73" spans="2:16">
      <c r="B73" s="458" t="s">
        <v>561</v>
      </c>
      <c r="C73" s="458"/>
      <c r="D73" s="754">
        <f>D69+D70+D71+D72</f>
        <v>655.01899999999955</v>
      </c>
      <c r="E73" s="754">
        <f t="shared" ref="E73:P73" si="39">E69+E70+E71+E72</f>
        <v>606.2540000000015</v>
      </c>
      <c r="F73" s="776">
        <f t="shared" si="39"/>
        <v>-66.126725168726978</v>
      </c>
      <c r="G73" s="754">
        <f t="shared" si="39"/>
        <v>-135.47706369193338</v>
      </c>
      <c r="H73" s="754">
        <f t="shared" si="39"/>
        <v>-163.24751104151318</v>
      </c>
      <c r="I73" s="754">
        <f t="shared" si="39"/>
        <v>-186.15000559534269</v>
      </c>
      <c r="J73" s="754">
        <f t="shared" si="39"/>
        <v>-96.166498908198548</v>
      </c>
      <c r="K73" s="754">
        <f t="shared" si="39"/>
        <v>48.98714717490283</v>
      </c>
      <c r="L73" s="754">
        <f t="shared" si="39"/>
        <v>107.96697563309044</v>
      </c>
      <c r="M73" s="754">
        <f t="shared" si="39"/>
        <v>168.09850591908142</v>
      </c>
      <c r="N73" s="754">
        <f t="shared" si="39"/>
        <v>185.74834663621414</v>
      </c>
      <c r="O73" s="754">
        <f t="shared" si="39"/>
        <v>204.95992697070102</v>
      </c>
      <c r="P73" s="754">
        <f t="shared" si="39"/>
        <v>223.58571543514739</v>
      </c>
    </row>
    <row r="74" spans="2:16">
      <c r="B74" s="393" t="s">
        <v>739</v>
      </c>
      <c r="C74" s="1"/>
      <c r="D74" s="752">
        <f>PROJ_ConsAG!I62+PROJ_ConsAG!I64</f>
        <v>655.01900000000001</v>
      </c>
      <c r="E74" s="752">
        <f>PROJ_ConsAG!J62+PROJ_ConsAG!J64</f>
        <v>1261.2730000000001</v>
      </c>
      <c r="F74" s="770">
        <f>PROJ_ConsAG!K62+PROJ_ConsAG!K64</f>
        <v>1195.1462748312736</v>
      </c>
      <c r="G74" s="752">
        <f>PROJ_ConsAG!L62+PROJ_ConsAG!L64</f>
        <v>1059.6692111393409</v>
      </c>
      <c r="H74" s="752">
        <f>PROJ_ConsAG!M62+PROJ_ConsAG!M64</f>
        <v>896.42170009782694</v>
      </c>
      <c r="I74" s="752">
        <f>PROJ_ConsAG!N62+PROJ_ConsAG!N64</f>
        <v>710.27169450248414</v>
      </c>
      <c r="J74" s="752">
        <f>PROJ_ConsAG!O62+PROJ_ConsAG!O64</f>
        <v>614.10519559428553</v>
      </c>
      <c r="K74" s="752">
        <f>PROJ_ConsAG!P62+PROJ_ConsAG!P64</f>
        <v>663.09234276918914</v>
      </c>
      <c r="L74" s="752">
        <f>PROJ_ConsAG!Q62+PROJ_ConsAG!Q64</f>
        <v>771.05931840227868</v>
      </c>
      <c r="M74" s="752">
        <f>PROJ_ConsAG!R62+PROJ_ConsAG!R64</f>
        <v>939.15782432136064</v>
      </c>
      <c r="N74" s="752">
        <f>PROJ_ConsAG!S62+PROJ_ConsAG!S64</f>
        <v>1124.9061709575753</v>
      </c>
      <c r="O74" s="752">
        <f>PROJ_ConsAG!T62+PROJ_ConsAG!T64</f>
        <v>1329.8660979282763</v>
      </c>
      <c r="P74" s="752">
        <f>PROJ_ConsAG!U62+PROJ_ConsAG!U64</f>
        <v>1553.4518133634228</v>
      </c>
    </row>
    <row r="75" spans="2:16">
      <c r="B75" s="376" t="s">
        <v>750</v>
      </c>
      <c r="C75" s="747"/>
      <c r="D75" s="789">
        <f>PROJ_ConsAG!I82</f>
        <v>4665.5869999999995</v>
      </c>
      <c r="E75" s="789">
        <f>PROJ_ConsAG!J82</f>
        <v>5441.3409999999994</v>
      </c>
      <c r="F75" s="797">
        <f>PROJ_ConsAG!K82</f>
        <v>5287.0979290792457</v>
      </c>
      <c r="G75" s="789">
        <f>PROJ_ConsAG!L82</f>
        <v>5417.5309612917172</v>
      </c>
      <c r="H75" s="789">
        <f>PROJ_ConsAG!M82</f>
        <v>5501.3209829333664</v>
      </c>
      <c r="I75" s="789">
        <f>PROJ_ConsAG!N82</f>
        <v>5556.4921190785481</v>
      </c>
      <c r="J75" s="789">
        <f>PROJ_ConsAG!O82</f>
        <v>5696.5331490550088</v>
      </c>
      <c r="K75" s="789">
        <f>PROJ_ConsAG!P82</f>
        <v>5966.9097553653455</v>
      </c>
      <c r="L75" s="789">
        <f>PROJ_ConsAG!Q82</f>
        <v>6287.3003249970316</v>
      </c>
      <c r="M75" s="789">
        <f>PROJ_ConsAG!R82</f>
        <v>6659.1523224560697</v>
      </c>
      <c r="N75" s="789">
        <f>PROJ_ConsAG!S82</f>
        <v>7039.9251414047458</v>
      </c>
      <c r="O75" s="789">
        <f>PROJ_ConsAG!T82</f>
        <v>7430.2787758215072</v>
      </c>
      <c r="P75" s="789">
        <f>PROJ_ConsAG!U82</f>
        <v>7829.5570796073007</v>
      </c>
    </row>
    <row r="76" spans="2:16">
      <c r="B76" s="735" t="s">
        <v>504</v>
      </c>
      <c r="C76" s="320"/>
      <c r="D76" s="790">
        <f>PROJ_ConsAG!I102</f>
        <v>2085.0129999999999</v>
      </c>
      <c r="E76" s="790">
        <f>PROJ_ConsAG!J102</f>
        <v>2505.3340000000003</v>
      </c>
      <c r="F76" s="798">
        <f>PROJ_ConsAG!K102</f>
        <v>2848.1930285141457</v>
      </c>
      <c r="G76" s="790">
        <f>PROJ_ConsAG!L102</f>
        <v>3201.5931073179381</v>
      </c>
      <c r="H76" s="790">
        <f>PROJ_ConsAG!M102</f>
        <v>3553.9399954926162</v>
      </c>
      <c r="I76" s="790">
        <f>PROJ_ConsAG!N102</f>
        <v>3897.7907917014918</v>
      </c>
      <c r="J76" s="790">
        <f>PROJ_ConsAG!O102</f>
        <v>4234.0524793639725</v>
      </c>
      <c r="K76" s="790">
        <f>PROJ_ConsAG!P102</f>
        <v>4564.8341509448128</v>
      </c>
      <c r="L76" s="790">
        <f>PROJ_ConsAG!Q102</f>
        <v>4897.5124606909794</v>
      </c>
      <c r="M76" s="790">
        <f>PROJ_ConsAG!R102</f>
        <v>5235.3610702747428</v>
      </c>
      <c r="N76" s="790">
        <f>PROJ_ConsAG!S102</f>
        <v>5580.556233791689</v>
      </c>
      <c r="O76" s="790">
        <f>PROJ_ConsAG!T102</f>
        <v>5934.0821962356567</v>
      </c>
      <c r="P76" s="790">
        <f>PROJ_ConsAG!U102</f>
        <v>6295.256904986205</v>
      </c>
    </row>
    <row r="77" spans="2:16">
      <c r="B77" s="320"/>
      <c r="C77" s="399" t="s">
        <v>566</v>
      </c>
      <c r="D77" s="753">
        <f>PROJ_ConsAG!I138</f>
        <v>343.40800000000002</v>
      </c>
      <c r="E77" s="753">
        <f>PROJ_ConsAG!J138</f>
        <v>198.84800000000001</v>
      </c>
      <c r="F77" s="772">
        <f>PROJ_ConsAG!K138</f>
        <v>26</v>
      </c>
      <c r="G77" s="753">
        <f>PROJ_ConsAG!L138</f>
        <v>42</v>
      </c>
      <c r="H77" s="753">
        <f>PROJ_ConsAG!M138</f>
        <v>78</v>
      </c>
      <c r="I77" s="753">
        <f>PROJ_ConsAG!N138</f>
        <v>35.701999999999998</v>
      </c>
      <c r="J77" s="753">
        <f>PROJ_ConsAG!O138</f>
        <v>25</v>
      </c>
      <c r="K77" s="753">
        <f>PROJ_ConsAG!P138</f>
        <v>44.769000000000005</v>
      </c>
      <c r="L77" s="753">
        <f>PROJ_ConsAG!Q138</f>
        <v>0</v>
      </c>
      <c r="M77" s="753">
        <f>PROJ_ConsAG!R138</f>
        <v>0</v>
      </c>
      <c r="N77" s="753">
        <f>PROJ_ConsAG!S138</f>
        <v>0</v>
      </c>
      <c r="O77" s="753">
        <f>PROJ_ConsAG!T138</f>
        <v>0</v>
      </c>
      <c r="P77" s="753">
        <f>PROJ_ConsAG!U138</f>
        <v>0</v>
      </c>
    </row>
    <row r="78" spans="2:16">
      <c r="B78" s="320"/>
      <c r="C78" s="399" t="s">
        <v>567</v>
      </c>
      <c r="D78" s="753">
        <f>PROJ_ConsAG!I139</f>
        <v>439.33800000000002</v>
      </c>
      <c r="E78" s="753">
        <f>PROJ_ConsAG!J139</f>
        <v>250.779</v>
      </c>
      <c r="F78" s="772">
        <f>PROJ_ConsAG!K139</f>
        <v>225.471</v>
      </c>
      <c r="G78" s="753">
        <f>PROJ_ConsAG!L139</f>
        <v>183.471</v>
      </c>
      <c r="H78" s="753">
        <f>PROJ_ConsAG!M139</f>
        <v>105.471</v>
      </c>
      <c r="I78" s="753">
        <f>PROJ_ConsAG!N139</f>
        <v>69.769000000000005</v>
      </c>
      <c r="J78" s="753">
        <f>PROJ_ConsAG!O139</f>
        <v>44.769000000000005</v>
      </c>
      <c r="K78" s="753">
        <f>PROJ_ConsAG!P139</f>
        <v>0</v>
      </c>
      <c r="L78" s="753">
        <f>PROJ_ConsAG!Q139</f>
        <v>0</v>
      </c>
      <c r="M78" s="753">
        <f>PROJ_ConsAG!R139</f>
        <v>0</v>
      </c>
      <c r="N78" s="753">
        <f>PROJ_ConsAG!S139</f>
        <v>0</v>
      </c>
      <c r="O78" s="753">
        <f>PROJ_ConsAG!T139</f>
        <v>0</v>
      </c>
      <c r="P78" s="753">
        <f>PROJ_ConsAG!U139</f>
        <v>0</v>
      </c>
    </row>
    <row r="79" spans="2:16">
      <c r="B79" s="399" t="s">
        <v>326</v>
      </c>
      <c r="C79" s="794"/>
      <c r="D79" s="755">
        <f>PROJ_ConsAG!I140</f>
        <v>782.74600000000009</v>
      </c>
      <c r="E79" s="755">
        <f>PROJ_ConsAG!J140</f>
        <v>449.62700000000001</v>
      </c>
      <c r="F79" s="777">
        <f>PROJ_ConsAG!K140</f>
        <v>251.471</v>
      </c>
      <c r="G79" s="755">
        <f>PROJ_ConsAG!L140</f>
        <v>225.471</v>
      </c>
      <c r="H79" s="755">
        <f>PROJ_ConsAG!M140</f>
        <v>183.471</v>
      </c>
      <c r="I79" s="755">
        <f>PROJ_ConsAG!N140</f>
        <v>105.471</v>
      </c>
      <c r="J79" s="755">
        <f>PROJ_ConsAG!O140</f>
        <v>69.769000000000005</v>
      </c>
      <c r="K79" s="755">
        <f>PROJ_ConsAG!P140</f>
        <v>44.769000000000005</v>
      </c>
      <c r="L79" s="755">
        <f>PROJ_ConsAG!Q140</f>
        <v>0</v>
      </c>
      <c r="M79" s="755">
        <f>PROJ_ConsAG!R140</f>
        <v>0</v>
      </c>
      <c r="N79" s="755">
        <f>PROJ_ConsAG!S140</f>
        <v>0</v>
      </c>
      <c r="O79" s="755">
        <f>PROJ_ConsAG!T140</f>
        <v>0</v>
      </c>
      <c r="P79" s="755">
        <f>PROJ_ConsAG!U140</f>
        <v>0</v>
      </c>
    </row>
    <row r="80" spans="2:16">
      <c r="B80" s="393" t="s">
        <v>327</v>
      </c>
      <c r="C80" s="1"/>
      <c r="D80" s="752">
        <f>PROJ_ConsAG!I142</f>
        <v>127.72700000000009</v>
      </c>
      <c r="E80" s="752">
        <f>PROJ_ConsAG!J142</f>
        <v>-811.64600000000019</v>
      </c>
      <c r="F80" s="770">
        <f>PROJ_ConsAG!K142</f>
        <v>-943.67527483127355</v>
      </c>
      <c r="G80" s="752">
        <f>PROJ_ConsAG!L142</f>
        <v>-834.19821113934086</v>
      </c>
      <c r="H80" s="752">
        <f>PROJ_ConsAG!M142</f>
        <v>-712.95070009782694</v>
      </c>
      <c r="I80" s="752">
        <f>PROJ_ConsAG!N142</f>
        <v>-604.80069450248413</v>
      </c>
      <c r="J80" s="752">
        <f>PROJ_ConsAG!O142</f>
        <v>-544.33619559428553</v>
      </c>
      <c r="K80" s="752">
        <f>PROJ_ConsAG!P142</f>
        <v>-618.32334276918914</v>
      </c>
      <c r="L80" s="752">
        <f>PROJ_ConsAG!Q142</f>
        <v>-771.05931840227868</v>
      </c>
      <c r="M80" s="752">
        <f>PROJ_ConsAG!R142</f>
        <v>-939.15782432136064</v>
      </c>
      <c r="N80" s="752">
        <f>PROJ_ConsAG!S142</f>
        <v>-1124.9061709575753</v>
      </c>
      <c r="O80" s="752">
        <f>PROJ_ConsAG!T142</f>
        <v>-1329.8660979282763</v>
      </c>
      <c r="P80" s="752">
        <f>PROJ_ConsAG!U142</f>
        <v>-1553.4518133634228</v>
      </c>
    </row>
    <row r="81" spans="2:16">
      <c r="B81" s="745" t="s">
        <v>729</v>
      </c>
      <c r="C81" s="746"/>
      <c r="D81" s="756">
        <f>PROJ_ConsAG!I143</f>
        <v>0.22645788011439316</v>
      </c>
      <c r="E81" s="756">
        <f>PROJ_ConsAG!J143</f>
        <v>-1.1884743846742933</v>
      </c>
      <c r="F81" s="778">
        <f>PROJ_ConsAG!K143</f>
        <v>-1.4457661429529389</v>
      </c>
      <c r="G81" s="756">
        <f>PROJ_ConsAG!L143</f>
        <v>-1.2467766470119341</v>
      </c>
      <c r="H81" s="756">
        <f>PROJ_ConsAG!M143</f>
        <v>-1.0426246990748167</v>
      </c>
      <c r="I81" s="756">
        <f>PROJ_ConsAG!N143</f>
        <v>-0.86415757902170909</v>
      </c>
      <c r="J81" s="756">
        <f>PROJ_ConsAG!O143</f>
        <v>-0.75879421344619902</v>
      </c>
      <c r="K81" s="756">
        <f>PROJ_ConsAG!P143</f>
        <v>-0.84214057366679962</v>
      </c>
      <c r="L81" s="756">
        <f>PROJ_ConsAG!Q143</f>
        <v>-1.0255498680485937</v>
      </c>
      <c r="M81" s="756">
        <f>PROJ_ConsAG!R143</f>
        <v>-1.2192579929531708</v>
      </c>
      <c r="N81" s="756">
        <f>PROJ_ConsAG!S143</f>
        <v>-1.4247854259327397</v>
      </c>
      <c r="O81" s="756">
        <f>PROJ_ConsAG!T143</f>
        <v>-1.6429176136006562</v>
      </c>
      <c r="P81" s="756">
        <f>PROJ_ConsAG!U143</f>
        <v>-1.8714489615240597</v>
      </c>
    </row>
    <row r="82" spans="2:16">
      <c r="B82" s="393" t="s">
        <v>568</v>
      </c>
      <c r="D82" s="783">
        <f>PROJ_ConsAG!I144</f>
        <v>0.37541540508380528</v>
      </c>
      <c r="E82" s="783">
        <f>PROJ_ConsAG!J144</f>
        <v>0.17946788731562338</v>
      </c>
      <c r="F82" s="799">
        <f>PROJ_ConsAG!K144</f>
        <v>8.8291417569822575E-2</v>
      </c>
      <c r="G82" s="783">
        <f>PROJ_ConsAG!L144</f>
        <v>7.0424626878611452E-2</v>
      </c>
      <c r="H82" s="783">
        <f>PROJ_ConsAG!M144</f>
        <v>5.1624675777501093E-2</v>
      </c>
      <c r="I82" s="783">
        <f>PROJ_ConsAG!N144</f>
        <v>2.7059174192866069E-2</v>
      </c>
      <c r="J82" s="783">
        <f>PROJ_ConsAG!O144</f>
        <v>1.647806689691303E-2</v>
      </c>
      <c r="K82" s="783">
        <f>PROJ_ConsAG!P144</f>
        <v>9.8073661648219752E-3</v>
      </c>
      <c r="L82" s="783">
        <f>PROJ_ConsAG!Q144</f>
        <v>0</v>
      </c>
      <c r="M82" s="783">
        <f>PROJ_ConsAG!R144</f>
        <v>0</v>
      </c>
      <c r="N82" s="783">
        <f>PROJ_ConsAG!S144</f>
        <v>0</v>
      </c>
      <c r="O82" s="783">
        <f>PROJ_ConsAG!T144</f>
        <v>0</v>
      </c>
      <c r="P82" s="783">
        <f>PROJ_ConsAG!U144</f>
        <v>0</v>
      </c>
    </row>
    <row r="83" spans="2:16">
      <c r="B83" s="745" t="s">
        <v>730</v>
      </c>
      <c r="C83" s="746"/>
      <c r="D83" s="756">
        <f>PROJ_ConsAG!I145</f>
        <v>-26.228655133928569</v>
      </c>
      <c r="E83" s="756">
        <f>PROJ_ConsAG!J145</f>
        <v>26.759570549743358</v>
      </c>
      <c r="F83" s="778">
        <f>PROJ_ConsAG!K145</f>
        <v>-7.8905158302139728</v>
      </c>
      <c r="G83" s="756">
        <f>PROJ_ConsAG!L145</f>
        <v>-8.2763333179687049</v>
      </c>
      <c r="H83" s="756">
        <f>PROJ_ConsAG!M145</f>
        <v>-8.3511584204961888</v>
      </c>
      <c r="I83" s="756">
        <f>PROJ_ConsAG!N145</f>
        <v>-9.9617580297329873</v>
      </c>
      <c r="J83" s="756">
        <f>PROJ_ConsAG!O145</f>
        <v>-12.28181378913769</v>
      </c>
      <c r="K83" s="756">
        <f>PROJ_ConsAG!P145</f>
        <v>-14.188643094403211</v>
      </c>
      <c r="L83" s="756">
        <f>PROJ_ConsAG!Q145</f>
        <v>-12.957762562046659</v>
      </c>
      <c r="M83" s="756">
        <f>PROJ_ConsAG!R145</f>
        <v>-11.046712310536627</v>
      </c>
      <c r="N83" s="756">
        <f>PROJ_ConsAG!S145</f>
        <v>-9.296214118937808</v>
      </c>
      <c r="O83" s="756">
        <f>PROJ_ConsAG!T145</f>
        <v>-7.9570794426114562</v>
      </c>
      <c r="P83" s="756">
        <f>PROJ_ConsAG!U145</f>
        <v>-7.0826856980232114</v>
      </c>
    </row>
    <row r="84" spans="2:16">
      <c r="B84" s="410"/>
      <c r="C84" s="399" t="s">
        <v>745</v>
      </c>
      <c r="D84" s="790">
        <f>PROJ_ConsAG!I147</f>
        <v>-153.53800000000001</v>
      </c>
      <c r="E84" s="790">
        <f>PROJ_ConsAG!J147</f>
        <v>-411.95900000000006</v>
      </c>
      <c r="F84" s="798">
        <f>PROJ_ConsAG!K147</f>
        <v>-244.56704809077399</v>
      </c>
      <c r="G84" s="790">
        <f>PROJ_ConsAG!L147</f>
        <v>-44.059237867943509</v>
      </c>
      <c r="H84" s="790">
        <f>PROJ_ConsAG!M147</f>
        <v>-58.817647095906011</v>
      </c>
      <c r="I84" s="790">
        <f>PROJ_ConsAG!N147</f>
        <v>-90.482983263070452</v>
      </c>
      <c r="J84" s="790">
        <f>PROJ_ConsAG!O147</f>
        <v>-43.547716006875007</v>
      </c>
      <c r="K84" s="790">
        <f>PROJ_ConsAG!P147</f>
        <v>-30.261016685000001</v>
      </c>
      <c r="L84" s="790">
        <f>PROJ_ConsAG!Q147</f>
        <v>-46.774315432500003</v>
      </c>
      <c r="M84" s="790">
        <f>PROJ_ConsAG!R147</f>
        <v>0</v>
      </c>
      <c r="N84" s="790">
        <f>PROJ_ConsAG!S147</f>
        <v>0</v>
      </c>
      <c r="O84" s="790">
        <f>PROJ_ConsAG!T147</f>
        <v>0</v>
      </c>
      <c r="P84" s="790">
        <f>PROJ_ConsAG!U147</f>
        <v>0</v>
      </c>
    </row>
    <row r="85" spans="2:16">
      <c r="B85" s="458" t="s">
        <v>746</v>
      </c>
      <c r="C85" s="746"/>
      <c r="D85" s="756">
        <f>D69/-D84</f>
        <v>-12.039672914848445</v>
      </c>
      <c r="E85" s="756">
        <f t="shared" ref="E85:L85" si="40">E69/-E84</f>
        <v>2.2218982957041873</v>
      </c>
      <c r="F85" s="778">
        <f t="shared" si="40"/>
        <v>0.97650698701270133</v>
      </c>
      <c r="G85" s="756">
        <f t="shared" si="40"/>
        <v>1.3581049480918209E-2</v>
      </c>
      <c r="H85" s="756">
        <f t="shared" si="40"/>
        <v>-0.19552158596367211</v>
      </c>
      <c r="I85" s="756">
        <f t="shared" si="40"/>
        <v>-1.1592654064865784E-2</v>
      </c>
      <c r="J85" s="756">
        <f t="shared" si="40"/>
        <v>1.0166491409480689</v>
      </c>
      <c r="K85" s="756">
        <f t="shared" si="40"/>
        <v>5.8496879248788884</v>
      </c>
      <c r="L85" s="756">
        <f t="shared" si="40"/>
        <v>5.4807234725818041</v>
      </c>
      <c r="M85" s="756"/>
      <c r="N85" s="756"/>
      <c r="O85" s="756"/>
      <c r="P85" s="756"/>
    </row>
    <row r="88" spans="2:16">
      <c r="B88" s="811" t="s">
        <v>752</v>
      </c>
      <c r="C88" s="807"/>
      <c r="D88" s="808">
        <v>2010</v>
      </c>
      <c r="E88" s="808">
        <v>2011</v>
      </c>
      <c r="F88" s="809">
        <v>2012</v>
      </c>
      <c r="G88" s="809">
        <v>2013</v>
      </c>
      <c r="H88" s="809">
        <v>2014</v>
      </c>
      <c r="I88" s="809">
        <v>2015</v>
      </c>
      <c r="J88" s="809">
        <v>2016</v>
      </c>
      <c r="K88" s="809">
        <v>2017</v>
      </c>
      <c r="L88" s="809">
        <v>2018</v>
      </c>
      <c r="M88" s="809">
        <v>2019</v>
      </c>
      <c r="N88" s="809">
        <v>2020</v>
      </c>
      <c r="O88" s="809">
        <v>2021</v>
      </c>
      <c r="P88" s="809">
        <v>2022</v>
      </c>
    </row>
    <row r="89" spans="2:16">
      <c r="B89" s="803" t="s">
        <v>753</v>
      </c>
      <c r="C89" s="802"/>
      <c r="D89" s="802"/>
      <c r="E89" s="802"/>
      <c r="F89" s="802"/>
      <c r="G89" s="802"/>
      <c r="H89" s="802"/>
      <c r="I89" s="802"/>
      <c r="J89" s="802"/>
      <c r="K89" s="802"/>
      <c r="L89" s="802"/>
      <c r="M89" s="802"/>
      <c r="N89" s="802"/>
      <c r="O89" s="802"/>
      <c r="P89" s="802"/>
    </row>
    <row r="90" spans="2:16">
      <c r="B90" s="804" t="s">
        <v>754</v>
      </c>
      <c r="C90" s="802"/>
      <c r="D90" s="802"/>
      <c r="E90" s="810">
        <f t="shared" ref="E90:P90" si="41">D74+E69+D40+E35</f>
        <v>1439.7320000000013</v>
      </c>
      <c r="F90" s="810">
        <f t="shared" si="41"/>
        <v>1412.6119309571961</v>
      </c>
      <c r="G90" s="810">
        <f t="shared" si="41"/>
        <v>1859.8948771720495</v>
      </c>
      <c r="H90" s="810">
        <f t="shared" si="41"/>
        <v>2015.0705922473157</v>
      </c>
      <c r="I90" s="810">
        <f t="shared" si="41"/>
        <v>2300.8639596577809</v>
      </c>
      <c r="J90" s="810">
        <f t="shared" si="41"/>
        <v>2511.3489301154555</v>
      </c>
      <c r="K90" s="810">
        <f t="shared" si="41"/>
        <v>2808.7269746523261</v>
      </c>
      <c r="L90" s="810">
        <f t="shared" si="41"/>
        <v>3202.2431058688412</v>
      </c>
      <c r="M90" s="810">
        <f t="shared" si="41"/>
        <v>3671.0781046073212</v>
      </c>
      <c r="N90" s="810">
        <f t="shared" si="41"/>
        <v>4266.5618872506184</v>
      </c>
      <c r="O90" s="810">
        <f t="shared" si="41"/>
        <v>4919.9372086036092</v>
      </c>
      <c r="P90" s="810">
        <f t="shared" si="41"/>
        <v>5691.7139789356988</v>
      </c>
    </row>
    <row r="91" spans="2:16">
      <c r="B91" s="805" t="s">
        <v>755</v>
      </c>
      <c r="C91" s="802"/>
      <c r="D91" s="802"/>
      <c r="E91" s="810">
        <f t="shared" ref="E91:P91" si="42">E84+E48</f>
        <v>-436.64600000000007</v>
      </c>
      <c r="F91" s="810">
        <f t="shared" si="42"/>
        <v>-317.27636883323532</v>
      </c>
      <c r="G91" s="810">
        <f t="shared" si="42"/>
        <v>-92.79318651123566</v>
      </c>
      <c r="H91" s="810">
        <f t="shared" si="42"/>
        <v>-151.78338159537117</v>
      </c>
      <c r="I91" s="810">
        <f t="shared" si="42"/>
        <v>-186.85328344924886</v>
      </c>
      <c r="J91" s="810">
        <f t="shared" si="42"/>
        <v>-274.44963338142378</v>
      </c>
      <c r="K91" s="810">
        <f t="shared" si="42"/>
        <v>-247.23568944871448</v>
      </c>
      <c r="L91" s="810">
        <f t="shared" si="42"/>
        <v>-249.59248940335308</v>
      </c>
      <c r="M91" s="810">
        <f t="shared" si="42"/>
        <v>-188.67789437881822</v>
      </c>
      <c r="N91" s="810">
        <f t="shared" si="42"/>
        <v>-168.26924888490049</v>
      </c>
      <c r="O91" s="810">
        <f t="shared" si="42"/>
        <v>-165.42331011693489</v>
      </c>
      <c r="P91" s="810">
        <f t="shared" si="42"/>
        <v>-162.13090599719897</v>
      </c>
    </row>
    <row r="92" spans="2:16">
      <c r="B92" s="806" t="s">
        <v>756</v>
      </c>
      <c r="C92" s="812"/>
      <c r="D92" s="812"/>
      <c r="E92" s="801">
        <f>E90/-E91</f>
        <v>3.2972522363653876</v>
      </c>
      <c r="F92" s="801">
        <f t="shared" ref="F92:K92" si="43">F90/-F91</f>
        <v>4.4523074194021799</v>
      </c>
      <c r="G92" s="801">
        <f t="shared" si="43"/>
        <v>20.043442273068706</v>
      </c>
      <c r="H92" s="801">
        <f t="shared" si="43"/>
        <v>13.275963225138529</v>
      </c>
      <c r="I92" s="801">
        <f t="shared" si="43"/>
        <v>12.313746470945572</v>
      </c>
      <c r="J92" s="801">
        <f t="shared" si="43"/>
        <v>9.150491108965122</v>
      </c>
      <c r="K92" s="801">
        <f t="shared" si="43"/>
        <v>11.360523963652733</v>
      </c>
      <c r="L92" s="801">
        <f>L90/-L91</f>
        <v>12.829885680950389</v>
      </c>
      <c r="M92" s="801">
        <f t="shared" ref="M92" si="44">M90/-M91</f>
        <v>19.456853261446255</v>
      </c>
      <c r="N92" s="801">
        <f t="shared" ref="N92" si="45">N90/-N91</f>
        <v>25.355565057338737</v>
      </c>
      <c r="O92" s="801">
        <f t="shared" ref="O92" si="46">O90/-O91</f>
        <v>29.741498976932515</v>
      </c>
      <c r="P92" s="801">
        <f t="shared" ref="P92" si="47">P90/-P91</f>
        <v>35.105669359758167</v>
      </c>
    </row>
    <row r="96" spans="2:16">
      <c r="H96" s="37"/>
      <c r="I96" s="737"/>
    </row>
    <row r="97" spans="8:16">
      <c r="H97" s="37"/>
      <c r="I97" s="347"/>
    </row>
    <row r="98" spans="8:16">
      <c r="K98" s="320"/>
      <c r="L98" s="320"/>
      <c r="M98" s="320"/>
      <c r="N98" s="320"/>
      <c r="O98" s="320"/>
      <c r="P98" s="320"/>
    </row>
    <row r="99" spans="8:16">
      <c r="H99" s="37"/>
      <c r="I99" s="736"/>
      <c r="J99" s="736"/>
      <c r="K99" s="736"/>
      <c r="L99" s="736"/>
      <c r="M99" s="736"/>
      <c r="N99" s="736"/>
      <c r="O99" s="736"/>
      <c r="P99" s="736"/>
    </row>
    <row r="100" spans="8:16">
      <c r="H100" s="37"/>
      <c r="I100" s="736"/>
      <c r="J100" s="736"/>
      <c r="K100" s="736"/>
      <c r="L100" s="736"/>
      <c r="M100" s="736"/>
      <c r="N100" s="736"/>
      <c r="O100" s="736"/>
      <c r="P100" s="736"/>
    </row>
    <row r="101" spans="8:16">
      <c r="H101" s="37"/>
      <c r="I101" s="736"/>
      <c r="J101" s="736"/>
      <c r="K101" s="736"/>
      <c r="L101" s="736"/>
      <c r="M101" s="736"/>
      <c r="N101" s="736"/>
      <c r="O101" s="736"/>
      <c r="P101" s="736"/>
    </row>
    <row r="102" spans="8:16">
      <c r="H102" s="37"/>
      <c r="I102" s="736"/>
      <c r="J102" s="736"/>
      <c r="K102" s="736"/>
      <c r="L102" s="736"/>
      <c r="M102" s="736"/>
      <c r="N102" s="736"/>
      <c r="O102" s="736"/>
      <c r="P102" s="736"/>
    </row>
    <row r="103" spans="8:16">
      <c r="H103" s="37"/>
      <c r="I103" s="736"/>
      <c r="J103" s="736"/>
      <c r="K103" s="736"/>
      <c r="L103" s="736"/>
      <c r="M103" s="736"/>
      <c r="N103" s="736"/>
      <c r="O103" s="736"/>
      <c r="P103" s="73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7" enableFormatConditionsCalculation="0">
    <tabColor rgb="FFFF0000"/>
  </sheetPr>
  <dimension ref="A1"/>
  <sheetViews>
    <sheetView workbookViewId="0">
      <selection activeCell="H127" sqref="H127"/>
    </sheetView>
  </sheetViews>
  <sheetFormatPr defaultRowHeight="12.75"/>
  <cols>
    <col min="1" max="16384" width="9.140625" style="3"/>
  </cols>
  <sheetData/>
  <customSheetViews>
    <customSheetView guid="{E575866E-AC6D-4394-9CD3-8AED20D96A5E}" showRuler="0">
      <pageMargins left="0.75" right="0.75" top="1" bottom="1" header="0.5" footer="0.5"/>
      <headerFooter alignWithMargins="0"/>
    </customSheetView>
    <customSheetView guid="{AF606229-75CD-4176-8017-8565F5ED8E7B}">
      <pageMargins left="0.75" right="0.75" top="1" bottom="1" header="0.5" footer="0.5"/>
      <headerFooter alignWithMargins="0"/>
    </customSheetView>
  </customSheetViews>
  <phoneticPr fontId="13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B1:BT395"/>
  <sheetViews>
    <sheetView showGridLines="0" topLeftCell="A212" zoomScale="60" zoomScaleNormal="60" workbookViewId="0">
      <selection activeCell="W255" sqref="W255"/>
    </sheetView>
  </sheetViews>
  <sheetFormatPr defaultRowHeight="12.75" outlineLevelRow="2"/>
  <cols>
    <col min="1" max="1" width="2.140625" style="352" customWidth="1"/>
    <col min="2" max="2" width="3" style="352" customWidth="1"/>
    <col min="3" max="3" width="56.140625" style="357" customWidth="1"/>
    <col min="4" max="4" width="10.140625" style="357" customWidth="1"/>
    <col min="5" max="7" width="12.7109375" style="361" customWidth="1"/>
    <col min="8" max="8" width="13" style="361" customWidth="1"/>
    <col min="9" max="9" width="14.5703125" style="361" customWidth="1"/>
    <col min="10" max="10" width="13.7109375" style="361" customWidth="1"/>
    <col min="11" max="11" width="12.7109375" style="626" customWidth="1"/>
    <col min="12" max="12" width="12.7109375" style="352" customWidth="1"/>
    <col min="13" max="13" width="12.42578125" style="352" bestFit="1" customWidth="1"/>
    <col min="14" max="14" width="12.85546875" style="352" bestFit="1" customWidth="1"/>
    <col min="15" max="21" width="12.7109375" style="352" customWidth="1"/>
    <col min="22" max="31" width="12.5703125" style="352" bestFit="1" customWidth="1"/>
    <col min="32" max="16384" width="9.140625" style="352"/>
  </cols>
  <sheetData>
    <row r="1" spans="2:14">
      <c r="I1" s="817" t="s">
        <v>759</v>
      </c>
      <c r="J1" s="782"/>
      <c r="K1" s="782"/>
      <c r="L1" s="782"/>
      <c r="M1" s="315"/>
      <c r="N1" s="315"/>
    </row>
    <row r="2" spans="2:14" ht="18" customHeight="1">
      <c r="B2" s="704" t="s">
        <v>703</v>
      </c>
      <c r="C2" s="352"/>
      <c r="I2" s="818" t="s">
        <v>760</v>
      </c>
      <c r="J2" s="819"/>
      <c r="K2" s="782"/>
      <c r="L2" s="817" t="s">
        <v>761</v>
      </c>
      <c r="M2" s="156"/>
      <c r="N2" s="156"/>
    </row>
    <row r="3" spans="2:14" ht="15">
      <c r="C3" s="357" t="s">
        <v>676</v>
      </c>
      <c r="I3" s="820" t="s">
        <v>762</v>
      </c>
      <c r="J3" s="821"/>
      <c r="K3" s="782"/>
      <c r="L3" s="822" t="s">
        <v>763</v>
      </c>
      <c r="M3" s="296"/>
      <c r="N3" s="296"/>
    </row>
    <row r="4" spans="2:14" ht="15" customHeight="1">
      <c r="C4" s="352"/>
      <c r="I4" s="823" t="s">
        <v>764</v>
      </c>
      <c r="J4" s="819"/>
      <c r="K4" s="782"/>
      <c r="L4" s="782"/>
      <c r="M4" s="317"/>
      <c r="N4" s="317"/>
    </row>
    <row r="5" spans="2:14" ht="15" customHeight="1">
      <c r="B5" s="393" t="s">
        <v>704</v>
      </c>
      <c r="C5" s="352"/>
      <c r="I5" s="824" t="s">
        <v>765</v>
      </c>
      <c r="J5" s="825"/>
      <c r="K5" s="804"/>
      <c r="L5" s="804"/>
      <c r="M5" s="156"/>
      <c r="N5" s="156"/>
    </row>
    <row r="7" spans="2:14" hidden="1" outlineLevel="1">
      <c r="C7" s="357" t="s">
        <v>683</v>
      </c>
    </row>
    <row r="8" spans="2:14" hidden="1" outlineLevel="1"/>
    <row r="9" spans="2:14" hidden="1" outlineLevel="1"/>
    <row r="10" spans="2:14" hidden="1" outlineLevel="1"/>
    <row r="11" spans="2:14" hidden="1" outlineLevel="1"/>
    <row r="12" spans="2:14" hidden="1" outlineLevel="1"/>
    <row r="13" spans="2:14" hidden="1" outlineLevel="1"/>
    <row r="14" spans="2:14" hidden="1" outlineLevel="1"/>
    <row r="15" spans="2:14" hidden="1" outlineLevel="1"/>
    <row r="16" spans="2:14" hidden="1" outlineLevel="1"/>
    <row r="17" hidden="1" outlineLevel="1"/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/>
    <row r="26" hidden="1" outlineLevel="1"/>
    <row r="27" hidden="1" outlineLevel="1"/>
    <row r="28" hidden="1" outlineLevel="1"/>
    <row r="29" hidden="1" outlineLevel="1"/>
    <row r="30" hidden="1" outlineLevel="1"/>
    <row r="31" hidden="1" outlineLevel="1"/>
    <row r="32" hidden="1" outlineLevel="1"/>
    <row r="33" spans="2:21" hidden="1" outlineLevel="1"/>
    <row r="34" spans="2:21" hidden="1" outlineLevel="1"/>
    <row r="35" spans="2:21" hidden="1" outlineLevel="1"/>
    <row r="36" spans="2:21" hidden="1" outlineLevel="1"/>
    <row r="37" spans="2:21" hidden="1" outlineLevel="1"/>
    <row r="38" spans="2:21" hidden="1" outlineLevel="1"/>
    <row r="39" spans="2:21" hidden="1" outlineLevel="1"/>
    <row r="40" spans="2:21" hidden="1" outlineLevel="1"/>
    <row r="41" spans="2:21" collapsed="1"/>
    <row r="42" spans="2:21">
      <c r="B42" s="456"/>
      <c r="C42" s="411"/>
      <c r="D42" s="411"/>
      <c r="E42" s="457"/>
      <c r="F42" s="457"/>
      <c r="G42" s="457"/>
      <c r="H42" s="457"/>
      <c r="I42" s="457"/>
      <c r="J42" s="457"/>
      <c r="K42" s="627"/>
      <c r="L42" s="456"/>
      <c r="M42" s="456"/>
      <c r="N42" s="456"/>
      <c r="O42" s="456"/>
      <c r="P42" s="456"/>
      <c r="Q42" s="456"/>
      <c r="R42" s="456"/>
      <c r="S42" s="456"/>
      <c r="T42" s="456"/>
      <c r="U42" s="456"/>
    </row>
    <row r="43" spans="2:21">
      <c r="B43" s="458" t="s">
        <v>706</v>
      </c>
      <c r="C43" s="411"/>
      <c r="D43" s="411"/>
      <c r="E43" s="457"/>
      <c r="F43" s="457"/>
      <c r="G43" s="457"/>
      <c r="H43" s="457"/>
      <c r="I43" s="457"/>
      <c r="J43" s="457"/>
      <c r="K43" s="627"/>
      <c r="L43" s="456"/>
      <c r="M43" s="456"/>
      <c r="N43" s="456"/>
      <c r="O43" s="456"/>
      <c r="P43" s="456"/>
      <c r="Q43" s="456"/>
      <c r="R43" s="456"/>
      <c r="S43" s="456"/>
      <c r="T43" s="456"/>
      <c r="U43" s="456"/>
    </row>
    <row r="44" spans="2:21">
      <c r="B44" s="456"/>
      <c r="C44" s="411"/>
      <c r="D44" s="411"/>
      <c r="E44" s="457"/>
      <c r="F44" s="457"/>
      <c r="G44" s="457"/>
      <c r="H44" s="457"/>
      <c r="I44" s="457"/>
      <c r="J44" s="457"/>
      <c r="K44" s="627"/>
      <c r="L44" s="456"/>
      <c r="M44" s="456"/>
      <c r="N44" s="456"/>
      <c r="O44" s="456"/>
      <c r="P44" s="456"/>
      <c r="Q44" s="456"/>
      <c r="R44" s="456"/>
      <c r="S44" s="456"/>
      <c r="T44" s="456"/>
      <c r="U44" s="456"/>
    </row>
    <row r="46" spans="2:21">
      <c r="C46" s="350"/>
      <c r="D46" s="350"/>
      <c r="E46" s="351">
        <v>2006</v>
      </c>
      <c r="F46" s="351">
        <v>2007</v>
      </c>
      <c r="G46" s="351">
        <v>2008</v>
      </c>
      <c r="H46" s="351">
        <v>2009</v>
      </c>
      <c r="I46" s="351">
        <v>2010</v>
      </c>
      <c r="J46" s="351">
        <v>2011</v>
      </c>
      <c r="K46" s="628">
        <v>2012</v>
      </c>
      <c r="L46" s="351">
        <v>2013</v>
      </c>
      <c r="M46" s="351">
        <v>2014</v>
      </c>
      <c r="N46" s="351">
        <v>2015</v>
      </c>
      <c r="O46" s="351">
        <v>2016</v>
      </c>
      <c r="P46" s="351">
        <v>2017</v>
      </c>
      <c r="Q46" s="351">
        <v>2018</v>
      </c>
      <c r="R46" s="351">
        <v>2019</v>
      </c>
      <c r="S46" s="351">
        <v>2020</v>
      </c>
      <c r="T46" s="351">
        <v>2021</v>
      </c>
      <c r="U46" s="351">
        <v>2022</v>
      </c>
    </row>
    <row r="48" spans="2:21">
      <c r="C48" s="353" t="s">
        <v>495</v>
      </c>
      <c r="D48" s="354"/>
      <c r="E48" s="355"/>
      <c r="F48" s="355"/>
      <c r="G48" s="355"/>
      <c r="H48" s="355"/>
      <c r="I48" s="355"/>
      <c r="J48" s="355"/>
      <c r="K48" s="629"/>
      <c r="L48" s="356"/>
      <c r="M48" s="356"/>
      <c r="N48" s="356"/>
      <c r="O48" s="356"/>
      <c r="P48" s="356"/>
      <c r="Q48" s="356"/>
      <c r="R48" s="356"/>
      <c r="S48" s="356"/>
      <c r="T48" s="356"/>
      <c r="U48" s="356"/>
    </row>
    <row r="49" spans="3:21" hidden="1" outlineLevel="1">
      <c r="C49" s="357" t="s">
        <v>340</v>
      </c>
      <c r="E49" s="358">
        <v>8605.143</v>
      </c>
      <c r="F49" s="358">
        <v>10245.913999999999</v>
      </c>
      <c r="G49" s="358">
        <v>10890.321999999996</v>
      </c>
      <c r="H49" s="358">
        <v>11705.083000000002</v>
      </c>
      <c r="I49" s="358">
        <v>12863.33</v>
      </c>
      <c r="J49" s="358">
        <v>15814</v>
      </c>
      <c r="K49" s="630">
        <f t="shared" ref="K49:U49" si="0">J49*(1+K51*K$379)</f>
        <v>17561.086240980036</v>
      </c>
      <c r="L49" s="359">
        <f t="shared" si="0"/>
        <v>17649.15862996543</v>
      </c>
      <c r="M49" s="359">
        <f t="shared" si="0"/>
        <v>18581.034205627602</v>
      </c>
      <c r="N49" s="359">
        <f t="shared" si="0"/>
        <v>19367.011952525649</v>
      </c>
      <c r="O49" s="359">
        <f t="shared" si="0"/>
        <v>20529.032669677188</v>
      </c>
      <c r="P49" s="359">
        <f t="shared" si="0"/>
        <v>21879.843019341948</v>
      </c>
      <c r="Q49" s="359">
        <f t="shared" si="0"/>
        <v>22194.912758820472</v>
      </c>
      <c r="R49" s="359">
        <f t="shared" si="0"/>
        <v>23173.708411484455</v>
      </c>
      <c r="S49" s="359">
        <f t="shared" si="0"/>
        <v>23868.91966382899</v>
      </c>
      <c r="T49" s="359">
        <f t="shared" si="0"/>
        <v>25314.769804756063</v>
      </c>
      <c r="U49" s="359">
        <f t="shared" si="0"/>
        <v>26862.886770139557</v>
      </c>
    </row>
    <row r="50" spans="3:21" hidden="1" outlineLevel="1">
      <c r="C50" s="360" t="s">
        <v>498</v>
      </c>
      <c r="F50" s="362">
        <f>F49/E49-1</f>
        <v>0.19067329851462067</v>
      </c>
      <c r="G50" s="362">
        <f t="shared" ref="G50:M50" si="1">G49/F49-1</f>
        <v>6.2894144924503292E-2</v>
      </c>
      <c r="H50" s="362">
        <f t="shared" si="1"/>
        <v>7.4815143206969026E-2</v>
      </c>
      <c r="I50" s="362">
        <f t="shared" si="1"/>
        <v>9.8952480729952663E-2</v>
      </c>
      <c r="J50" s="362">
        <f t="shared" si="1"/>
        <v>0.2293861698331614</v>
      </c>
      <c r="K50" s="631">
        <f t="shared" si="1"/>
        <v>0.11047718736436285</v>
      </c>
      <c r="L50" s="363">
        <f t="shared" si="1"/>
        <v>5.0152016667324162E-3</v>
      </c>
      <c r="M50" s="363">
        <f t="shared" si="1"/>
        <v>5.2799999999999958E-2</v>
      </c>
      <c r="N50" s="363">
        <f>N49/M49-1</f>
        <v>4.2300000000000004E-2</v>
      </c>
      <c r="O50" s="363">
        <f t="shared" ref="O50:U50" si="2">O49/N49-1</f>
        <v>6.0000000000000053E-2</v>
      </c>
      <c r="P50" s="363">
        <f t="shared" si="2"/>
        <v>6.5800000000000081E-2</v>
      </c>
      <c r="Q50" s="363">
        <f t="shared" si="2"/>
        <v>1.4399999999999968E-2</v>
      </c>
      <c r="R50" s="363">
        <f t="shared" si="2"/>
        <v>4.4100000000000028E-2</v>
      </c>
      <c r="S50" s="363">
        <f t="shared" si="2"/>
        <v>3.0000000000000027E-2</v>
      </c>
      <c r="T50" s="363">
        <f t="shared" si="2"/>
        <v>6.0574594966613216E-2</v>
      </c>
      <c r="U50" s="363">
        <f t="shared" si="2"/>
        <v>6.1154692589487469E-2</v>
      </c>
    </row>
    <row r="51" spans="3:21" hidden="1" outlineLevel="1">
      <c r="C51" s="360" t="s">
        <v>499</v>
      </c>
      <c r="F51" s="364">
        <f>F50/F$379</f>
        <v>3.1281224985142915</v>
      </c>
      <c r="G51" s="364">
        <f>G50/G$379</f>
        <v>1.2166861454305178</v>
      </c>
      <c r="H51" s="364">
        <f>H50/H$379</f>
        <v>-22.792258938550798</v>
      </c>
      <c r="I51" s="364">
        <f>I50/I$379</f>
        <v>1.3134793161264184</v>
      </c>
      <c r="J51" s="364">
        <f>J50/J$379</f>
        <v>8.3939315030280888</v>
      </c>
      <c r="K51" s="642">
        <v>3.2</v>
      </c>
      <c r="L51" s="390">
        <v>0.1</v>
      </c>
      <c r="M51" s="390">
        <v>1.2</v>
      </c>
      <c r="N51" s="390">
        <v>0.9</v>
      </c>
      <c r="O51" s="390">
        <v>1.2</v>
      </c>
      <c r="P51" s="390">
        <v>1.4</v>
      </c>
      <c r="Q51" s="390">
        <v>0.3</v>
      </c>
      <c r="R51" s="390">
        <v>0.9</v>
      </c>
      <c r="S51" s="390">
        <v>0.6</v>
      </c>
      <c r="T51" s="390">
        <v>1.2</v>
      </c>
      <c r="U51" s="390">
        <v>1.2</v>
      </c>
    </row>
    <row r="52" spans="3:21" hidden="1" outlineLevel="1">
      <c r="C52" s="352" t="s">
        <v>500</v>
      </c>
      <c r="D52" s="352"/>
      <c r="E52" s="368"/>
      <c r="F52" s="368"/>
      <c r="G52" s="358">
        <v>1887.0350000000001</v>
      </c>
      <c r="H52" s="368">
        <v>1861.4</v>
      </c>
      <c r="I52" s="368">
        <v>2257.9760000000001</v>
      </c>
      <c r="J52" s="358">
        <v>2415</v>
      </c>
      <c r="K52" s="630">
        <f>K54*K49</f>
        <v>2704.4072811109254</v>
      </c>
      <c r="L52" s="359">
        <f t="shared" ref="L52:U52" si="3">L54*L49</f>
        <v>2541.4788427150215</v>
      </c>
      <c r="M52" s="359">
        <f t="shared" si="3"/>
        <v>2527.0206519653539</v>
      </c>
      <c r="N52" s="359">
        <f t="shared" si="3"/>
        <v>2730.7486853061164</v>
      </c>
      <c r="O52" s="359">
        <f t="shared" si="3"/>
        <v>2976.7097371031919</v>
      </c>
      <c r="P52" s="359">
        <f t="shared" si="3"/>
        <v>3347.6159819593181</v>
      </c>
      <c r="Q52" s="359">
        <f t="shared" si="3"/>
        <v>3196.0674372701478</v>
      </c>
      <c r="R52" s="359">
        <f t="shared" si="3"/>
        <v>3290.6665944307924</v>
      </c>
      <c r="S52" s="359">
        <f t="shared" si="3"/>
        <v>3580.3379495743484</v>
      </c>
      <c r="T52" s="359">
        <f t="shared" si="3"/>
        <v>3949.1040895419455</v>
      </c>
      <c r="U52" s="359">
        <f t="shared" si="3"/>
        <v>4324.924769992469</v>
      </c>
    </row>
    <row r="53" spans="3:21" hidden="1" outlineLevel="1">
      <c r="C53" s="360" t="s">
        <v>498</v>
      </c>
      <c r="D53" s="352"/>
      <c r="E53" s="368"/>
      <c r="F53" s="368"/>
      <c r="G53" s="369"/>
      <c r="H53" s="369">
        <f t="shared" ref="H53:U53" si="4">H52/G52-1</f>
        <v>-1.35848036734878E-2</v>
      </c>
      <c r="I53" s="369">
        <f t="shared" si="4"/>
        <v>0.21305254109809812</v>
      </c>
      <c r="J53" s="369">
        <f t="shared" si="4"/>
        <v>6.9541926043500846E-2</v>
      </c>
      <c r="K53" s="634">
        <f t="shared" si="4"/>
        <v>0.11983738348278483</v>
      </c>
      <c r="L53" s="370">
        <f t="shared" si="4"/>
        <v>-6.0245525714224368E-2</v>
      </c>
      <c r="M53" s="370">
        <f t="shared" si="4"/>
        <v>-5.6888888888888545E-3</v>
      </c>
      <c r="N53" s="370">
        <f t="shared" si="4"/>
        <v>8.0619852941176351E-2</v>
      </c>
      <c r="O53" s="370">
        <f t="shared" si="4"/>
        <v>9.0070921985815566E-2</v>
      </c>
      <c r="P53" s="370">
        <f t="shared" si="4"/>
        <v>0.12460275862068992</v>
      </c>
      <c r="Q53" s="370">
        <f t="shared" si="4"/>
        <v>-4.5270588235294174E-2</v>
      </c>
      <c r="R53" s="370">
        <f t="shared" si="4"/>
        <v>2.9598611111111062E-2</v>
      </c>
      <c r="S53" s="370">
        <f t="shared" si="4"/>
        <v>8.8028169014084501E-2</v>
      </c>
      <c r="T53" s="370">
        <f t="shared" si="4"/>
        <v>0.10299757876527771</v>
      </c>
      <c r="U53" s="370">
        <f t="shared" si="4"/>
        <v>9.5166060941714647E-2</v>
      </c>
    </row>
    <row r="54" spans="3:21" hidden="1" outlineLevel="1">
      <c r="C54" s="360" t="s">
        <v>501</v>
      </c>
      <c r="D54" s="352"/>
      <c r="E54" s="368"/>
      <c r="F54" s="368"/>
      <c r="G54" s="369">
        <f>G52/G49</f>
        <v>0.1732763273666289</v>
      </c>
      <c r="H54" s="369">
        <f>H52/H49</f>
        <v>0.15902492959682557</v>
      </c>
      <c r="I54" s="369">
        <f>I52/I49</f>
        <v>0.17553588378747961</v>
      </c>
      <c r="J54" s="369">
        <f>J52/J49</f>
        <v>0.1527127861388643</v>
      </c>
      <c r="K54" s="641">
        <v>0.154</v>
      </c>
      <c r="L54" s="389">
        <v>0.14399999999999999</v>
      </c>
      <c r="M54" s="389">
        <v>0.13600000000000001</v>
      </c>
      <c r="N54" s="389">
        <v>0.14099999999999999</v>
      </c>
      <c r="O54" s="389">
        <v>0.14499999999999999</v>
      </c>
      <c r="P54" s="389">
        <v>0.153</v>
      </c>
      <c r="Q54" s="389">
        <v>0.14399999999999999</v>
      </c>
      <c r="R54" s="389">
        <v>0.14199999999999999</v>
      </c>
      <c r="S54" s="389">
        <v>0.15</v>
      </c>
      <c r="T54" s="389">
        <v>0.156</v>
      </c>
      <c r="U54" s="389">
        <v>0.161</v>
      </c>
    </row>
    <row r="55" spans="3:21" s="371" customFormat="1" collapsed="1">
      <c r="C55" s="360" t="s">
        <v>502</v>
      </c>
      <c r="E55" s="368"/>
      <c r="F55" s="368"/>
      <c r="G55" s="368">
        <v>943.51700000000005</v>
      </c>
      <c r="H55" s="368">
        <v>930.702</v>
      </c>
      <c r="I55" s="368">
        <v>1196.0740000000001</v>
      </c>
      <c r="J55" s="368">
        <v>1294.04</v>
      </c>
      <c r="K55" s="630">
        <f>K56*K52</f>
        <v>1352.2036405554627</v>
      </c>
      <c r="L55" s="359">
        <f t="shared" ref="L55:U55" si="5">L56*L52</f>
        <v>1270.7394213575108</v>
      </c>
      <c r="M55" s="359">
        <f t="shared" si="5"/>
        <v>1263.5103259826769</v>
      </c>
      <c r="N55" s="359">
        <f t="shared" si="5"/>
        <v>1365.3743426530582</v>
      </c>
      <c r="O55" s="359">
        <f t="shared" si="5"/>
        <v>1488.3548685515959</v>
      </c>
      <c r="P55" s="359">
        <f t="shared" si="5"/>
        <v>1673.8079909796591</v>
      </c>
      <c r="Q55" s="359">
        <f t="shared" si="5"/>
        <v>1598.0337186350739</v>
      </c>
      <c r="R55" s="359">
        <f t="shared" si="5"/>
        <v>1645.3332972153962</v>
      </c>
      <c r="S55" s="359">
        <f t="shared" si="5"/>
        <v>1790.1689747871742</v>
      </c>
      <c r="T55" s="359">
        <f t="shared" si="5"/>
        <v>1974.5520447709728</v>
      </c>
      <c r="U55" s="359">
        <f t="shared" si="5"/>
        <v>2162.4623849962345</v>
      </c>
    </row>
    <row r="56" spans="3:21">
      <c r="C56" s="372" t="s">
        <v>503</v>
      </c>
      <c r="D56" s="352"/>
      <c r="E56" s="368"/>
      <c r="F56" s="368"/>
      <c r="G56" s="373">
        <f t="shared" ref="G56:I56" si="6">G55/G52</f>
        <v>0.49999973503406137</v>
      </c>
      <c r="H56" s="373">
        <f t="shared" si="6"/>
        <v>0.50000107446008379</v>
      </c>
      <c r="I56" s="373">
        <f t="shared" si="6"/>
        <v>0.52971067894432888</v>
      </c>
      <c r="J56" s="373">
        <f>J55/J52</f>
        <v>0.53583436853002064</v>
      </c>
      <c r="K56" s="635">
        <v>0.5</v>
      </c>
      <c r="L56" s="374">
        <f>K56</f>
        <v>0.5</v>
      </c>
      <c r="M56" s="374">
        <f t="shared" ref="M56:U56" si="7">L56</f>
        <v>0.5</v>
      </c>
      <c r="N56" s="374">
        <f t="shared" si="7"/>
        <v>0.5</v>
      </c>
      <c r="O56" s="374">
        <f t="shared" si="7"/>
        <v>0.5</v>
      </c>
      <c r="P56" s="374">
        <f t="shared" si="7"/>
        <v>0.5</v>
      </c>
      <c r="Q56" s="374">
        <f t="shared" si="7"/>
        <v>0.5</v>
      </c>
      <c r="R56" s="374">
        <f t="shared" si="7"/>
        <v>0.5</v>
      </c>
      <c r="S56" s="374">
        <f t="shared" si="7"/>
        <v>0.5</v>
      </c>
      <c r="T56" s="374">
        <f t="shared" si="7"/>
        <v>0.5</v>
      </c>
      <c r="U56" s="374">
        <f t="shared" si="7"/>
        <v>0.5</v>
      </c>
    </row>
    <row r="57" spans="3:21">
      <c r="C57" s="375" t="s">
        <v>633</v>
      </c>
      <c r="D57" s="376"/>
      <c r="E57" s="377"/>
      <c r="F57" s="377"/>
      <c r="G57" s="368">
        <f>G55*$D$59</f>
        <v>135.96079970000002</v>
      </c>
      <c r="H57" s="368">
        <f t="shared" ref="H57:U57" si="8">H55*$D$59</f>
        <v>134.11415819999999</v>
      </c>
      <c r="I57" s="368">
        <f t="shared" si="8"/>
        <v>172.35426340000001</v>
      </c>
      <c r="J57" s="368">
        <f t="shared" si="8"/>
        <v>186.47116400000002</v>
      </c>
      <c r="K57" s="675">
        <f t="shared" si="8"/>
        <v>194.85254460404218</v>
      </c>
      <c r="L57" s="879">
        <f t="shared" si="8"/>
        <v>183.11355061761731</v>
      </c>
      <c r="M57" s="879">
        <f t="shared" si="8"/>
        <v>182.07183797410374</v>
      </c>
      <c r="N57" s="879">
        <f t="shared" si="8"/>
        <v>196.7504427763057</v>
      </c>
      <c r="O57" s="879">
        <f t="shared" si="8"/>
        <v>214.47193655828499</v>
      </c>
      <c r="P57" s="879">
        <f t="shared" si="8"/>
        <v>241.19573150016888</v>
      </c>
      <c r="Q57" s="879">
        <f t="shared" si="8"/>
        <v>230.27665885531417</v>
      </c>
      <c r="R57" s="879">
        <f t="shared" si="8"/>
        <v>237.09252812873859</v>
      </c>
      <c r="S57" s="879">
        <f t="shared" si="8"/>
        <v>257.96334926683181</v>
      </c>
      <c r="T57" s="879">
        <f t="shared" si="8"/>
        <v>284.53294965149718</v>
      </c>
      <c r="U57" s="879">
        <f t="shared" si="8"/>
        <v>311.61082967795738</v>
      </c>
    </row>
    <row r="58" spans="3:21" ht="13.5" thickBot="1">
      <c r="C58" s="375" t="s">
        <v>636</v>
      </c>
      <c r="D58" s="376"/>
      <c r="E58" s="377"/>
      <c r="F58" s="377"/>
      <c r="G58" s="464">
        <v>0</v>
      </c>
      <c r="H58" s="464">
        <v>0</v>
      </c>
      <c r="I58" s="464">
        <v>0</v>
      </c>
      <c r="J58" s="464">
        <v>0</v>
      </c>
      <c r="K58" s="637">
        <f>J58</f>
        <v>0</v>
      </c>
      <c r="L58" s="521">
        <f t="shared" ref="L58:U58" si="9">K58</f>
        <v>0</v>
      </c>
      <c r="M58" s="521">
        <f t="shared" si="9"/>
        <v>0</v>
      </c>
      <c r="N58" s="521">
        <f t="shared" si="9"/>
        <v>0</v>
      </c>
      <c r="O58" s="521">
        <f t="shared" si="9"/>
        <v>0</v>
      </c>
      <c r="P58" s="521">
        <f t="shared" si="9"/>
        <v>0</v>
      </c>
      <c r="Q58" s="521">
        <f t="shared" si="9"/>
        <v>0</v>
      </c>
      <c r="R58" s="521">
        <f t="shared" si="9"/>
        <v>0</v>
      </c>
      <c r="S58" s="521">
        <f t="shared" si="9"/>
        <v>0</v>
      </c>
      <c r="T58" s="521">
        <f t="shared" si="9"/>
        <v>0</v>
      </c>
      <c r="U58" s="521">
        <f t="shared" si="9"/>
        <v>0</v>
      </c>
    </row>
    <row r="59" spans="3:21" ht="13.5" thickBot="1">
      <c r="C59" s="378" t="s">
        <v>631</v>
      </c>
      <c r="D59" s="379">
        <v>0.14410000000000001</v>
      </c>
      <c r="E59" s="380"/>
      <c r="F59" s="381"/>
      <c r="G59" s="385">
        <f t="shared" ref="G59" si="10">(F56*F52*$D$59)</f>
        <v>0</v>
      </c>
      <c r="H59" s="385">
        <v>0</v>
      </c>
      <c r="I59" s="385">
        <v>0</v>
      </c>
      <c r="J59" s="385">
        <f>I57/J64</f>
        <v>107.70735477258407</v>
      </c>
      <c r="K59" s="638">
        <f>((J57*(1-J58))+(K57*K58))/K64</f>
        <v>116.52926605704555</v>
      </c>
      <c r="L59" s="382">
        <f>((K57*(1-K58))+(L57*L58))/L64</f>
        <v>121.76694522085337</v>
      </c>
      <c r="M59" s="382">
        <f t="shared" ref="M59:U59" si="11">((L57*(1-L58))+(M57*M58))/M64</f>
        <v>114.4310315914079</v>
      </c>
      <c r="N59" s="382">
        <f t="shared" si="11"/>
        <v>113.78004616724344</v>
      </c>
      <c r="O59" s="382">
        <f t="shared" si="11"/>
        <v>122.95297675688688</v>
      </c>
      <c r="P59" s="382">
        <f t="shared" si="11"/>
        <v>134.02746473428022</v>
      </c>
      <c r="Q59" s="382">
        <f t="shared" si="11"/>
        <v>150.72765657110875</v>
      </c>
      <c r="R59" s="382">
        <f t="shared" si="11"/>
        <v>143.90412689480726</v>
      </c>
      <c r="S59" s="382">
        <f t="shared" si="11"/>
        <v>148.16348918405063</v>
      </c>
      <c r="T59" s="382">
        <f t="shared" si="11"/>
        <v>161.20604985166077</v>
      </c>
      <c r="U59" s="382">
        <f t="shared" si="11"/>
        <v>177.80988266869647</v>
      </c>
    </row>
    <row r="60" spans="3:21">
      <c r="C60" s="352" t="s">
        <v>504</v>
      </c>
      <c r="D60" s="352"/>
      <c r="E60" s="358">
        <v>7522.4529999999995</v>
      </c>
      <c r="F60" s="358">
        <v>8390.1769999999997</v>
      </c>
      <c r="G60" s="358">
        <v>9351.634</v>
      </c>
      <c r="H60" s="358">
        <v>10275.505000000001</v>
      </c>
      <c r="I60" s="358">
        <v>11476.133</v>
      </c>
      <c r="J60" s="358">
        <v>11745</v>
      </c>
      <c r="K60" s="630">
        <f>J60+(1-K56)*K52</f>
        <v>13097.203640555463</v>
      </c>
      <c r="L60" s="359">
        <f t="shared" ref="L60:U60" si="12">K60+(1-L56)*L52</f>
        <v>14367.943061912974</v>
      </c>
      <c r="M60" s="359">
        <f t="shared" si="12"/>
        <v>15631.453387895652</v>
      </c>
      <c r="N60" s="359">
        <f t="shared" si="12"/>
        <v>16996.82773054871</v>
      </c>
      <c r="O60" s="359">
        <f t="shared" si="12"/>
        <v>18485.182599100306</v>
      </c>
      <c r="P60" s="359">
        <f t="shared" si="12"/>
        <v>20158.990590079964</v>
      </c>
      <c r="Q60" s="359">
        <f t="shared" si="12"/>
        <v>21757.024308715037</v>
      </c>
      <c r="R60" s="359">
        <f>Q60+(1-R56)*R52</f>
        <v>23402.357605930432</v>
      </c>
      <c r="S60" s="359">
        <f t="shared" si="12"/>
        <v>25192.526580717607</v>
      </c>
      <c r="T60" s="359">
        <f t="shared" si="12"/>
        <v>27167.078625488579</v>
      </c>
      <c r="U60" s="359">
        <f t="shared" si="12"/>
        <v>29329.541010484812</v>
      </c>
    </row>
    <row r="61" spans="3:21">
      <c r="C61" s="383" t="s">
        <v>632</v>
      </c>
      <c r="D61" s="384"/>
      <c r="E61" s="381"/>
      <c r="F61" s="385">
        <f t="shared" ref="F61" si="13">(F60-E60)*$D$59</f>
        <v>125.03902840000003</v>
      </c>
      <c r="G61" s="385">
        <f t="shared" ref="G61" si="14">(G60-F60)*$D$59</f>
        <v>138.54595370000004</v>
      </c>
      <c r="H61" s="385">
        <f t="shared" ref="H61" si="15">(H60-G60)*$D$59</f>
        <v>133.12981110000015</v>
      </c>
      <c r="I61" s="385">
        <f t="shared" ref="I61" si="16">(I60-H60)*$D$59</f>
        <v>173.01049479999983</v>
      </c>
      <c r="J61" s="385">
        <f>(J52*$D$59)/J64</f>
        <v>217.47254916985952</v>
      </c>
      <c r="K61" s="638">
        <f>(K52*$D$59)/K64</f>
        <v>243.53389044170675</v>
      </c>
      <c r="L61" s="382">
        <f t="shared" ref="L61:U61" si="17">(L52*$D$59)/L64</f>
        <v>228.8620631828158</v>
      </c>
      <c r="M61" s="382">
        <f t="shared" si="17"/>
        <v>227.56009233448688</v>
      </c>
      <c r="N61" s="382">
        <f t="shared" si="17"/>
        <v>245.90595351377377</v>
      </c>
      <c r="O61" s="382">
        <f t="shared" si="17"/>
        <v>268.05492946856043</v>
      </c>
      <c r="P61" s="382">
        <f t="shared" si="17"/>
        <v>301.45531314221751</v>
      </c>
      <c r="Q61" s="382">
        <f t="shared" si="17"/>
        <v>287.80825378961453</v>
      </c>
      <c r="R61" s="382">
        <f t="shared" si="17"/>
        <v>296.32697836810127</v>
      </c>
      <c r="S61" s="382">
        <f>(S52*$D$59)/S64</f>
        <v>322.41209970332153</v>
      </c>
      <c r="T61" s="382">
        <f t="shared" si="17"/>
        <v>355.61976533739295</v>
      </c>
      <c r="U61" s="382">
        <f t="shared" si="17"/>
        <v>389.46269759756956</v>
      </c>
    </row>
    <row r="62" spans="3:21" hidden="1" outlineLevel="1">
      <c r="C62" s="352"/>
      <c r="D62" s="352"/>
      <c r="E62" s="368"/>
      <c r="F62" s="358">
        <f t="shared" ref="F62:H62" si="18">F60*$D$59</f>
        <v>1209.0245057</v>
      </c>
      <c r="G62" s="358">
        <f t="shared" si="18"/>
        <v>1347.5704594000001</v>
      </c>
      <c r="H62" s="358">
        <f t="shared" si="18"/>
        <v>1480.7002705000002</v>
      </c>
      <c r="I62" s="358">
        <f>I60*$D$59</f>
        <v>1653.7107653</v>
      </c>
      <c r="J62" s="358">
        <f t="shared" ref="J62:U62" si="19">J60*$D$59</f>
        <v>1692.4545000000001</v>
      </c>
      <c r="K62" s="630">
        <f t="shared" si="19"/>
        <v>1887.3070446040422</v>
      </c>
      <c r="L62" s="359">
        <f t="shared" si="19"/>
        <v>2070.4205952216598</v>
      </c>
      <c r="M62" s="359">
        <f t="shared" si="19"/>
        <v>2252.4924331957636</v>
      </c>
      <c r="N62" s="359">
        <f t="shared" si="19"/>
        <v>2449.2428759720692</v>
      </c>
      <c r="O62" s="359">
        <f t="shared" si="19"/>
        <v>2663.7148125303543</v>
      </c>
      <c r="P62" s="359">
        <f t="shared" si="19"/>
        <v>2904.9105440305229</v>
      </c>
      <c r="Q62" s="359">
        <f t="shared" si="19"/>
        <v>3135.187202885837</v>
      </c>
      <c r="R62" s="359">
        <f t="shared" si="19"/>
        <v>3372.2797310145756</v>
      </c>
      <c r="S62" s="359">
        <f t="shared" si="19"/>
        <v>3630.2430802814074</v>
      </c>
      <c r="T62" s="359">
        <f t="shared" si="19"/>
        <v>3914.7760299329043</v>
      </c>
      <c r="U62" s="359">
        <f t="shared" si="19"/>
        <v>4226.3868596108614</v>
      </c>
    </row>
    <row r="63" spans="3:21" hidden="1" outlineLevel="1">
      <c r="C63" s="352"/>
      <c r="D63" s="352"/>
      <c r="E63" s="352"/>
      <c r="F63" s="358"/>
      <c r="G63" s="358"/>
      <c r="H63" s="623" t="s">
        <v>678</v>
      </c>
      <c r="I63" s="358">
        <v>913.40200000000004</v>
      </c>
      <c r="J63" s="358">
        <f>1057.646</f>
        <v>1057.646</v>
      </c>
      <c r="K63" s="630">
        <f>K62/K64</f>
        <v>1179.4129452208533</v>
      </c>
      <c r="L63" s="359">
        <f t="shared" ref="L63:U63" si="20">L62/L64</f>
        <v>1293.8439768122614</v>
      </c>
      <c r="M63" s="359">
        <f t="shared" si="20"/>
        <v>1407.6240229795048</v>
      </c>
      <c r="N63" s="359">
        <f t="shared" si="20"/>
        <v>1530.5769997363916</v>
      </c>
      <c r="O63" s="359">
        <f t="shared" si="20"/>
        <v>1664.6044644706719</v>
      </c>
      <c r="P63" s="359">
        <f t="shared" si="20"/>
        <v>1815.3321210417805</v>
      </c>
      <c r="Q63" s="359">
        <f t="shared" si="20"/>
        <v>1959.2362479365877</v>
      </c>
      <c r="R63" s="359">
        <f t="shared" si="20"/>
        <v>2107.3997371206383</v>
      </c>
      <c r="S63" s="359">
        <f t="shared" si="20"/>
        <v>2268.605786972299</v>
      </c>
      <c r="T63" s="359">
        <f t="shared" si="20"/>
        <v>2446.4156696409955</v>
      </c>
      <c r="U63" s="359">
        <f t="shared" si="20"/>
        <v>2641.1470184397799</v>
      </c>
    </row>
    <row r="64" spans="3:21" hidden="1" outlineLevel="1">
      <c r="C64" s="352"/>
      <c r="D64" s="352"/>
      <c r="E64" s="352"/>
      <c r="F64" s="368"/>
      <c r="G64" s="368"/>
      <c r="H64" s="623" t="s">
        <v>679</v>
      </c>
      <c r="I64" s="581">
        <f>I62/I63</f>
        <v>1.8104961071904813</v>
      </c>
      <c r="J64" s="581">
        <f>J62/J63</f>
        <v>1.6002088600533639</v>
      </c>
      <c r="K64" s="880">
        <f>J64</f>
        <v>1.6002088600533639</v>
      </c>
      <c r="L64" s="881">
        <f t="shared" ref="L64:U64" si="21">K64</f>
        <v>1.6002088600533639</v>
      </c>
      <c r="M64" s="881">
        <f t="shared" si="21"/>
        <v>1.6002088600533639</v>
      </c>
      <c r="N64" s="881">
        <f t="shared" si="21"/>
        <v>1.6002088600533639</v>
      </c>
      <c r="O64" s="881">
        <f t="shared" si="21"/>
        <v>1.6002088600533639</v>
      </c>
      <c r="P64" s="881">
        <f t="shared" si="21"/>
        <v>1.6002088600533639</v>
      </c>
      <c r="Q64" s="881">
        <f t="shared" si="21"/>
        <v>1.6002088600533639</v>
      </c>
      <c r="R64" s="881">
        <f t="shared" si="21"/>
        <v>1.6002088600533639</v>
      </c>
      <c r="S64" s="881">
        <f>R64</f>
        <v>1.6002088600533639</v>
      </c>
      <c r="T64" s="881">
        <f t="shared" si="21"/>
        <v>1.6002088600533639</v>
      </c>
      <c r="U64" s="881">
        <f t="shared" si="21"/>
        <v>1.6002088600533639</v>
      </c>
    </row>
    <row r="65" spans="3:21" collapsed="1">
      <c r="C65" s="352"/>
      <c r="D65" s="352"/>
      <c r="E65" s="352"/>
      <c r="F65" s="368"/>
      <c r="G65" s="368"/>
      <c r="H65" s="623"/>
      <c r="I65" s="581"/>
      <c r="J65" s="368"/>
      <c r="K65" s="880"/>
      <c r="L65" s="881"/>
      <c r="M65" s="881"/>
      <c r="N65" s="881"/>
      <c r="O65" s="881"/>
      <c r="P65" s="881"/>
      <c r="Q65" s="881"/>
      <c r="R65" s="881"/>
      <c r="S65" s="881"/>
      <c r="T65" s="881"/>
      <c r="U65" s="881"/>
    </row>
    <row r="66" spans="3:21">
      <c r="C66" s="352"/>
      <c r="D66" s="352"/>
      <c r="E66" s="352"/>
      <c r="F66" s="368"/>
      <c r="G66" s="368"/>
      <c r="H66" s="623"/>
      <c r="I66" s="581"/>
      <c r="J66" s="581"/>
      <c r="K66" s="880"/>
      <c r="L66" s="881"/>
      <c r="M66" s="881"/>
      <c r="N66" s="907"/>
      <c r="O66" s="881"/>
      <c r="P66" s="881"/>
      <c r="Q66" s="881"/>
      <c r="R66" s="881"/>
      <c r="S66" s="881"/>
      <c r="T66" s="881"/>
      <c r="U66" s="881"/>
    </row>
    <row r="67" spans="3:21">
      <c r="C67" s="353" t="s">
        <v>494</v>
      </c>
      <c r="D67" s="354"/>
      <c r="E67" s="355"/>
      <c r="F67" s="355"/>
      <c r="G67" s="355"/>
      <c r="H67" s="355"/>
      <c r="I67" s="355"/>
      <c r="J67" s="593"/>
      <c r="K67" s="882"/>
      <c r="L67" s="908"/>
      <c r="M67" s="908"/>
      <c r="N67" s="908"/>
      <c r="O67" s="908"/>
      <c r="P67" s="908"/>
      <c r="Q67" s="908"/>
      <c r="R67" s="908"/>
      <c r="S67" s="908"/>
      <c r="T67" s="908"/>
      <c r="U67" s="908"/>
    </row>
    <row r="68" spans="3:21" hidden="1" outlineLevel="1">
      <c r="C68" s="357" t="s">
        <v>340</v>
      </c>
      <c r="E68" s="358"/>
      <c r="F68" s="358"/>
      <c r="G68" s="358"/>
      <c r="H68" s="358">
        <f>3817.653-728.316</f>
        <v>3089.3369999999995</v>
      </c>
      <c r="I68" s="358">
        <v>3775.8538469299992</v>
      </c>
      <c r="J68" s="358">
        <v>4577.5717972360244</v>
      </c>
      <c r="K68" s="630">
        <f t="shared" ref="K68:U68" si="22">J68*(1+K70*K$379)</f>
        <v>5162.3073757776338</v>
      </c>
      <c r="L68" s="359">
        <f t="shared" si="22"/>
        <v>5809.5576896572593</v>
      </c>
      <c r="M68" s="359">
        <f t="shared" si="22"/>
        <v>6499.7331431885414</v>
      </c>
      <c r="N68" s="359">
        <f t="shared" si="22"/>
        <v>7171.8055501942363</v>
      </c>
      <c r="O68" s="359">
        <f t="shared" si="22"/>
        <v>7817.268049711718</v>
      </c>
      <c r="P68" s="359">
        <f t="shared" si="22"/>
        <v>8552.0912463846198</v>
      </c>
      <c r="Q68" s="359">
        <f t="shared" si="22"/>
        <v>9332.0419680548966</v>
      </c>
      <c r="R68" s="359">
        <f t="shared" si="22"/>
        <v>10200.855075280808</v>
      </c>
      <c r="S68" s="359">
        <f t="shared" si="22"/>
        <v>11118.932032056082</v>
      </c>
      <c r="T68" s="359">
        <f t="shared" si="22"/>
        <v>11792.456836359181</v>
      </c>
      <c r="U68" s="359">
        <f t="shared" si="22"/>
        <v>12513.620909061527</v>
      </c>
    </row>
    <row r="69" spans="3:21" hidden="1" outlineLevel="1">
      <c r="C69" s="360" t="s">
        <v>498</v>
      </c>
      <c r="F69" s="362"/>
      <c r="G69" s="362"/>
      <c r="H69" s="362"/>
      <c r="I69" s="362">
        <f t="shared" ref="I69:M69" si="23">I68/H68-1</f>
        <v>0.22222141738826151</v>
      </c>
      <c r="J69" s="362">
        <f t="shared" si="23"/>
        <v>0.21232759074026952</v>
      </c>
      <c r="K69" s="631">
        <f t="shared" si="23"/>
        <v>0.12773924789004454</v>
      </c>
      <c r="L69" s="363">
        <f t="shared" si="23"/>
        <v>0.1253800416683104</v>
      </c>
      <c r="M69" s="363">
        <f t="shared" si="23"/>
        <v>0.11880000000000002</v>
      </c>
      <c r="N69" s="363">
        <f>N68/M68-1</f>
        <v>0.10339999999999994</v>
      </c>
      <c r="O69" s="363">
        <f t="shared" ref="O69:U69" si="24">O68/N68-1</f>
        <v>9.000000000000008E-2</v>
      </c>
      <c r="P69" s="363">
        <f t="shared" si="24"/>
        <v>9.4000000000000083E-2</v>
      </c>
      <c r="Q69" s="363">
        <f t="shared" si="24"/>
        <v>9.1199999999999948E-2</v>
      </c>
      <c r="R69" s="363">
        <f t="shared" si="24"/>
        <v>9.3099999999999961E-2</v>
      </c>
      <c r="S69" s="363">
        <f t="shared" si="24"/>
        <v>9.000000000000008E-2</v>
      </c>
      <c r="T69" s="363">
        <f t="shared" si="24"/>
        <v>6.0574594966613216E-2</v>
      </c>
      <c r="U69" s="363">
        <f t="shared" si="24"/>
        <v>6.1154692589487469E-2</v>
      </c>
    </row>
    <row r="70" spans="3:21" hidden="1" outlineLevel="1">
      <c r="C70" s="360" t="s">
        <v>499</v>
      </c>
      <c r="F70" s="364"/>
      <c r="G70" s="364"/>
      <c r="H70" s="364"/>
      <c r="I70" s="364">
        <f>I69/I$379</f>
        <v>2.9497313577852</v>
      </c>
      <c r="J70" s="364">
        <f>J69/J$379</f>
        <v>7.7697066661564236</v>
      </c>
      <c r="K70" s="642">
        <v>3.7</v>
      </c>
      <c r="L70" s="390">
        <v>2.5</v>
      </c>
      <c r="M70" s="390">
        <v>2.7</v>
      </c>
      <c r="N70" s="390">
        <v>2.2000000000000002</v>
      </c>
      <c r="O70" s="390">
        <v>1.8</v>
      </c>
      <c r="P70" s="390">
        <v>2</v>
      </c>
      <c r="Q70" s="390">
        <v>1.9</v>
      </c>
      <c r="R70" s="390">
        <v>1.9</v>
      </c>
      <c r="S70" s="390">
        <v>1.8</v>
      </c>
      <c r="T70" s="390">
        <v>1.2</v>
      </c>
      <c r="U70" s="390">
        <v>1.2</v>
      </c>
    </row>
    <row r="71" spans="3:21" hidden="1" outlineLevel="1">
      <c r="C71" s="352" t="s">
        <v>500</v>
      </c>
      <c r="D71" s="352"/>
      <c r="E71" s="368"/>
      <c r="F71" s="368"/>
      <c r="G71" s="358">
        <v>714</v>
      </c>
      <c r="H71" s="368">
        <v>709</v>
      </c>
      <c r="I71" s="368">
        <v>672</v>
      </c>
      <c r="J71" s="368">
        <v>899.3664647641499</v>
      </c>
      <c r="K71" s="630">
        <f>K73*K68</f>
        <v>1269.9276144412979</v>
      </c>
      <c r="L71" s="359">
        <f t="shared" ref="L71:U71" si="25">L73*L68</f>
        <v>1638.2952684833469</v>
      </c>
      <c r="M71" s="359">
        <f t="shared" si="25"/>
        <v>2027.916740674825</v>
      </c>
      <c r="N71" s="359">
        <f t="shared" si="25"/>
        <v>2517.3037481181768</v>
      </c>
      <c r="O71" s="359">
        <f t="shared" si="25"/>
        <v>2915.840982542471</v>
      </c>
      <c r="P71" s="359">
        <f t="shared" si="25"/>
        <v>3352.4197685827712</v>
      </c>
      <c r="Q71" s="359">
        <f t="shared" si="25"/>
        <v>3732.8167872219587</v>
      </c>
      <c r="R71" s="359">
        <f t="shared" si="25"/>
        <v>4284.3591316179391</v>
      </c>
      <c r="S71" s="359">
        <f t="shared" si="25"/>
        <v>4814.4975698802837</v>
      </c>
      <c r="T71" s="359">
        <f t="shared" si="25"/>
        <v>5058.9639827980882</v>
      </c>
      <c r="U71" s="359">
        <f t="shared" si="25"/>
        <v>5806.3201018045484</v>
      </c>
    </row>
    <row r="72" spans="3:21" hidden="1" outlineLevel="1">
      <c r="C72" s="360" t="s">
        <v>498</v>
      </c>
      <c r="D72" s="352"/>
      <c r="E72" s="368"/>
      <c r="F72" s="368"/>
      <c r="G72" s="369"/>
      <c r="H72" s="369"/>
      <c r="I72" s="369">
        <f t="shared" ref="I72:U72" si="26">I71/H71-1</f>
        <v>-5.2186177715091708E-2</v>
      </c>
      <c r="J72" s="369">
        <f t="shared" si="26"/>
        <v>0.33834295351808019</v>
      </c>
      <c r="K72" s="634">
        <f t="shared" si="26"/>
        <v>0.41202464645412817</v>
      </c>
      <c r="L72" s="370">
        <f t="shared" si="26"/>
        <v>0.29006980386367265</v>
      </c>
      <c r="M72" s="370">
        <f t="shared" si="26"/>
        <v>0.23782127659574481</v>
      </c>
      <c r="N72" s="370">
        <f t="shared" si="26"/>
        <v>0.24132499999999979</v>
      </c>
      <c r="O72" s="370">
        <f t="shared" si="26"/>
        <v>0.15831908831908859</v>
      </c>
      <c r="P72" s="370">
        <f t="shared" si="26"/>
        <v>0.14972654155495979</v>
      </c>
      <c r="Q72" s="370">
        <f t="shared" si="26"/>
        <v>0.11346938775510185</v>
      </c>
      <c r="R72" s="370">
        <f t="shared" si="26"/>
        <v>0.14775499999999986</v>
      </c>
      <c r="S72" s="370">
        <f t="shared" si="26"/>
        <v>0.12373809523809554</v>
      </c>
      <c r="T72" s="370">
        <f t="shared" si="26"/>
        <v>5.0777139123965309E-2</v>
      </c>
      <c r="U72" s="370">
        <f t="shared" si="26"/>
        <v>0.14772908475879309</v>
      </c>
    </row>
    <row r="73" spans="3:21" hidden="1" outlineLevel="1">
      <c r="C73" s="360" t="s">
        <v>501</v>
      </c>
      <c r="D73" s="352"/>
      <c r="E73" s="368"/>
      <c r="F73" s="368"/>
      <c r="G73" s="369"/>
      <c r="H73" s="369">
        <f>H71/H68</f>
        <v>0.22949908022336188</v>
      </c>
      <c r="I73" s="369">
        <f>I71/I68</f>
        <v>0.17797299028043079</v>
      </c>
      <c r="J73" s="369">
        <f>J71/J68</f>
        <v>0.19647238855045263</v>
      </c>
      <c r="K73" s="641">
        <v>0.246</v>
      </c>
      <c r="L73" s="389">
        <v>0.28199999999999997</v>
      </c>
      <c r="M73" s="389">
        <v>0.312</v>
      </c>
      <c r="N73" s="389">
        <v>0.35099999999999998</v>
      </c>
      <c r="O73" s="389">
        <v>0.373</v>
      </c>
      <c r="P73" s="389">
        <v>0.39200000000000002</v>
      </c>
      <c r="Q73" s="389">
        <v>0.4</v>
      </c>
      <c r="R73" s="389">
        <v>0.42</v>
      </c>
      <c r="S73" s="389">
        <v>0.433</v>
      </c>
      <c r="T73" s="389">
        <v>0.42899999999999999</v>
      </c>
      <c r="U73" s="389">
        <v>0.46400000000000002</v>
      </c>
    </row>
    <row r="74" spans="3:21" collapsed="1">
      <c r="C74" s="360" t="s">
        <v>502</v>
      </c>
      <c r="D74" s="371"/>
      <c r="E74" s="368"/>
      <c r="F74" s="368"/>
      <c r="G74" s="368">
        <v>605</v>
      </c>
      <c r="H74" s="368">
        <v>569.11935200000005</v>
      </c>
      <c r="I74" s="368">
        <v>851.14942199999996</v>
      </c>
      <c r="J74" s="368">
        <v>796.923</v>
      </c>
      <c r="K74" s="630">
        <f>K75*K71</f>
        <v>1079.4384722751031</v>
      </c>
      <c r="L74" s="359">
        <f t="shared" ref="L74:U74" si="27">L75*L71</f>
        <v>1392.550978210845</v>
      </c>
      <c r="M74" s="359">
        <f t="shared" si="27"/>
        <v>1723.7292295736011</v>
      </c>
      <c r="N74" s="359">
        <f t="shared" si="27"/>
        <v>2139.7081859004502</v>
      </c>
      <c r="O74" s="359">
        <f t="shared" si="27"/>
        <v>2478.4648351611004</v>
      </c>
      <c r="P74" s="359">
        <f t="shared" si="27"/>
        <v>2849.5568032953556</v>
      </c>
      <c r="Q74" s="359">
        <f t="shared" si="27"/>
        <v>3172.8942691386646</v>
      </c>
      <c r="R74" s="359">
        <f t="shared" si="27"/>
        <v>3641.7052618752482</v>
      </c>
      <c r="S74" s="359">
        <f t="shared" si="27"/>
        <v>4092.3229343982412</v>
      </c>
      <c r="T74" s="359">
        <f t="shared" si="27"/>
        <v>4300.1193853783752</v>
      </c>
      <c r="U74" s="359">
        <f t="shared" si="27"/>
        <v>4935.3720865338664</v>
      </c>
    </row>
    <row r="75" spans="3:21">
      <c r="C75" s="372" t="s">
        <v>505</v>
      </c>
      <c r="D75" s="352"/>
      <c r="E75" s="368"/>
      <c r="F75" s="368"/>
      <c r="G75" s="373">
        <f t="shared" ref="G75:J75" si="28">G74/G71</f>
        <v>0.84733893557422968</v>
      </c>
      <c r="H75" s="373">
        <f t="shared" si="28"/>
        <v>0.80270712552891399</v>
      </c>
      <c r="I75" s="373">
        <f t="shared" si="28"/>
        <v>1.2665914017857143</v>
      </c>
      <c r="J75" s="373">
        <f t="shared" si="28"/>
        <v>0.88609374623389514</v>
      </c>
      <c r="K75" s="635">
        <v>0.85</v>
      </c>
      <c r="L75" s="374">
        <v>0.85</v>
      </c>
      <c r="M75" s="374">
        <f t="shared" ref="M75:U75" si="29">L75</f>
        <v>0.85</v>
      </c>
      <c r="N75" s="374">
        <f t="shared" si="29"/>
        <v>0.85</v>
      </c>
      <c r="O75" s="374">
        <f t="shared" si="29"/>
        <v>0.85</v>
      </c>
      <c r="P75" s="374">
        <f t="shared" si="29"/>
        <v>0.85</v>
      </c>
      <c r="Q75" s="374">
        <f t="shared" si="29"/>
        <v>0.85</v>
      </c>
      <c r="R75" s="374">
        <f t="shared" si="29"/>
        <v>0.85</v>
      </c>
      <c r="S75" s="374">
        <f t="shared" si="29"/>
        <v>0.85</v>
      </c>
      <c r="T75" s="374">
        <f t="shared" si="29"/>
        <v>0.85</v>
      </c>
      <c r="U75" s="374">
        <f t="shared" si="29"/>
        <v>0.85</v>
      </c>
    </row>
    <row r="76" spans="3:21">
      <c r="C76" s="375" t="s">
        <v>633</v>
      </c>
      <c r="D76" s="376"/>
      <c r="E76" s="377"/>
      <c r="F76" s="377"/>
      <c r="G76" s="368">
        <f>G74*$D$78</f>
        <v>101.24675000000001</v>
      </c>
      <c r="H76" s="368">
        <f>H74*$D$78</f>
        <v>95.242123557200003</v>
      </c>
      <c r="I76" s="368">
        <f>I74*$D$78</f>
        <v>142.4398557717</v>
      </c>
      <c r="J76" s="368">
        <f>J74*$D$78</f>
        <v>133.36506405</v>
      </c>
      <c r="K76" s="675">
        <f t="shared" ref="K76:U76" si="30">K74*$D$78</f>
        <v>180.64402833523849</v>
      </c>
      <c r="L76" s="879">
        <f t="shared" si="30"/>
        <v>233.04340620358491</v>
      </c>
      <c r="M76" s="879">
        <f t="shared" si="30"/>
        <v>288.46608656914213</v>
      </c>
      <c r="N76" s="879">
        <f t="shared" si="30"/>
        <v>358.08016491044032</v>
      </c>
      <c r="O76" s="879">
        <f t="shared" si="30"/>
        <v>414.77109016421014</v>
      </c>
      <c r="P76" s="879">
        <f t="shared" si="30"/>
        <v>476.87333103147773</v>
      </c>
      <c r="Q76" s="879">
        <f t="shared" si="30"/>
        <v>530.98385594035551</v>
      </c>
      <c r="R76" s="879">
        <f t="shared" si="30"/>
        <v>609.43937557482275</v>
      </c>
      <c r="S76" s="879">
        <f t="shared" si="30"/>
        <v>684.85024307154561</v>
      </c>
      <c r="T76" s="879">
        <f t="shared" si="30"/>
        <v>719.62497914307107</v>
      </c>
      <c r="U76" s="879">
        <f t="shared" si="30"/>
        <v>825.93451868144257</v>
      </c>
    </row>
    <row r="77" spans="3:21" ht="13.5" thickBot="1">
      <c r="C77" s="375" t="s">
        <v>636</v>
      </c>
      <c r="D77" s="376"/>
      <c r="E77" s="377"/>
      <c r="F77" s="377"/>
      <c r="G77" s="464">
        <v>0</v>
      </c>
      <c r="H77" s="464">
        <v>0</v>
      </c>
      <c r="I77" s="464">
        <v>0</v>
      </c>
      <c r="J77" s="464">
        <v>0</v>
      </c>
      <c r="K77" s="637">
        <v>0.6</v>
      </c>
      <c r="L77" s="521">
        <f t="shared" ref="L77:U77" si="31">K77</f>
        <v>0.6</v>
      </c>
      <c r="M77" s="521">
        <f t="shared" si="31"/>
        <v>0.6</v>
      </c>
      <c r="N77" s="521">
        <f t="shared" si="31"/>
        <v>0.6</v>
      </c>
      <c r="O77" s="521">
        <f t="shared" si="31"/>
        <v>0.6</v>
      </c>
      <c r="P77" s="521">
        <f t="shared" si="31"/>
        <v>0.6</v>
      </c>
      <c r="Q77" s="521">
        <f t="shared" si="31"/>
        <v>0.6</v>
      </c>
      <c r="R77" s="521">
        <f t="shared" si="31"/>
        <v>0.6</v>
      </c>
      <c r="S77" s="521">
        <f t="shared" si="31"/>
        <v>0.6</v>
      </c>
      <c r="T77" s="521">
        <f t="shared" si="31"/>
        <v>0.6</v>
      </c>
      <c r="U77" s="521">
        <f t="shared" si="31"/>
        <v>0.6</v>
      </c>
    </row>
    <row r="78" spans="3:21" ht="13.5" thickBot="1">
      <c r="C78" s="378" t="s">
        <v>631</v>
      </c>
      <c r="D78" s="379">
        <v>0.16735</v>
      </c>
      <c r="E78" s="380"/>
      <c r="F78" s="381"/>
      <c r="G78" s="382"/>
      <c r="H78" s="385">
        <v>100.8</v>
      </c>
      <c r="I78" s="385">
        <v>141.5</v>
      </c>
      <c r="J78" s="385">
        <v>147.69999999999999</v>
      </c>
      <c r="K78" s="638">
        <f>(K76*K77)</f>
        <v>108.38641700114309</v>
      </c>
      <c r="L78" s="382">
        <f>(K76*(1-K77))+(L76*L77)</f>
        <v>212.08365505624633</v>
      </c>
      <c r="M78" s="382">
        <f t="shared" ref="M78:P78" si="32">(L76*(1-L77))+(M76*M77)</f>
        <v>266.29701442291923</v>
      </c>
      <c r="N78" s="382">
        <f t="shared" si="32"/>
        <v>330.234533573921</v>
      </c>
      <c r="O78" s="382">
        <f t="shared" si="32"/>
        <v>392.09472006270221</v>
      </c>
      <c r="P78" s="382">
        <f t="shared" si="32"/>
        <v>452.03243468457072</v>
      </c>
      <c r="Q78" s="382">
        <f t="shared" ref="Q78" si="33">(P76*(1-P77))+(Q76*Q77)</f>
        <v>509.33964597680443</v>
      </c>
      <c r="R78" s="382">
        <f t="shared" ref="R78" si="34">(Q76*(1-Q77))+(R76*R77)</f>
        <v>578.05716772103585</v>
      </c>
      <c r="S78" s="382">
        <f t="shared" ref="S78:T78" si="35">(R76*(1-R77))+(S76*S77)</f>
        <v>654.68589607285651</v>
      </c>
      <c r="T78" s="382">
        <f t="shared" si="35"/>
        <v>705.71508471446089</v>
      </c>
      <c r="U78" s="382">
        <f t="shared" ref="U78" si="36">(T76*(1-T77))+(U76*U77)</f>
        <v>783.41070286609397</v>
      </c>
    </row>
    <row r="79" spans="3:21">
      <c r="C79" s="352" t="s">
        <v>504</v>
      </c>
      <c r="D79" s="352"/>
      <c r="E79" s="358"/>
      <c r="F79" s="358"/>
      <c r="G79" s="358"/>
      <c r="H79" s="358">
        <v>3345.1709999999998</v>
      </c>
      <c r="I79" s="358">
        <v>3182.3870000000002</v>
      </c>
      <c r="J79" s="358">
        <v>3267.625</v>
      </c>
      <c r="K79" s="639">
        <f>J79+(1-K75)*K71+300</f>
        <v>3758.1141421661946</v>
      </c>
      <c r="L79" s="359">
        <f t="shared" ref="L79:O79" si="37">K79+(1-L75)*L71</f>
        <v>4003.8584324386966</v>
      </c>
      <c r="M79" s="359">
        <f t="shared" si="37"/>
        <v>4308.0459435399207</v>
      </c>
      <c r="N79" s="359">
        <f t="shared" si="37"/>
        <v>4685.6415057576469</v>
      </c>
      <c r="O79" s="359">
        <f t="shared" si="37"/>
        <v>5123.017653139018</v>
      </c>
      <c r="P79" s="359">
        <f>O79+(1-P75)*P71</f>
        <v>5625.880618426434</v>
      </c>
      <c r="Q79" s="359">
        <f>P79+(1-Q75)*Q71</f>
        <v>6185.8031365097277</v>
      </c>
      <c r="R79" s="359">
        <f t="shared" ref="R79:U79" si="38">Q79+(1-R75)*R71</f>
        <v>6828.457006252419</v>
      </c>
      <c r="S79" s="359">
        <f t="shared" si="38"/>
        <v>7550.6316417344615</v>
      </c>
      <c r="T79" s="359">
        <f t="shared" si="38"/>
        <v>8309.4762391541753</v>
      </c>
      <c r="U79" s="359">
        <f t="shared" si="38"/>
        <v>9180.4242544248573</v>
      </c>
    </row>
    <row r="80" spans="3:21">
      <c r="C80" s="383" t="s">
        <v>632</v>
      </c>
      <c r="D80" s="384"/>
      <c r="E80" s="381"/>
      <c r="F80" s="385"/>
      <c r="G80" s="385"/>
      <c r="H80" s="385">
        <f t="shared" ref="H80:I80" si="39">(H79-G79)*$D$78</f>
        <v>559.81436684999994</v>
      </c>
      <c r="I80" s="385">
        <f t="shared" si="39"/>
        <v>-27.24190239999994</v>
      </c>
      <c r="J80" s="385">
        <f>J71*$D$78</f>
        <v>150.50897787828049</v>
      </c>
      <c r="K80" s="638">
        <f>K71*$D$78+360*D78</f>
        <v>272.76838627675119</v>
      </c>
      <c r="L80" s="382">
        <f t="shared" ref="L80:U80" si="40">L71*$D$78</f>
        <v>274.16871318068809</v>
      </c>
      <c r="M80" s="382">
        <f t="shared" si="40"/>
        <v>339.37186655193193</v>
      </c>
      <c r="N80" s="382">
        <f t="shared" si="40"/>
        <v>421.2707822475769</v>
      </c>
      <c r="O80" s="382">
        <f t="shared" si="40"/>
        <v>487.96598842848255</v>
      </c>
      <c r="P80" s="382">
        <f t="shared" si="40"/>
        <v>561.02744827232675</v>
      </c>
      <c r="Q80" s="382">
        <f>Q71*$D$78</f>
        <v>624.68688934159479</v>
      </c>
      <c r="R80" s="382">
        <f t="shared" si="40"/>
        <v>716.98750067626213</v>
      </c>
      <c r="S80" s="382">
        <f t="shared" si="40"/>
        <v>805.70616831946552</v>
      </c>
      <c r="T80" s="382">
        <f t="shared" si="40"/>
        <v>846.61762252126005</v>
      </c>
      <c r="U80" s="382">
        <f t="shared" si="40"/>
        <v>971.68766903699111</v>
      </c>
    </row>
    <row r="81" spans="3:21">
      <c r="C81" s="352"/>
      <c r="D81" s="352"/>
      <c r="E81" s="368"/>
      <c r="F81" s="358"/>
      <c r="G81" s="358"/>
      <c r="H81" s="358"/>
      <c r="I81" s="358"/>
      <c r="J81" s="358"/>
      <c r="K81" s="666"/>
      <c r="L81" s="607"/>
      <c r="M81" s="607"/>
      <c r="N81" s="607"/>
      <c r="O81" s="607"/>
      <c r="P81" s="607"/>
      <c r="Q81" s="607"/>
      <c r="R81" s="607"/>
      <c r="S81" s="607"/>
      <c r="T81" s="607"/>
      <c r="U81" s="607"/>
    </row>
    <row r="82" spans="3:21">
      <c r="C82" s="352"/>
      <c r="D82" s="352"/>
      <c r="E82" s="368"/>
      <c r="F82" s="368"/>
      <c r="G82" s="386"/>
      <c r="H82" s="388"/>
      <c r="I82" s="386"/>
      <c r="J82" s="386"/>
      <c r="K82" s="666"/>
      <c r="L82" s="607"/>
      <c r="M82" s="607"/>
      <c r="N82" s="607"/>
      <c r="O82" s="607"/>
      <c r="P82" s="607"/>
      <c r="Q82" s="607"/>
      <c r="R82" s="607"/>
      <c r="S82" s="607"/>
      <c r="T82" s="607"/>
      <c r="U82" s="607"/>
    </row>
    <row r="83" spans="3:21">
      <c r="C83" s="353" t="s">
        <v>496</v>
      </c>
      <c r="D83" s="354"/>
      <c r="E83" s="355"/>
      <c r="F83" s="355"/>
      <c r="G83" s="355"/>
      <c r="H83" s="355"/>
      <c r="I83" s="355"/>
      <c r="J83" s="355"/>
      <c r="K83" s="884"/>
      <c r="L83" s="883"/>
      <c r="M83" s="883"/>
      <c r="N83" s="883"/>
      <c r="O83" s="883"/>
      <c r="P83" s="883"/>
      <c r="Q83" s="883"/>
      <c r="R83" s="883"/>
      <c r="S83" s="883"/>
      <c r="T83" s="883"/>
      <c r="U83" s="883"/>
    </row>
    <row r="84" spans="3:21" hidden="1" outlineLevel="1">
      <c r="C84" s="357" t="s">
        <v>340</v>
      </c>
      <c r="E84" s="358"/>
      <c r="F84" s="358"/>
      <c r="G84" s="358"/>
      <c r="H84" s="358"/>
      <c r="I84" s="358">
        <v>1480</v>
      </c>
      <c r="J84" s="358">
        <v>1743</v>
      </c>
      <c r="K84" s="630">
        <f>J84*(1+K379)*(1+K380)*(1+4%)</f>
        <v>1969.8205621730688</v>
      </c>
      <c r="L84" s="359">
        <f t="shared" ref="L84:U84" si="41">K84*(1+L379)*(1+L380)</f>
        <v>2194.3015358414004</v>
      </c>
      <c r="M84" s="359">
        <f t="shared" si="41"/>
        <v>2393.9390895722509</v>
      </c>
      <c r="N84" s="359">
        <f t="shared" si="41"/>
        <v>2619.244666987343</v>
      </c>
      <c r="O84" s="359">
        <f t="shared" si="41"/>
        <v>2873.9662108518619</v>
      </c>
      <c r="P84" s="359">
        <f t="shared" si="41"/>
        <v>3129.4043276723751</v>
      </c>
      <c r="Q84" s="359">
        <f t="shared" si="41"/>
        <v>3410.800364816675</v>
      </c>
      <c r="R84" s="359">
        <f t="shared" si="41"/>
        <v>3721.0467660003997</v>
      </c>
      <c r="S84" s="359">
        <f t="shared" si="41"/>
        <v>4063.3830684724367</v>
      </c>
      <c r="T84" s="359">
        <f t="shared" si="41"/>
        <v>4439.2378036359905</v>
      </c>
      <c r="U84" s="359">
        <f t="shared" si="41"/>
        <v>4852.090175899355</v>
      </c>
    </row>
    <row r="85" spans="3:21" hidden="1" outlineLevel="1">
      <c r="C85" s="360" t="s">
        <v>498</v>
      </c>
      <c r="F85" s="362"/>
      <c r="G85" s="362"/>
      <c r="H85" s="362"/>
      <c r="I85" s="362"/>
      <c r="J85" s="362">
        <f t="shared" ref="J85:M85" si="42">J84/I84-1</f>
        <v>0.17770270270270272</v>
      </c>
      <c r="K85" s="631">
        <f t="shared" si="42"/>
        <v>0.13013227892889767</v>
      </c>
      <c r="L85" s="363">
        <f t="shared" si="42"/>
        <v>0.11396011290525299</v>
      </c>
      <c r="M85" s="363">
        <f t="shared" si="42"/>
        <v>9.0979999999999839E-2</v>
      </c>
      <c r="N85" s="363">
        <f>N84/M84-1</f>
        <v>9.4114999999999949E-2</v>
      </c>
      <c r="O85" s="363">
        <f t="shared" ref="O85:U85" si="43">O84/N84-1</f>
        <v>9.7249999999999837E-2</v>
      </c>
      <c r="P85" s="363">
        <f t="shared" si="43"/>
        <v>8.8879999999999848E-2</v>
      </c>
      <c r="Q85" s="363">
        <f t="shared" si="43"/>
        <v>8.992E-2</v>
      </c>
      <c r="R85" s="363">
        <f t="shared" si="43"/>
        <v>9.095999999999993E-2</v>
      </c>
      <c r="S85" s="363">
        <f t="shared" si="43"/>
        <v>9.2000000000000082E-2</v>
      </c>
      <c r="T85" s="363">
        <f t="shared" si="43"/>
        <v>9.2497982304398096E-2</v>
      </c>
      <c r="U85" s="363">
        <f t="shared" si="43"/>
        <v>9.3000733577555783E-2</v>
      </c>
    </row>
    <row r="86" spans="3:21" hidden="1" outlineLevel="1">
      <c r="C86" s="360" t="s">
        <v>499</v>
      </c>
      <c r="F86" s="364"/>
      <c r="G86" s="364"/>
      <c r="H86" s="364"/>
      <c r="I86" s="364"/>
      <c r="J86" s="364">
        <f t="shared" ref="J86:U86" si="44">J85/J$379</f>
        <v>6.5026776264425568</v>
      </c>
      <c r="K86" s="632">
        <f t="shared" si="44"/>
        <v>3.7693147563494214</v>
      </c>
      <c r="L86" s="365">
        <f t="shared" si="44"/>
        <v>2.272293727711693</v>
      </c>
      <c r="M86" s="365">
        <f t="shared" si="44"/>
        <v>2.0677272727272689</v>
      </c>
      <c r="N86" s="365">
        <f t="shared" si="44"/>
        <v>2.0024468085106371</v>
      </c>
      <c r="O86" s="365">
        <f t="shared" si="44"/>
        <v>1.9449999999999967</v>
      </c>
      <c r="P86" s="365">
        <f t="shared" si="44"/>
        <v>1.8910638297872309</v>
      </c>
      <c r="Q86" s="365">
        <f t="shared" si="44"/>
        <v>1.8733333333333333</v>
      </c>
      <c r="R86" s="365">
        <f t="shared" si="44"/>
        <v>1.8563265306122434</v>
      </c>
      <c r="S86" s="365">
        <f t="shared" si="44"/>
        <v>1.8400000000000016</v>
      </c>
      <c r="T86" s="365">
        <f t="shared" si="44"/>
        <v>1.8324114065716166</v>
      </c>
      <c r="U86" s="365">
        <f t="shared" si="44"/>
        <v>1.8248947965810123</v>
      </c>
    </row>
    <row r="87" spans="3:21" hidden="1" outlineLevel="1">
      <c r="C87" s="352" t="s">
        <v>500</v>
      </c>
      <c r="D87" s="352"/>
      <c r="E87" s="368"/>
      <c r="F87" s="368"/>
      <c r="G87" s="368">
        <v>133.08107799999999</v>
      </c>
      <c r="H87" s="368">
        <v>129.00819300000001</v>
      </c>
      <c r="I87" s="368">
        <v>126.392072</v>
      </c>
      <c r="J87" s="368">
        <f>J90/J91</f>
        <v>237.53460000000001</v>
      </c>
      <c r="K87" s="630">
        <f t="shared" ref="K87:U87" si="45">K89*K84</f>
        <v>268.44551882246412</v>
      </c>
      <c r="L87" s="359">
        <f t="shared" si="45"/>
        <v>299.03760045638137</v>
      </c>
      <c r="M87" s="359">
        <f t="shared" si="45"/>
        <v>326.24404134590287</v>
      </c>
      <c r="N87" s="359">
        <f t="shared" si="45"/>
        <v>356.94849929717253</v>
      </c>
      <c r="O87" s="359">
        <f t="shared" si="45"/>
        <v>391.66174085382249</v>
      </c>
      <c r="P87" s="359">
        <f t="shared" si="45"/>
        <v>426.47263638091022</v>
      </c>
      <c r="Q87" s="359">
        <f t="shared" si="45"/>
        <v>464.82105584428166</v>
      </c>
      <c r="R87" s="359">
        <f t="shared" si="45"/>
        <v>507.10117908387753</v>
      </c>
      <c r="S87" s="359">
        <f t="shared" si="45"/>
        <v>553.75448755959428</v>
      </c>
      <c r="T87" s="359">
        <f t="shared" si="45"/>
        <v>604.97566035086265</v>
      </c>
      <c r="U87" s="359">
        <f t="shared" si="45"/>
        <v>661.23884056005897</v>
      </c>
    </row>
    <row r="88" spans="3:21" hidden="1" outlineLevel="1">
      <c r="C88" s="360" t="s">
        <v>498</v>
      </c>
      <c r="D88" s="352"/>
      <c r="E88" s="368"/>
      <c r="F88" s="368"/>
      <c r="G88" s="369"/>
      <c r="H88" s="369"/>
      <c r="I88" s="369"/>
      <c r="J88" s="369">
        <f t="shared" ref="J88:U88" si="46">J87/I87-1</f>
        <v>0.87934730589747767</v>
      </c>
      <c r="K88" s="634">
        <f t="shared" si="46"/>
        <v>0.13013227892889745</v>
      </c>
      <c r="L88" s="370">
        <f t="shared" si="46"/>
        <v>0.11396011290525299</v>
      </c>
      <c r="M88" s="370">
        <f t="shared" si="46"/>
        <v>9.0979999999999839E-2</v>
      </c>
      <c r="N88" s="370">
        <f t="shared" si="46"/>
        <v>9.4114999999999949E-2</v>
      </c>
      <c r="O88" s="370">
        <f t="shared" si="46"/>
        <v>9.7249999999999837E-2</v>
      </c>
      <c r="P88" s="370">
        <f t="shared" si="46"/>
        <v>8.8879999999999848E-2</v>
      </c>
      <c r="Q88" s="370">
        <f t="shared" si="46"/>
        <v>8.992E-2</v>
      </c>
      <c r="R88" s="370">
        <f t="shared" si="46"/>
        <v>9.095999999999993E-2</v>
      </c>
      <c r="S88" s="370">
        <f t="shared" si="46"/>
        <v>9.2000000000000082E-2</v>
      </c>
      <c r="T88" s="370">
        <f t="shared" si="46"/>
        <v>9.2497982304398096E-2</v>
      </c>
      <c r="U88" s="370">
        <f t="shared" si="46"/>
        <v>9.3000733577555561E-2</v>
      </c>
    </row>
    <row r="89" spans="3:21" hidden="1" outlineLevel="1">
      <c r="C89" s="360" t="s">
        <v>501</v>
      </c>
      <c r="D89" s="352"/>
      <c r="E89" s="368"/>
      <c r="F89" s="368"/>
      <c r="G89" s="369"/>
      <c r="H89" s="369"/>
      <c r="I89" s="369">
        <f>I87/I84</f>
        <v>8.5400048648648641E-2</v>
      </c>
      <c r="J89" s="369">
        <f>J87/J84</f>
        <v>0.13627917383820998</v>
      </c>
      <c r="K89" s="641">
        <f>J89</f>
        <v>0.13627917383820998</v>
      </c>
      <c r="L89" s="389">
        <f t="shared" ref="L89:U89" si="47">K89</f>
        <v>0.13627917383820998</v>
      </c>
      <c r="M89" s="389">
        <f t="shared" si="47"/>
        <v>0.13627917383820998</v>
      </c>
      <c r="N89" s="389">
        <f t="shared" si="47"/>
        <v>0.13627917383820998</v>
      </c>
      <c r="O89" s="389">
        <f t="shared" si="47"/>
        <v>0.13627917383820998</v>
      </c>
      <c r="P89" s="389">
        <f t="shared" si="47"/>
        <v>0.13627917383820998</v>
      </c>
      <c r="Q89" s="389">
        <f t="shared" si="47"/>
        <v>0.13627917383820998</v>
      </c>
      <c r="R89" s="389">
        <f t="shared" si="47"/>
        <v>0.13627917383820998</v>
      </c>
      <c r="S89" s="389">
        <f t="shared" si="47"/>
        <v>0.13627917383820998</v>
      </c>
      <c r="T89" s="389">
        <f t="shared" si="47"/>
        <v>0.13627917383820998</v>
      </c>
      <c r="U89" s="389">
        <f t="shared" si="47"/>
        <v>0.13627917383820998</v>
      </c>
    </row>
    <row r="90" spans="3:21" collapsed="1">
      <c r="C90" s="360" t="s">
        <v>502</v>
      </c>
      <c r="D90" s="371"/>
      <c r="E90" s="368"/>
      <c r="F90" s="368"/>
      <c r="G90" s="368">
        <v>39.867310000000003</v>
      </c>
      <c r="H90" s="368">
        <v>39.012281000000002</v>
      </c>
      <c r="I90" s="368">
        <v>37.200772999999998</v>
      </c>
      <c r="J90" s="368">
        <f xml:space="preserve"> 59.38365</f>
        <v>59.383650000000003</v>
      </c>
      <c r="K90" s="630">
        <f>K91*K87</f>
        <v>134.22275941123206</v>
      </c>
      <c r="L90" s="359">
        <f t="shared" ref="L90:U90" si="48">L91*L87</f>
        <v>149.51880022819068</v>
      </c>
      <c r="M90" s="359">
        <f t="shared" si="48"/>
        <v>163.12202067295144</v>
      </c>
      <c r="N90" s="359">
        <f t="shared" si="48"/>
        <v>178.47424964858627</v>
      </c>
      <c r="O90" s="359">
        <f t="shared" si="48"/>
        <v>195.83087042691125</v>
      </c>
      <c r="P90" s="359">
        <f t="shared" si="48"/>
        <v>213.23631819045511</v>
      </c>
      <c r="Q90" s="359">
        <f t="shared" si="48"/>
        <v>232.41052792214083</v>
      </c>
      <c r="R90" s="359">
        <f t="shared" si="48"/>
        <v>253.55058954193876</v>
      </c>
      <c r="S90" s="359">
        <f t="shared" si="48"/>
        <v>276.87724377979714</v>
      </c>
      <c r="T90" s="359">
        <f t="shared" si="48"/>
        <v>302.48783017543133</v>
      </c>
      <c r="U90" s="359">
        <f t="shared" si="48"/>
        <v>330.61942028002949</v>
      </c>
    </row>
    <row r="91" spans="3:21">
      <c r="C91" s="372" t="s">
        <v>505</v>
      </c>
      <c r="D91" s="352"/>
      <c r="E91" s="368"/>
      <c r="F91" s="368"/>
      <c r="G91" s="373">
        <f t="shared" ref="G91:I91" si="49">G90/G87</f>
        <v>0.29957158898277036</v>
      </c>
      <c r="H91" s="373">
        <f t="shared" si="49"/>
        <v>0.30240157692930403</v>
      </c>
      <c r="I91" s="373">
        <f t="shared" si="49"/>
        <v>0.29432837369736292</v>
      </c>
      <c r="J91" s="373">
        <v>0.25</v>
      </c>
      <c r="K91" s="635">
        <v>0.5</v>
      </c>
      <c r="L91" s="374">
        <f>K91</f>
        <v>0.5</v>
      </c>
      <c r="M91" s="374">
        <f t="shared" ref="M91:U91" si="50">L91</f>
        <v>0.5</v>
      </c>
      <c r="N91" s="374">
        <f t="shared" si="50"/>
        <v>0.5</v>
      </c>
      <c r="O91" s="374">
        <f t="shared" si="50"/>
        <v>0.5</v>
      </c>
      <c r="P91" s="374">
        <f t="shared" si="50"/>
        <v>0.5</v>
      </c>
      <c r="Q91" s="374">
        <f t="shared" si="50"/>
        <v>0.5</v>
      </c>
      <c r="R91" s="374">
        <f t="shared" si="50"/>
        <v>0.5</v>
      </c>
      <c r="S91" s="374">
        <f t="shared" si="50"/>
        <v>0.5</v>
      </c>
      <c r="T91" s="374">
        <f t="shared" si="50"/>
        <v>0.5</v>
      </c>
      <c r="U91" s="374">
        <f t="shared" si="50"/>
        <v>0.5</v>
      </c>
    </row>
    <row r="92" spans="3:21" s="376" customFormat="1">
      <c r="C92" s="375" t="s">
        <v>633</v>
      </c>
      <c r="E92" s="377"/>
      <c r="F92" s="377"/>
      <c r="G92" s="368">
        <f>G90*$D$94</f>
        <v>3.8272617600000003</v>
      </c>
      <c r="H92" s="368">
        <f t="shared" ref="H92:J92" si="51">H90*$D$94</f>
        <v>3.745178976</v>
      </c>
      <c r="I92" s="368">
        <f t="shared" si="51"/>
        <v>3.5712742079999997</v>
      </c>
      <c r="J92" s="368">
        <f t="shared" si="51"/>
        <v>5.7008304000000001</v>
      </c>
      <c r="K92" s="675">
        <f>K90*$D$94</f>
        <v>12.885384903478279</v>
      </c>
      <c r="L92" s="879">
        <f t="shared" ref="L92:U92" si="52">L90*$D$94</f>
        <v>14.353804821906307</v>
      </c>
      <c r="M92" s="879">
        <f t="shared" si="52"/>
        <v>15.659713984603338</v>
      </c>
      <c r="N92" s="879">
        <f t="shared" si="52"/>
        <v>17.133527966264282</v>
      </c>
      <c r="O92" s="879">
        <f t="shared" si="52"/>
        <v>18.799763560983479</v>
      </c>
      <c r="P92" s="879">
        <f t="shared" si="52"/>
        <v>20.470686546283691</v>
      </c>
      <c r="Q92" s="879">
        <f t="shared" si="52"/>
        <v>22.311410680525519</v>
      </c>
      <c r="R92" s="879">
        <f t="shared" si="52"/>
        <v>24.340856596026121</v>
      </c>
      <c r="S92" s="879">
        <f t="shared" si="52"/>
        <v>26.580215402860524</v>
      </c>
      <c r="T92" s="879">
        <f t="shared" si="52"/>
        <v>29.03883169684141</v>
      </c>
      <c r="U92" s="879">
        <f t="shared" si="52"/>
        <v>31.73946434688283</v>
      </c>
    </row>
    <row r="93" spans="3:21" s="376" customFormat="1" ht="13.5" thickBot="1">
      <c r="C93" s="375" t="s">
        <v>636</v>
      </c>
      <c r="E93" s="377"/>
      <c r="F93" s="377"/>
      <c r="G93" s="464">
        <v>0</v>
      </c>
      <c r="H93" s="464">
        <v>0</v>
      </c>
      <c r="I93" s="464">
        <v>0</v>
      </c>
      <c r="J93" s="464">
        <v>0</v>
      </c>
      <c r="K93" s="637">
        <v>0</v>
      </c>
      <c r="L93" s="521">
        <v>0</v>
      </c>
      <c r="M93" s="521">
        <v>0</v>
      </c>
      <c r="N93" s="521">
        <v>0</v>
      </c>
      <c r="O93" s="521">
        <v>0</v>
      </c>
      <c r="P93" s="521">
        <v>0</v>
      </c>
      <c r="Q93" s="521">
        <v>0</v>
      </c>
      <c r="R93" s="521">
        <v>0</v>
      </c>
      <c r="S93" s="521">
        <v>0</v>
      </c>
      <c r="T93" s="521">
        <v>0</v>
      </c>
      <c r="U93" s="521">
        <v>0</v>
      </c>
    </row>
    <row r="94" spans="3:21" ht="13.5" thickBot="1">
      <c r="C94" s="378" t="s">
        <v>631</v>
      </c>
      <c r="D94" s="379">
        <v>9.6000000000000002E-2</v>
      </c>
      <c r="E94" s="380"/>
      <c r="F94" s="381"/>
      <c r="G94" s="382"/>
      <c r="H94" s="382"/>
      <c r="I94" s="382">
        <f t="shared" ref="I94:J94" si="53">(H92*(1-H93))+(I92*I93)</f>
        <v>3.745178976</v>
      </c>
      <c r="J94" s="382">
        <f t="shared" si="53"/>
        <v>3.5712742079999997</v>
      </c>
      <c r="K94" s="638">
        <f>(J92*(1-J93))+(K92*K93)</f>
        <v>5.7008304000000001</v>
      </c>
      <c r="L94" s="382">
        <f>(K92*(1-K93))+(L92*L93)</f>
        <v>12.885384903478279</v>
      </c>
      <c r="M94" s="382">
        <f t="shared" ref="M94:U94" si="54">(L92*(1-L93))+(M92*M93)</f>
        <v>14.353804821906307</v>
      </c>
      <c r="N94" s="382">
        <f t="shared" si="54"/>
        <v>15.659713984603338</v>
      </c>
      <c r="O94" s="382">
        <f t="shared" si="54"/>
        <v>17.133527966264282</v>
      </c>
      <c r="P94" s="382">
        <f t="shared" si="54"/>
        <v>18.799763560983479</v>
      </c>
      <c r="Q94" s="382">
        <f t="shared" si="54"/>
        <v>20.470686546283691</v>
      </c>
      <c r="R94" s="382">
        <f t="shared" si="54"/>
        <v>22.311410680525519</v>
      </c>
      <c r="S94" s="382">
        <f t="shared" si="54"/>
        <v>24.340856596026121</v>
      </c>
      <c r="T94" s="382">
        <f t="shared" si="54"/>
        <v>26.580215402860524</v>
      </c>
      <c r="U94" s="382">
        <f t="shared" si="54"/>
        <v>29.03883169684141</v>
      </c>
    </row>
    <row r="95" spans="3:21">
      <c r="C95" s="352" t="s">
        <v>504</v>
      </c>
      <c r="D95" s="352"/>
      <c r="E95" s="358"/>
      <c r="F95" s="358"/>
      <c r="G95" s="358"/>
      <c r="H95" s="358">
        <v>2035.6020000000001</v>
      </c>
      <c r="I95" s="358">
        <v>2179.779</v>
      </c>
      <c r="J95" s="358">
        <v>2310.3989999999999</v>
      </c>
      <c r="K95" s="630">
        <f>J95+(1-K91)*K87</f>
        <v>2444.6217594112318</v>
      </c>
      <c r="L95" s="359">
        <f t="shared" ref="L95:U95" si="55">K95+(1-L91)*L87</f>
        <v>2594.1405596394225</v>
      </c>
      <c r="M95" s="359">
        <f t="shared" si="55"/>
        <v>2757.2625803123738</v>
      </c>
      <c r="N95" s="359">
        <f t="shared" si="55"/>
        <v>2935.7368299609602</v>
      </c>
      <c r="O95" s="359">
        <f t="shared" si="55"/>
        <v>3131.5677003878714</v>
      </c>
      <c r="P95" s="359">
        <f t="shared" si="55"/>
        <v>3344.8040185783266</v>
      </c>
      <c r="Q95" s="359">
        <f t="shared" si="55"/>
        <v>3577.2145465004673</v>
      </c>
      <c r="R95" s="359">
        <f t="shared" si="55"/>
        <v>3830.7651360424061</v>
      </c>
      <c r="S95" s="359">
        <f t="shared" si="55"/>
        <v>4107.6423798222031</v>
      </c>
      <c r="T95" s="359">
        <f t="shared" si="55"/>
        <v>4410.1302099976347</v>
      </c>
      <c r="U95" s="359">
        <f t="shared" si="55"/>
        <v>4740.7496302776644</v>
      </c>
    </row>
    <row r="96" spans="3:21">
      <c r="C96" s="383" t="s">
        <v>632</v>
      </c>
      <c r="D96" s="384"/>
      <c r="E96" s="381"/>
      <c r="F96" s="385"/>
      <c r="G96" s="385"/>
      <c r="H96" s="385"/>
      <c r="I96" s="385">
        <f>(I95-H95)*$D$94</f>
        <v>13.840991999999991</v>
      </c>
      <c r="J96" s="385">
        <f>J87*$D$94</f>
        <v>22.8033216</v>
      </c>
      <c r="K96" s="638">
        <f>K87*$D$94</f>
        <v>25.770769806956558</v>
      </c>
      <c r="L96" s="382">
        <f t="shared" ref="L96:U96" si="56">L87*$D$94</f>
        <v>28.707609643812614</v>
      </c>
      <c r="M96" s="382">
        <f t="shared" si="56"/>
        <v>31.319427969206675</v>
      </c>
      <c r="N96" s="382">
        <f t="shared" si="56"/>
        <v>34.267055932528564</v>
      </c>
      <c r="O96" s="382">
        <f t="shared" si="56"/>
        <v>37.599527121966958</v>
      </c>
      <c r="P96" s="382">
        <f t="shared" si="56"/>
        <v>40.941373092567382</v>
      </c>
      <c r="Q96" s="382">
        <f t="shared" si="56"/>
        <v>44.622821361051038</v>
      </c>
      <c r="R96" s="382">
        <f t="shared" si="56"/>
        <v>48.681713192052243</v>
      </c>
      <c r="S96" s="382">
        <f>S87*$D$94</f>
        <v>53.160430805721049</v>
      </c>
      <c r="T96" s="382">
        <f t="shared" si="56"/>
        <v>58.077663393682819</v>
      </c>
      <c r="U96" s="382">
        <f t="shared" si="56"/>
        <v>63.47892869376566</v>
      </c>
    </row>
    <row r="97" spans="3:21">
      <c r="C97" s="352"/>
      <c r="D97" s="352"/>
      <c r="E97" s="358"/>
      <c r="F97" s="358"/>
      <c r="G97" s="358"/>
      <c r="H97" s="358"/>
      <c r="I97" s="358"/>
      <c r="J97" s="386"/>
      <c r="K97" s="666"/>
      <c r="L97" s="607"/>
      <c r="M97" s="607"/>
      <c r="N97" s="607"/>
      <c r="O97" s="607"/>
      <c r="P97" s="607"/>
      <c r="Q97" s="607"/>
      <c r="R97" s="607"/>
      <c r="S97" s="607"/>
      <c r="T97" s="607"/>
      <c r="U97" s="607"/>
    </row>
    <row r="98" spans="3:21">
      <c r="C98" s="352"/>
      <c r="D98" s="352"/>
      <c r="E98" s="368"/>
      <c r="F98" s="368"/>
      <c r="G98" s="368"/>
      <c r="H98" s="386"/>
      <c r="I98" s="386"/>
      <c r="K98" s="666"/>
      <c r="L98" s="607"/>
      <c r="M98" s="607"/>
      <c r="N98" s="607"/>
      <c r="O98" s="607"/>
      <c r="P98" s="607"/>
      <c r="Q98" s="607"/>
      <c r="R98" s="607"/>
      <c r="S98" s="607"/>
      <c r="T98" s="607"/>
      <c r="U98" s="607"/>
    </row>
    <row r="99" spans="3:21">
      <c r="C99" s="353" t="s">
        <v>506</v>
      </c>
      <c r="D99" s="354"/>
      <c r="E99" s="355"/>
      <c r="F99" s="355"/>
      <c r="G99" s="355"/>
      <c r="H99" s="355"/>
      <c r="I99" s="355"/>
      <c r="J99" s="355"/>
      <c r="K99" s="884"/>
      <c r="L99" s="883"/>
      <c r="M99" s="883"/>
      <c r="N99" s="883"/>
      <c r="O99" s="883"/>
      <c r="P99" s="883"/>
      <c r="Q99" s="883"/>
      <c r="R99" s="883"/>
      <c r="S99" s="883"/>
      <c r="T99" s="883"/>
      <c r="U99" s="883"/>
    </row>
    <row r="100" spans="3:21" hidden="1" outlineLevel="1">
      <c r="C100" s="357" t="s">
        <v>340</v>
      </c>
      <c r="E100" s="358"/>
      <c r="F100" s="358"/>
      <c r="G100" s="358"/>
      <c r="H100" s="358"/>
      <c r="I100" s="358">
        <v>26</v>
      </c>
      <c r="J100" s="358">
        <v>28</v>
      </c>
      <c r="K100" s="630">
        <f t="shared" ref="K100:U100" si="57">J100*(1+K102*K379)</f>
        <v>30.416688473595435</v>
      </c>
      <c r="L100" s="359">
        <f t="shared" si="57"/>
        <v>33.467605008180563</v>
      </c>
      <c r="M100" s="359">
        <f t="shared" si="57"/>
        <v>35.67646693872048</v>
      </c>
      <c r="N100" s="359">
        <f t="shared" si="57"/>
        <v>37.688619674064313</v>
      </c>
      <c r="O100" s="359">
        <f t="shared" si="57"/>
        <v>39.949936854508174</v>
      </c>
      <c r="P100" s="359">
        <f t="shared" si="57"/>
        <v>42.203113293102433</v>
      </c>
      <c r="Q100" s="359">
        <f t="shared" si="57"/>
        <v>44.634012618785135</v>
      </c>
      <c r="R100" s="359">
        <f t="shared" si="57"/>
        <v>47.258492560769703</v>
      </c>
      <c r="S100" s="359">
        <f t="shared" si="57"/>
        <v>50.094002114415886</v>
      </c>
      <c r="T100" s="359">
        <f t="shared" si="57"/>
        <v>53.128426002753294</v>
      </c>
      <c r="U100" s="359">
        <f t="shared" si="57"/>
        <v>56.377478562715005</v>
      </c>
    </row>
    <row r="101" spans="3:21" hidden="1" outlineLevel="1">
      <c r="C101" s="360" t="s">
        <v>498</v>
      </c>
      <c r="F101" s="362"/>
      <c r="G101" s="362"/>
      <c r="H101" s="362"/>
      <c r="I101" s="362"/>
      <c r="J101" s="362">
        <f t="shared" ref="J101:M101" si="58">J100/I100-1</f>
        <v>7.6923076923076872E-2</v>
      </c>
      <c r="K101" s="631">
        <f t="shared" si="58"/>
        <v>8.6310302628408442E-2</v>
      </c>
      <c r="L101" s="363">
        <f t="shared" si="58"/>
        <v>0.10030403333464832</v>
      </c>
      <c r="M101" s="363">
        <f t="shared" si="58"/>
        <v>6.6000000000000059E-2</v>
      </c>
      <c r="N101" s="363">
        <f>N100/M100-1</f>
        <v>5.6400000000000006E-2</v>
      </c>
      <c r="O101" s="363">
        <f t="shared" ref="O101:U101" si="59">O100/N100-1</f>
        <v>6.0000000000000053E-2</v>
      </c>
      <c r="P101" s="363">
        <f t="shared" si="59"/>
        <v>5.6400000000000006E-2</v>
      </c>
      <c r="Q101" s="363">
        <f t="shared" si="59"/>
        <v>5.7600000000000096E-2</v>
      </c>
      <c r="R101" s="363">
        <f t="shared" si="59"/>
        <v>5.8799999999999963E-2</v>
      </c>
      <c r="S101" s="363">
        <f t="shared" si="59"/>
        <v>6.0000000000000053E-2</v>
      </c>
      <c r="T101" s="363">
        <f t="shared" si="59"/>
        <v>6.0574594966613216E-2</v>
      </c>
      <c r="U101" s="363">
        <f t="shared" si="59"/>
        <v>6.1154692589487469E-2</v>
      </c>
    </row>
    <row r="102" spans="3:21" hidden="1" outlineLevel="1">
      <c r="C102" s="360" t="s">
        <v>499</v>
      </c>
      <c r="F102" s="364"/>
      <c r="G102" s="364"/>
      <c r="H102" s="364"/>
      <c r="I102" s="364"/>
      <c r="J102" s="364">
        <f>J101/J$379</f>
        <v>2.8148472907677617</v>
      </c>
      <c r="K102" s="642">
        <v>2.5</v>
      </c>
      <c r="L102" s="390">
        <v>2</v>
      </c>
      <c r="M102" s="390">
        <v>1.5</v>
      </c>
      <c r="N102" s="390">
        <v>1.2</v>
      </c>
      <c r="O102" s="390">
        <v>1.2</v>
      </c>
      <c r="P102" s="390">
        <f t="shared" ref="P102:T102" si="60">O102</f>
        <v>1.2</v>
      </c>
      <c r="Q102" s="390">
        <f t="shared" si="60"/>
        <v>1.2</v>
      </c>
      <c r="R102" s="390">
        <f t="shared" si="60"/>
        <v>1.2</v>
      </c>
      <c r="S102" s="390">
        <f t="shared" si="60"/>
        <v>1.2</v>
      </c>
      <c r="T102" s="390">
        <f t="shared" si="60"/>
        <v>1.2</v>
      </c>
      <c r="U102" s="390">
        <f>T102</f>
        <v>1.2</v>
      </c>
    </row>
    <row r="103" spans="3:21" hidden="1" outlineLevel="1">
      <c r="C103" s="352" t="s">
        <v>500</v>
      </c>
      <c r="D103" s="352"/>
      <c r="E103" s="368"/>
      <c r="F103" s="368"/>
      <c r="G103" s="358"/>
      <c r="H103" s="368"/>
      <c r="I103" s="368">
        <v>17</v>
      </c>
      <c r="J103" s="368">
        <v>20</v>
      </c>
      <c r="K103" s="630">
        <f t="shared" ref="K103:U103" si="61">K105*K100</f>
        <v>21.900015700988714</v>
      </c>
      <c r="L103" s="359">
        <f t="shared" si="61"/>
        <v>24.096675605890006</v>
      </c>
      <c r="M103" s="359">
        <f t="shared" si="61"/>
        <v>25.687056195878746</v>
      </c>
      <c r="N103" s="359">
        <f t="shared" si="61"/>
        <v>27.135806165326304</v>
      </c>
      <c r="O103" s="359">
        <f t="shared" si="61"/>
        <v>28.763954535245883</v>
      </c>
      <c r="P103" s="359">
        <f t="shared" si="61"/>
        <v>30.38624157103375</v>
      </c>
      <c r="Q103" s="359">
        <f t="shared" si="61"/>
        <v>32.136489085525298</v>
      </c>
      <c r="R103" s="359">
        <f t="shared" si="61"/>
        <v>34.026114643754184</v>
      </c>
      <c r="S103" s="359">
        <f t="shared" si="61"/>
        <v>36.067681522379438</v>
      </c>
      <c r="T103" s="359">
        <f t="shared" si="61"/>
        <v>38.252466721982373</v>
      </c>
      <c r="U103" s="359">
        <f t="shared" si="61"/>
        <v>40.591784565154803</v>
      </c>
    </row>
    <row r="104" spans="3:21" hidden="1" outlineLevel="1">
      <c r="C104" s="360" t="s">
        <v>498</v>
      </c>
      <c r="D104" s="352"/>
      <c r="E104" s="368"/>
      <c r="F104" s="368"/>
      <c r="G104" s="369"/>
      <c r="H104" s="369"/>
      <c r="I104" s="369"/>
      <c r="J104" s="369">
        <f t="shared" ref="J104:U104" si="62">J103/I103-1</f>
        <v>0.17647058823529416</v>
      </c>
      <c r="K104" s="634">
        <f t="shared" si="62"/>
        <v>9.5000785049435654E-2</v>
      </c>
      <c r="L104" s="370">
        <f t="shared" si="62"/>
        <v>0.10030403333464832</v>
      </c>
      <c r="M104" s="370">
        <f t="shared" si="62"/>
        <v>6.6000000000000059E-2</v>
      </c>
      <c r="N104" s="370">
        <f t="shared" si="62"/>
        <v>5.6399999999999784E-2</v>
      </c>
      <c r="O104" s="370">
        <f t="shared" si="62"/>
        <v>6.0000000000000053E-2</v>
      </c>
      <c r="P104" s="370">
        <f t="shared" si="62"/>
        <v>5.6400000000000006E-2</v>
      </c>
      <c r="Q104" s="370">
        <f t="shared" si="62"/>
        <v>5.7600000000000096E-2</v>
      </c>
      <c r="R104" s="370">
        <f t="shared" si="62"/>
        <v>5.8799999999999963E-2</v>
      </c>
      <c r="S104" s="370">
        <f t="shared" si="62"/>
        <v>6.0000000000000053E-2</v>
      </c>
      <c r="T104" s="370">
        <f t="shared" si="62"/>
        <v>6.0574594966613216E-2</v>
      </c>
      <c r="U104" s="370">
        <f t="shared" si="62"/>
        <v>6.1154692589487469E-2</v>
      </c>
    </row>
    <row r="105" spans="3:21" hidden="1" outlineLevel="1">
      <c r="C105" s="360" t="s">
        <v>501</v>
      </c>
      <c r="D105" s="352"/>
      <c r="E105" s="368"/>
      <c r="F105" s="368"/>
      <c r="G105" s="369"/>
      <c r="H105" s="369"/>
      <c r="I105" s="369">
        <f>I103/I100</f>
        <v>0.65384615384615385</v>
      </c>
      <c r="J105" s="369">
        <f>J103/J100</f>
        <v>0.7142857142857143</v>
      </c>
      <c r="K105" s="641">
        <v>0.72</v>
      </c>
      <c r="L105" s="389">
        <f>K105</f>
        <v>0.72</v>
      </c>
      <c r="M105" s="389">
        <f t="shared" ref="M105:U105" si="63">L105</f>
        <v>0.72</v>
      </c>
      <c r="N105" s="389">
        <f t="shared" si="63"/>
        <v>0.72</v>
      </c>
      <c r="O105" s="389">
        <f t="shared" si="63"/>
        <v>0.72</v>
      </c>
      <c r="P105" s="389">
        <f t="shared" si="63"/>
        <v>0.72</v>
      </c>
      <c r="Q105" s="389">
        <f t="shared" si="63"/>
        <v>0.72</v>
      </c>
      <c r="R105" s="389">
        <f t="shared" si="63"/>
        <v>0.72</v>
      </c>
      <c r="S105" s="389">
        <f t="shared" si="63"/>
        <v>0.72</v>
      </c>
      <c r="T105" s="389">
        <f t="shared" si="63"/>
        <v>0.72</v>
      </c>
      <c r="U105" s="389">
        <f t="shared" si="63"/>
        <v>0.72</v>
      </c>
    </row>
    <row r="106" spans="3:21" collapsed="1">
      <c r="C106" s="360" t="s">
        <v>502</v>
      </c>
      <c r="D106" s="371"/>
      <c r="E106" s="368"/>
      <c r="F106" s="368"/>
      <c r="G106" s="368"/>
      <c r="H106" s="368"/>
      <c r="I106" s="368">
        <v>12.6</v>
      </c>
      <c r="J106" s="368">
        <v>19.2</v>
      </c>
      <c r="K106" s="630">
        <f>K107*K103</f>
        <v>21.024015072949165</v>
      </c>
      <c r="L106" s="359">
        <f t="shared" ref="L106:U106" si="64">L107*L103</f>
        <v>23.132808581654405</v>
      </c>
      <c r="M106" s="359">
        <f t="shared" si="64"/>
        <v>24.659573948043594</v>
      </c>
      <c r="N106" s="359">
        <f t="shared" si="64"/>
        <v>26.050373918713252</v>
      </c>
      <c r="O106" s="359">
        <f t="shared" si="64"/>
        <v>27.613396353836048</v>
      </c>
      <c r="P106" s="359">
        <f t="shared" si="64"/>
        <v>29.170791908192399</v>
      </c>
      <c r="Q106" s="359">
        <f t="shared" si="64"/>
        <v>30.851029522104284</v>
      </c>
      <c r="R106" s="359">
        <f t="shared" si="64"/>
        <v>32.665070058004012</v>
      </c>
      <c r="S106" s="359">
        <f t="shared" si="64"/>
        <v>34.624974261484262</v>
      </c>
      <c r="T106" s="359">
        <f t="shared" si="64"/>
        <v>36.722368053103075</v>
      </c>
      <c r="U106" s="359">
        <f t="shared" si="64"/>
        <v>38.968113182548613</v>
      </c>
    </row>
    <row r="107" spans="3:21">
      <c r="C107" s="372" t="s">
        <v>507</v>
      </c>
      <c r="D107" s="352"/>
      <c r="E107" s="368"/>
      <c r="F107" s="368"/>
      <c r="G107" s="373"/>
      <c r="H107" s="373"/>
      <c r="I107" s="373">
        <f t="shared" ref="I107:J107" si="65">I106/I103</f>
        <v>0.74117647058823533</v>
      </c>
      <c r="J107" s="373">
        <f t="shared" si="65"/>
        <v>0.96</v>
      </c>
      <c r="K107" s="635">
        <f>J107</f>
        <v>0.96</v>
      </c>
      <c r="L107" s="374">
        <f t="shared" ref="L107:U107" si="66">K107</f>
        <v>0.96</v>
      </c>
      <c r="M107" s="374">
        <f t="shared" si="66"/>
        <v>0.96</v>
      </c>
      <c r="N107" s="374">
        <f t="shared" si="66"/>
        <v>0.96</v>
      </c>
      <c r="O107" s="374">
        <f t="shared" si="66"/>
        <v>0.96</v>
      </c>
      <c r="P107" s="374">
        <f t="shared" si="66"/>
        <v>0.96</v>
      </c>
      <c r="Q107" s="374">
        <f t="shared" si="66"/>
        <v>0.96</v>
      </c>
      <c r="R107" s="374">
        <f t="shared" si="66"/>
        <v>0.96</v>
      </c>
      <c r="S107" s="374">
        <f t="shared" si="66"/>
        <v>0.96</v>
      </c>
      <c r="T107" s="374">
        <f t="shared" si="66"/>
        <v>0.96</v>
      </c>
      <c r="U107" s="374">
        <f t="shared" si="66"/>
        <v>0.96</v>
      </c>
    </row>
    <row r="108" spans="3:21">
      <c r="C108" s="375" t="s">
        <v>633</v>
      </c>
      <c r="D108" s="376"/>
      <c r="E108" s="377"/>
      <c r="F108" s="377"/>
      <c r="G108" s="368">
        <f>G106*$D$59</f>
        <v>0</v>
      </c>
      <c r="H108" s="368">
        <f t="shared" ref="H108" si="67">H106*$D$59</f>
        <v>0</v>
      </c>
      <c r="I108" s="368">
        <f>I106*$D$110</f>
        <v>12.6</v>
      </c>
      <c r="J108" s="368">
        <f>J106*$D$110</f>
        <v>19.2</v>
      </c>
      <c r="K108" s="879">
        <f>K106*$D$110</f>
        <v>21.024015072949165</v>
      </c>
      <c r="L108" s="879">
        <f>L106*$D$110</f>
        <v>23.132808581654405</v>
      </c>
      <c r="M108" s="879">
        <f t="shared" ref="M108:U108" si="68">M106*$D$110</f>
        <v>24.659573948043594</v>
      </c>
      <c r="N108" s="879">
        <f t="shared" si="68"/>
        <v>26.050373918713252</v>
      </c>
      <c r="O108" s="879">
        <f t="shared" si="68"/>
        <v>27.613396353836048</v>
      </c>
      <c r="P108" s="879">
        <f t="shared" si="68"/>
        <v>29.170791908192399</v>
      </c>
      <c r="Q108" s="879">
        <f>Q106*$D$110</f>
        <v>30.851029522104284</v>
      </c>
      <c r="R108" s="879">
        <f t="shared" si="68"/>
        <v>32.665070058004012</v>
      </c>
      <c r="S108" s="879">
        <f t="shared" si="68"/>
        <v>34.624974261484262</v>
      </c>
      <c r="T108" s="879">
        <f t="shared" si="68"/>
        <v>36.722368053103075</v>
      </c>
      <c r="U108" s="879">
        <f t="shared" si="68"/>
        <v>38.968113182548613</v>
      </c>
    </row>
    <row r="109" spans="3:21" ht="13.5" thickBot="1">
      <c r="C109" s="375" t="s">
        <v>636</v>
      </c>
      <c r="D109" s="376"/>
      <c r="E109" s="377"/>
      <c r="F109" s="377"/>
      <c r="G109" s="464">
        <v>1</v>
      </c>
      <c r="H109" s="464">
        <f>G109</f>
        <v>1</v>
      </c>
      <c r="I109" s="464">
        <f t="shared" ref="I109:J109" si="69">H109</f>
        <v>1</v>
      </c>
      <c r="J109" s="464">
        <f t="shared" si="69"/>
        <v>1</v>
      </c>
      <c r="K109" s="637">
        <f>J109</f>
        <v>1</v>
      </c>
      <c r="L109" s="521">
        <f t="shared" ref="L109:U109" si="70">K109</f>
        <v>1</v>
      </c>
      <c r="M109" s="521">
        <f t="shared" si="70"/>
        <v>1</v>
      </c>
      <c r="N109" s="521">
        <f t="shared" si="70"/>
        <v>1</v>
      </c>
      <c r="O109" s="521">
        <f t="shared" si="70"/>
        <v>1</v>
      </c>
      <c r="P109" s="521">
        <f t="shared" si="70"/>
        <v>1</v>
      </c>
      <c r="Q109" s="521">
        <f t="shared" si="70"/>
        <v>1</v>
      </c>
      <c r="R109" s="521">
        <f t="shared" si="70"/>
        <v>1</v>
      </c>
      <c r="S109" s="521">
        <f t="shared" si="70"/>
        <v>1</v>
      </c>
      <c r="T109" s="521">
        <f t="shared" si="70"/>
        <v>1</v>
      </c>
      <c r="U109" s="521">
        <f t="shared" si="70"/>
        <v>1</v>
      </c>
    </row>
    <row r="110" spans="3:21" ht="13.5" thickBot="1">
      <c r="C110" s="378" t="s">
        <v>631</v>
      </c>
      <c r="D110" s="379">
        <v>1</v>
      </c>
      <c r="E110" s="380"/>
      <c r="F110" s="381"/>
      <c r="G110" s="382"/>
      <c r="H110" s="382"/>
      <c r="I110" s="385">
        <f>(I107*I103*$D$110)</f>
        <v>12.600000000000001</v>
      </c>
      <c r="J110" s="385">
        <f t="shared" ref="J110" si="71">(J107*J103*$D$110)</f>
        <v>19.2</v>
      </c>
      <c r="K110" s="638">
        <f>(J108*(1-J109))+(K108*K109)</f>
        <v>21.024015072949165</v>
      </c>
      <c r="L110" s="382">
        <f>(K108*(1-K109))+(L108*L109)</f>
        <v>23.132808581654405</v>
      </c>
      <c r="M110" s="382">
        <f t="shared" ref="M110:U110" si="72">(M107*M103*$D$110)</f>
        <v>24.659573948043594</v>
      </c>
      <c r="N110" s="382">
        <f t="shared" si="72"/>
        <v>26.050373918713252</v>
      </c>
      <c r="O110" s="382">
        <f t="shared" si="72"/>
        <v>27.613396353836048</v>
      </c>
      <c r="P110" s="382">
        <f t="shared" si="72"/>
        <v>29.170791908192399</v>
      </c>
      <c r="Q110" s="382">
        <f t="shared" si="72"/>
        <v>30.851029522104284</v>
      </c>
      <c r="R110" s="382">
        <f t="shared" si="72"/>
        <v>32.665070058004012</v>
      </c>
      <c r="S110" s="382">
        <f t="shared" si="72"/>
        <v>34.624974261484262</v>
      </c>
      <c r="T110" s="382">
        <f t="shared" si="72"/>
        <v>36.722368053103075</v>
      </c>
      <c r="U110" s="382">
        <f t="shared" si="72"/>
        <v>38.968113182548613</v>
      </c>
    </row>
    <row r="111" spans="3:21">
      <c r="C111" s="352" t="s">
        <v>504</v>
      </c>
      <c r="D111" s="352"/>
      <c r="E111" s="358"/>
      <c r="F111" s="358"/>
      <c r="G111" s="358"/>
      <c r="H111" s="358"/>
      <c r="I111" s="391">
        <v>56.250999999999998</v>
      </c>
      <c r="J111" s="391">
        <v>56.033999999999999</v>
      </c>
      <c r="K111" s="630">
        <f>J111+(1-K107)*K103</f>
        <v>56.910000628039548</v>
      </c>
      <c r="L111" s="359">
        <f t="shared" ref="L111:U111" si="73">K111+(1-L107)*L103</f>
        <v>57.873867652275152</v>
      </c>
      <c r="M111" s="359">
        <f t="shared" si="73"/>
        <v>58.901349900110304</v>
      </c>
      <c r="N111" s="359">
        <f t="shared" si="73"/>
        <v>59.986782146723357</v>
      </c>
      <c r="O111" s="359">
        <f t="shared" si="73"/>
        <v>61.137340328133192</v>
      </c>
      <c r="P111" s="359">
        <f t="shared" si="73"/>
        <v>62.352789990974543</v>
      </c>
      <c r="Q111" s="359">
        <f t="shared" si="73"/>
        <v>63.638249554395557</v>
      </c>
      <c r="R111" s="359">
        <f t="shared" si="73"/>
        <v>64.999294140145722</v>
      </c>
      <c r="S111" s="359">
        <f t="shared" si="73"/>
        <v>66.442001401040898</v>
      </c>
      <c r="T111" s="359">
        <f t="shared" si="73"/>
        <v>67.972100069920188</v>
      </c>
      <c r="U111" s="359">
        <f t="shared" si="73"/>
        <v>69.595771452526378</v>
      </c>
    </row>
    <row r="112" spans="3:21">
      <c r="C112" s="383" t="s">
        <v>632</v>
      </c>
      <c r="D112" s="384"/>
      <c r="E112" s="381"/>
      <c r="F112" s="385"/>
      <c r="G112" s="385"/>
      <c r="H112" s="385"/>
      <c r="I112" s="385">
        <f>(I111-H111)*$D$110</f>
        <v>56.250999999999998</v>
      </c>
      <c r="J112" s="385">
        <f>J103*$D$110</f>
        <v>20</v>
      </c>
      <c r="K112" s="638">
        <f>K103*$D$110</f>
        <v>21.900015700988714</v>
      </c>
      <c r="L112" s="382">
        <f t="shared" ref="L112:U112" si="74">L103*$D$110</f>
        <v>24.096675605890006</v>
      </c>
      <c r="M112" s="382">
        <f t="shared" si="74"/>
        <v>25.687056195878746</v>
      </c>
      <c r="N112" s="382">
        <f t="shared" si="74"/>
        <v>27.135806165326304</v>
      </c>
      <c r="O112" s="382">
        <f t="shared" si="74"/>
        <v>28.763954535245883</v>
      </c>
      <c r="P112" s="382">
        <f t="shared" si="74"/>
        <v>30.38624157103375</v>
      </c>
      <c r="Q112" s="382">
        <f t="shared" si="74"/>
        <v>32.136489085525298</v>
      </c>
      <c r="R112" s="382">
        <f t="shared" si="74"/>
        <v>34.026114643754184</v>
      </c>
      <c r="S112" s="382">
        <f t="shared" si="74"/>
        <v>36.067681522379438</v>
      </c>
      <c r="T112" s="382">
        <f t="shared" si="74"/>
        <v>38.252466721982373</v>
      </c>
      <c r="U112" s="382">
        <f t="shared" si="74"/>
        <v>40.591784565154803</v>
      </c>
    </row>
    <row r="113" spans="3:21">
      <c r="C113" s="352"/>
      <c r="D113" s="352"/>
      <c r="E113" s="368"/>
      <c r="F113" s="368"/>
      <c r="G113" s="368"/>
      <c r="H113" s="368"/>
      <c r="I113" s="368"/>
      <c r="J113" s="358"/>
      <c r="K113" s="666"/>
      <c r="L113" s="607"/>
      <c r="M113" s="607"/>
      <c r="N113" s="607"/>
      <c r="O113" s="607"/>
      <c r="P113" s="607"/>
      <c r="Q113" s="607"/>
      <c r="R113" s="607"/>
      <c r="S113" s="607"/>
      <c r="T113" s="607"/>
      <c r="U113" s="607"/>
    </row>
    <row r="114" spans="3:21">
      <c r="C114" s="352"/>
      <c r="D114" s="352"/>
      <c r="E114" s="368"/>
      <c r="F114" s="368"/>
      <c r="G114" s="368"/>
      <c r="H114" s="368"/>
      <c r="I114" s="368"/>
      <c r="J114" s="387"/>
      <c r="K114" s="666"/>
      <c r="L114" s="607"/>
      <c r="M114" s="607"/>
      <c r="N114" s="607"/>
      <c r="O114" s="607"/>
      <c r="P114" s="607"/>
      <c r="Q114" s="607"/>
      <c r="R114" s="607"/>
      <c r="S114" s="607"/>
      <c r="T114" s="607"/>
      <c r="U114" s="607"/>
    </row>
    <row r="115" spans="3:21">
      <c r="C115" s="353" t="s">
        <v>634</v>
      </c>
      <c r="D115" s="354"/>
      <c r="E115" s="355"/>
      <c r="F115" s="355"/>
      <c r="G115" s="355"/>
      <c r="H115" s="355"/>
      <c r="I115" s="355"/>
      <c r="J115" s="355"/>
      <c r="K115" s="884"/>
      <c r="L115" s="883"/>
      <c r="M115" s="883"/>
      <c r="N115" s="883"/>
      <c r="O115" s="883"/>
      <c r="P115" s="883"/>
      <c r="Q115" s="883"/>
      <c r="R115" s="883"/>
      <c r="S115" s="883"/>
      <c r="T115" s="883"/>
      <c r="U115" s="883"/>
    </row>
    <row r="116" spans="3:21" hidden="1" outlineLevel="1">
      <c r="C116" s="357" t="s">
        <v>340</v>
      </c>
      <c r="E116" s="358"/>
      <c r="F116" s="358"/>
      <c r="G116" s="358"/>
      <c r="H116" s="358"/>
      <c r="I116" s="358">
        <f>135.67+61.539-I100</f>
        <v>171.209</v>
      </c>
      <c r="J116" s="358">
        <f>150.559+18.756-J100</f>
        <v>141.315</v>
      </c>
      <c r="K116" s="630">
        <v>60</v>
      </c>
      <c r="L116" s="359">
        <v>1</v>
      </c>
      <c r="M116" s="359">
        <f>L116</f>
        <v>1</v>
      </c>
      <c r="N116" s="359">
        <f t="shared" ref="N116:U116" si="75">M116</f>
        <v>1</v>
      </c>
      <c r="O116" s="359">
        <f t="shared" si="75"/>
        <v>1</v>
      </c>
      <c r="P116" s="359">
        <f t="shared" si="75"/>
        <v>1</v>
      </c>
      <c r="Q116" s="359">
        <f t="shared" si="75"/>
        <v>1</v>
      </c>
      <c r="R116" s="359">
        <f t="shared" si="75"/>
        <v>1</v>
      </c>
      <c r="S116" s="359">
        <f t="shared" si="75"/>
        <v>1</v>
      </c>
      <c r="T116" s="359">
        <f t="shared" si="75"/>
        <v>1</v>
      </c>
      <c r="U116" s="359">
        <f t="shared" si="75"/>
        <v>1</v>
      </c>
    </row>
    <row r="117" spans="3:21" hidden="1" outlineLevel="1">
      <c r="C117" s="360" t="s">
        <v>498</v>
      </c>
      <c r="F117" s="362"/>
      <c r="G117" s="362"/>
      <c r="H117" s="362"/>
      <c r="I117" s="362"/>
      <c r="J117" s="362">
        <f t="shared" ref="J117:M117" si="76">J116/I116-1</f>
        <v>-0.17460530696400312</v>
      </c>
      <c r="K117" s="631">
        <f t="shared" si="76"/>
        <v>-0.57541662243923142</v>
      </c>
      <c r="L117" s="363">
        <f t="shared" si="76"/>
        <v>-0.98333333333333328</v>
      </c>
      <c r="M117" s="363">
        <f t="shared" si="76"/>
        <v>0</v>
      </c>
      <c r="N117" s="363">
        <f>N116/M116-1</f>
        <v>0</v>
      </c>
      <c r="O117" s="363">
        <f t="shared" ref="O117:U117" si="77">O116/N116-1</f>
        <v>0</v>
      </c>
      <c r="P117" s="363">
        <f t="shared" si="77"/>
        <v>0</v>
      </c>
      <c r="Q117" s="363">
        <f t="shared" si="77"/>
        <v>0</v>
      </c>
      <c r="R117" s="363">
        <f t="shared" si="77"/>
        <v>0</v>
      </c>
      <c r="S117" s="363">
        <f t="shared" si="77"/>
        <v>0</v>
      </c>
      <c r="T117" s="363">
        <f t="shared" si="77"/>
        <v>0</v>
      </c>
      <c r="U117" s="363">
        <f t="shared" si="77"/>
        <v>0</v>
      </c>
    </row>
    <row r="118" spans="3:21" hidden="1" outlineLevel="1">
      <c r="C118" s="360" t="s">
        <v>499</v>
      </c>
      <c r="F118" s="364"/>
      <c r="G118" s="364"/>
      <c r="H118" s="364"/>
      <c r="I118" s="364"/>
      <c r="J118" s="364">
        <f t="shared" ref="J118:U118" si="78">J117/J$379</f>
        <v>-6.3893345783968725</v>
      </c>
      <c r="K118" s="632">
        <f t="shared" si="78"/>
        <v>-16.667089701810319</v>
      </c>
      <c r="L118" s="365">
        <f t="shared" si="78"/>
        <v>-19.60705468448311</v>
      </c>
      <c r="M118" s="365">
        <f t="shared" si="78"/>
        <v>0</v>
      </c>
      <c r="N118" s="365">
        <f t="shared" si="78"/>
        <v>0</v>
      </c>
      <c r="O118" s="365">
        <f t="shared" si="78"/>
        <v>0</v>
      </c>
      <c r="P118" s="365">
        <f t="shared" si="78"/>
        <v>0</v>
      </c>
      <c r="Q118" s="365">
        <f t="shared" si="78"/>
        <v>0</v>
      </c>
      <c r="R118" s="365">
        <f t="shared" si="78"/>
        <v>0</v>
      </c>
      <c r="S118" s="365">
        <f t="shared" si="78"/>
        <v>0</v>
      </c>
      <c r="T118" s="365">
        <f t="shared" si="78"/>
        <v>0</v>
      </c>
      <c r="U118" s="365">
        <f t="shared" si="78"/>
        <v>0</v>
      </c>
    </row>
    <row r="119" spans="3:21" hidden="1" outlineLevel="1">
      <c r="C119" s="357" t="s">
        <v>311</v>
      </c>
      <c r="E119" s="358"/>
      <c r="F119" s="358"/>
      <c r="G119" s="358"/>
      <c r="H119" s="358"/>
      <c r="I119" s="358"/>
      <c r="J119" s="358"/>
      <c r="K119" s="630">
        <v>3456.592327936236</v>
      </c>
      <c r="L119" s="359">
        <v>3997.2781132937107</v>
      </c>
      <c r="M119" s="359">
        <v>4597.1820690369404</v>
      </c>
      <c r="N119" s="359">
        <v>5198.4408119812324</v>
      </c>
      <c r="O119" s="359">
        <v>5767.6388513716593</v>
      </c>
      <c r="P119" s="359">
        <v>6397.3123320023551</v>
      </c>
      <c r="Q119" s="359">
        <v>7074.0471229059503</v>
      </c>
      <c r="R119" s="359">
        <v>7901.8416970083254</v>
      </c>
      <c r="S119" s="359">
        <v>8718.1189323952185</v>
      </c>
      <c r="T119" s="359">
        <v>8110.0147914391091</v>
      </c>
      <c r="U119" s="359">
        <v>7236.3992870890015</v>
      </c>
    </row>
    <row r="120" spans="3:21" hidden="1" outlineLevel="1">
      <c r="C120" s="360" t="s">
        <v>363</v>
      </c>
      <c r="E120" s="366"/>
      <c r="F120" s="366"/>
      <c r="G120" s="366"/>
      <c r="H120" s="366"/>
      <c r="I120" s="366">
        <f t="shared" ref="I120:M120" si="79">I119/I116</f>
        <v>0</v>
      </c>
      <c r="J120" s="366">
        <f t="shared" si="79"/>
        <v>0</v>
      </c>
      <c r="K120" s="633">
        <f t="shared" si="79"/>
        <v>57.609872132270603</v>
      </c>
      <c r="L120" s="367">
        <f t="shared" si="79"/>
        <v>3997.2781132937107</v>
      </c>
      <c r="M120" s="367">
        <f t="shared" si="79"/>
        <v>4597.1820690369404</v>
      </c>
      <c r="N120" s="367">
        <f>N119/N116</f>
        <v>5198.4408119812324</v>
      </c>
      <c r="O120" s="367">
        <f t="shared" ref="O120:U120" si="80">O119/O116</f>
        <v>5767.6388513716593</v>
      </c>
      <c r="P120" s="367">
        <f t="shared" si="80"/>
        <v>6397.3123320023551</v>
      </c>
      <c r="Q120" s="367">
        <f t="shared" si="80"/>
        <v>7074.0471229059503</v>
      </c>
      <c r="R120" s="367">
        <f t="shared" si="80"/>
        <v>7901.8416970083254</v>
      </c>
      <c r="S120" s="367">
        <f t="shared" si="80"/>
        <v>8718.1189323952185</v>
      </c>
      <c r="T120" s="367">
        <f t="shared" si="80"/>
        <v>8110.0147914391091</v>
      </c>
      <c r="U120" s="367">
        <f t="shared" si="80"/>
        <v>7236.3992870890015</v>
      </c>
    </row>
    <row r="121" spans="3:21" hidden="1" outlineLevel="1">
      <c r="C121" s="352" t="s">
        <v>500</v>
      </c>
      <c r="D121" s="352"/>
      <c r="E121" s="368"/>
      <c r="F121" s="368"/>
      <c r="G121" s="358"/>
      <c r="H121" s="368"/>
      <c r="I121" s="368">
        <f>44.479+44.479-I103</f>
        <v>71.957999999999998</v>
      </c>
      <c r="J121" s="368">
        <f>85.719-5.491-J103</f>
        <v>60.227999999999994</v>
      </c>
      <c r="K121" s="630">
        <f>K123*K116</f>
        <v>25.8</v>
      </c>
      <c r="L121" s="359">
        <v>0</v>
      </c>
      <c r="M121" s="359">
        <v>0</v>
      </c>
      <c r="N121" s="359">
        <v>0</v>
      </c>
      <c r="O121" s="359">
        <v>0</v>
      </c>
      <c r="P121" s="359">
        <v>0</v>
      </c>
      <c r="Q121" s="359">
        <v>0</v>
      </c>
      <c r="R121" s="359">
        <v>0</v>
      </c>
      <c r="S121" s="359">
        <v>0</v>
      </c>
      <c r="T121" s="359">
        <v>0</v>
      </c>
      <c r="U121" s="359">
        <v>0</v>
      </c>
    </row>
    <row r="122" spans="3:21" hidden="1" outlineLevel="1">
      <c r="C122" s="360" t="s">
        <v>498</v>
      </c>
      <c r="D122" s="352"/>
      <c r="E122" s="368"/>
      <c r="F122" s="368"/>
      <c r="G122" s="369"/>
      <c r="H122" s="369"/>
      <c r="I122" s="369"/>
      <c r="J122" s="369">
        <f t="shared" ref="J122:U122" si="81">J121/I121-1</f>
        <v>-0.16301175685816738</v>
      </c>
      <c r="K122" s="634">
        <f t="shared" si="81"/>
        <v>-0.57162781430563858</v>
      </c>
      <c r="L122" s="370">
        <f t="shared" si="81"/>
        <v>-1</v>
      </c>
      <c r="M122" s="370" t="e">
        <f t="shared" si="81"/>
        <v>#DIV/0!</v>
      </c>
      <c r="N122" s="370" t="e">
        <f t="shared" si="81"/>
        <v>#DIV/0!</v>
      </c>
      <c r="O122" s="370" t="e">
        <f t="shared" si="81"/>
        <v>#DIV/0!</v>
      </c>
      <c r="P122" s="370" t="e">
        <f t="shared" si="81"/>
        <v>#DIV/0!</v>
      </c>
      <c r="Q122" s="370" t="e">
        <f t="shared" si="81"/>
        <v>#DIV/0!</v>
      </c>
      <c r="R122" s="370" t="e">
        <f t="shared" si="81"/>
        <v>#DIV/0!</v>
      </c>
      <c r="S122" s="370" t="e">
        <f t="shared" si="81"/>
        <v>#DIV/0!</v>
      </c>
      <c r="T122" s="370" t="e">
        <f t="shared" si="81"/>
        <v>#DIV/0!</v>
      </c>
      <c r="U122" s="370" t="e">
        <f t="shared" si="81"/>
        <v>#DIV/0!</v>
      </c>
    </row>
    <row r="123" spans="3:21" hidden="1" outlineLevel="1">
      <c r="C123" s="360" t="s">
        <v>501</v>
      </c>
      <c r="D123" s="352"/>
      <c r="E123" s="368"/>
      <c r="F123" s="368"/>
      <c r="G123" s="369"/>
      <c r="H123" s="369"/>
      <c r="I123" s="369">
        <f t="shared" ref="I123:P123" si="82">I121/I116</f>
        <v>0.42029332570133576</v>
      </c>
      <c r="J123" s="369">
        <f t="shared" si="82"/>
        <v>0.4261967943954994</v>
      </c>
      <c r="K123" s="634">
        <v>0.43</v>
      </c>
      <c r="L123" s="370">
        <f t="shared" si="82"/>
        <v>0</v>
      </c>
      <c r="M123" s="370">
        <f t="shared" si="82"/>
        <v>0</v>
      </c>
      <c r="N123" s="370">
        <f t="shared" si="82"/>
        <v>0</v>
      </c>
      <c r="O123" s="370">
        <f t="shared" si="82"/>
        <v>0</v>
      </c>
      <c r="P123" s="370">
        <f t="shared" si="82"/>
        <v>0</v>
      </c>
      <c r="Q123" s="370">
        <f>Q121/Q116</f>
        <v>0</v>
      </c>
      <c r="R123" s="370">
        <f t="shared" ref="R123:U123" si="83">R121/R116</f>
        <v>0</v>
      </c>
      <c r="S123" s="370">
        <f t="shared" si="83"/>
        <v>0</v>
      </c>
      <c r="T123" s="370">
        <f t="shared" si="83"/>
        <v>0</v>
      </c>
      <c r="U123" s="370">
        <f t="shared" si="83"/>
        <v>0</v>
      </c>
    </row>
    <row r="124" spans="3:21" collapsed="1">
      <c r="C124" s="360" t="s">
        <v>502</v>
      </c>
      <c r="D124" s="371"/>
      <c r="E124" s="368"/>
      <c r="F124" s="368"/>
      <c r="G124" s="368"/>
      <c r="H124" s="368">
        <f>H128</f>
        <v>33.625675056000006</v>
      </c>
      <c r="I124" s="368">
        <f>2*2.4</f>
        <v>4.8</v>
      </c>
      <c r="J124" s="368">
        <f>2*8.4</f>
        <v>16.8</v>
      </c>
      <c r="K124" s="630">
        <f>K125*K121</f>
        <v>6.9660000000000011</v>
      </c>
      <c r="L124" s="359">
        <f t="shared" ref="L124:U124" si="84">L125*L121</f>
        <v>0</v>
      </c>
      <c r="M124" s="359">
        <f t="shared" si="84"/>
        <v>0</v>
      </c>
      <c r="N124" s="359">
        <f t="shared" si="84"/>
        <v>0</v>
      </c>
      <c r="O124" s="359">
        <f t="shared" si="84"/>
        <v>0</v>
      </c>
      <c r="P124" s="359">
        <f t="shared" si="84"/>
        <v>0</v>
      </c>
      <c r="Q124" s="359">
        <f t="shared" si="84"/>
        <v>0</v>
      </c>
      <c r="R124" s="359">
        <f t="shared" si="84"/>
        <v>0</v>
      </c>
      <c r="S124" s="359">
        <f t="shared" si="84"/>
        <v>0</v>
      </c>
      <c r="T124" s="359">
        <f t="shared" si="84"/>
        <v>0</v>
      </c>
      <c r="U124" s="359">
        <f t="shared" si="84"/>
        <v>0</v>
      </c>
    </row>
    <row r="125" spans="3:21">
      <c r="C125" s="372" t="s">
        <v>507</v>
      </c>
      <c r="D125" s="352"/>
      <c r="E125" s="368"/>
      <c r="F125" s="368"/>
      <c r="G125" s="373"/>
      <c r="H125" s="373"/>
      <c r="I125" s="373">
        <f t="shared" ref="I125:J125" si="85">I124/I121</f>
        <v>6.670557825398149E-2</v>
      </c>
      <c r="J125" s="373">
        <f t="shared" si="85"/>
        <v>0.27894002789400285</v>
      </c>
      <c r="K125" s="635">
        <v>0.27</v>
      </c>
      <c r="L125" s="374">
        <f>K125</f>
        <v>0.27</v>
      </c>
      <c r="M125" s="374">
        <f t="shared" ref="M125:U125" si="86">L125</f>
        <v>0.27</v>
      </c>
      <c r="N125" s="374">
        <f t="shared" si="86"/>
        <v>0.27</v>
      </c>
      <c r="O125" s="374">
        <f t="shared" si="86"/>
        <v>0.27</v>
      </c>
      <c r="P125" s="374">
        <f t="shared" si="86"/>
        <v>0.27</v>
      </c>
      <c r="Q125" s="374">
        <f t="shared" si="86"/>
        <v>0.27</v>
      </c>
      <c r="R125" s="374">
        <f t="shared" si="86"/>
        <v>0.27</v>
      </c>
      <c r="S125" s="374">
        <f t="shared" si="86"/>
        <v>0.27</v>
      </c>
      <c r="T125" s="374">
        <f t="shared" si="86"/>
        <v>0.27</v>
      </c>
      <c r="U125" s="374">
        <f t="shared" si="86"/>
        <v>0.27</v>
      </c>
    </row>
    <row r="126" spans="3:21">
      <c r="C126" s="375" t="s">
        <v>633</v>
      </c>
      <c r="D126" s="376"/>
      <c r="E126" s="377"/>
      <c r="F126" s="377"/>
      <c r="G126" s="368">
        <f>G124*$D$59</f>
        <v>0</v>
      </c>
      <c r="H126" s="368">
        <f t="shared" ref="H126:U126" si="87">H124*$D$59</f>
        <v>4.8454597755696014</v>
      </c>
      <c r="I126" s="368">
        <f t="shared" si="87"/>
        <v>0.69167999999999996</v>
      </c>
      <c r="J126" s="368">
        <f t="shared" si="87"/>
        <v>2.4208800000000004</v>
      </c>
      <c r="K126" s="675">
        <f t="shared" si="87"/>
        <v>1.0038006000000002</v>
      </c>
      <c r="L126" s="879">
        <f t="shared" si="87"/>
        <v>0</v>
      </c>
      <c r="M126" s="879">
        <f t="shared" si="87"/>
        <v>0</v>
      </c>
      <c r="N126" s="879">
        <f t="shared" si="87"/>
        <v>0</v>
      </c>
      <c r="O126" s="879">
        <f t="shared" si="87"/>
        <v>0</v>
      </c>
      <c r="P126" s="879">
        <f t="shared" si="87"/>
        <v>0</v>
      </c>
      <c r="Q126" s="879">
        <f t="shared" si="87"/>
        <v>0</v>
      </c>
      <c r="R126" s="879">
        <f t="shared" si="87"/>
        <v>0</v>
      </c>
      <c r="S126" s="879">
        <f t="shared" si="87"/>
        <v>0</v>
      </c>
      <c r="T126" s="879">
        <f t="shared" si="87"/>
        <v>0</v>
      </c>
      <c r="U126" s="879">
        <f t="shared" si="87"/>
        <v>0</v>
      </c>
    </row>
    <row r="127" spans="3:21" ht="13.5" thickBot="1">
      <c r="C127" s="375" t="s">
        <v>636</v>
      </c>
      <c r="D127" s="376"/>
      <c r="E127" s="377"/>
      <c r="F127" s="377"/>
      <c r="G127" s="464">
        <v>0</v>
      </c>
      <c r="H127" s="464">
        <v>0</v>
      </c>
      <c r="I127" s="464">
        <v>0</v>
      </c>
      <c r="J127" s="464">
        <v>0</v>
      </c>
      <c r="K127" s="637">
        <f>J127</f>
        <v>0</v>
      </c>
      <c r="L127" s="521">
        <f t="shared" ref="L127" si="88">K127</f>
        <v>0</v>
      </c>
      <c r="M127" s="374"/>
      <c r="N127" s="374"/>
      <c r="O127" s="374"/>
      <c r="P127" s="374"/>
      <c r="Q127" s="374"/>
      <c r="R127" s="374"/>
      <c r="S127" s="374"/>
      <c r="T127" s="374"/>
      <c r="U127" s="374"/>
    </row>
    <row r="128" spans="3:21" ht="13.5" thickBot="1">
      <c r="C128" s="378" t="s">
        <v>631</v>
      </c>
      <c r="D128" s="379">
        <v>1</v>
      </c>
      <c r="E128" s="380"/>
      <c r="F128" s="381"/>
      <c r="G128" s="382"/>
      <c r="H128" s="382">
        <v>33.625675056000006</v>
      </c>
      <c r="I128" s="382">
        <f>2.4</f>
        <v>2.4</v>
      </c>
      <c r="J128" s="382">
        <v>8.4</v>
      </c>
      <c r="K128" s="638">
        <f>K125*K121*$D$128</f>
        <v>6.9660000000000011</v>
      </c>
      <c r="L128" s="382">
        <f t="shared" ref="L128:Q128" si="89">L125*L121*$D$128</f>
        <v>0</v>
      </c>
      <c r="M128" s="382">
        <f t="shared" si="89"/>
        <v>0</v>
      </c>
      <c r="N128" s="382">
        <f t="shared" si="89"/>
        <v>0</v>
      </c>
      <c r="O128" s="382">
        <f t="shared" si="89"/>
        <v>0</v>
      </c>
      <c r="P128" s="382">
        <f t="shared" si="89"/>
        <v>0</v>
      </c>
      <c r="Q128" s="382">
        <f t="shared" si="89"/>
        <v>0</v>
      </c>
      <c r="R128" s="382">
        <f>R125*R121*$D$128</f>
        <v>0</v>
      </c>
      <c r="S128" s="382">
        <f t="shared" ref="S128" si="90">S125*S121*$D$128</f>
        <v>0</v>
      </c>
      <c r="T128" s="382">
        <f t="shared" ref="T128" si="91">T125*T121*$D$128</f>
        <v>0</v>
      </c>
      <c r="U128" s="382">
        <f t="shared" ref="U128" si="92">U125*U121*$D$128</f>
        <v>0</v>
      </c>
    </row>
    <row r="129" spans="2:21">
      <c r="C129" s="352" t="s">
        <v>652</v>
      </c>
      <c r="D129" s="352"/>
      <c r="E129" s="358"/>
      <c r="F129" s="358"/>
      <c r="G129" s="358"/>
      <c r="H129" s="358"/>
      <c r="I129" s="368">
        <f>69.439+102.894-0.045</f>
        <v>172.28800000000001</v>
      </c>
      <c r="J129" s="358">
        <f>113.758+107.084+7.741+77.022-0.691</f>
        <v>304.91399999999999</v>
      </c>
      <c r="K129" s="630">
        <f>113.758+77.022-0.691</f>
        <v>190.089</v>
      </c>
      <c r="L129" s="359">
        <f t="shared" ref="L129:U129" si="93">K129+(1-L125)*L121</f>
        <v>190.089</v>
      </c>
      <c r="M129" s="359">
        <f t="shared" si="93"/>
        <v>190.089</v>
      </c>
      <c r="N129" s="359">
        <f t="shared" si="93"/>
        <v>190.089</v>
      </c>
      <c r="O129" s="359">
        <f t="shared" si="93"/>
        <v>190.089</v>
      </c>
      <c r="P129" s="359">
        <f t="shared" si="93"/>
        <v>190.089</v>
      </c>
      <c r="Q129" s="359">
        <f t="shared" si="93"/>
        <v>190.089</v>
      </c>
      <c r="R129" s="359">
        <f t="shared" si="93"/>
        <v>190.089</v>
      </c>
      <c r="S129" s="359">
        <f t="shared" si="93"/>
        <v>190.089</v>
      </c>
      <c r="T129" s="359">
        <f t="shared" si="93"/>
        <v>190.089</v>
      </c>
      <c r="U129" s="359">
        <f t="shared" si="93"/>
        <v>190.089</v>
      </c>
    </row>
    <row r="130" spans="2:21">
      <c r="C130" s="383" t="s">
        <v>632</v>
      </c>
      <c r="D130" s="384"/>
      <c r="E130" s="381"/>
      <c r="F130" s="385"/>
      <c r="G130" s="385"/>
      <c r="H130" s="385"/>
      <c r="I130" s="385">
        <v>55</v>
      </c>
      <c r="J130" s="385">
        <f>J121*50%</f>
        <v>30.113999999999997</v>
      </c>
      <c r="K130" s="638">
        <f>(K129-J129)*$D$128</f>
        <v>-114.82499999999999</v>
      </c>
      <c r="L130" s="382">
        <f t="shared" ref="L130:O130" si="94">(L129-K129)*$D$128</f>
        <v>0</v>
      </c>
      <c r="M130" s="382">
        <f t="shared" si="94"/>
        <v>0</v>
      </c>
      <c r="N130" s="382">
        <f t="shared" si="94"/>
        <v>0</v>
      </c>
      <c r="O130" s="382">
        <f t="shared" si="94"/>
        <v>0</v>
      </c>
      <c r="P130" s="382">
        <f t="shared" ref="P130" si="95">(P129-O129)*$D$128</f>
        <v>0</v>
      </c>
      <c r="Q130" s="382">
        <f t="shared" ref="Q130" si="96">(Q129-P129)*$D$128</f>
        <v>0</v>
      </c>
      <c r="R130" s="382">
        <f t="shared" ref="R130:S130" si="97">(R129-Q129)*$D$128</f>
        <v>0</v>
      </c>
      <c r="S130" s="382">
        <f t="shared" si="97"/>
        <v>0</v>
      </c>
      <c r="T130" s="382">
        <f t="shared" ref="T130" si="98">(T129-S129)*$D$128</f>
        <v>0</v>
      </c>
      <c r="U130" s="382">
        <f t="shared" ref="U130" si="99">(U129-T129)*$D$128</f>
        <v>0</v>
      </c>
    </row>
    <row r="131" spans="2:21">
      <c r="C131" s="352"/>
      <c r="D131" s="352"/>
      <c r="E131" s="368"/>
      <c r="F131" s="368"/>
      <c r="G131" s="368"/>
      <c r="H131" s="368"/>
      <c r="I131" s="368"/>
      <c r="J131" s="358"/>
      <c r="K131" s="640"/>
      <c r="L131" s="386"/>
      <c r="M131" s="386"/>
      <c r="N131" s="386"/>
      <c r="O131" s="386"/>
      <c r="P131" s="386"/>
      <c r="Q131" s="386"/>
      <c r="R131" s="386"/>
      <c r="S131" s="386"/>
      <c r="T131" s="386"/>
      <c r="U131" s="386"/>
    </row>
    <row r="132" spans="2:21">
      <c r="B132" s="371"/>
      <c r="C132" s="352"/>
      <c r="D132" s="352"/>
      <c r="E132" s="368"/>
      <c r="F132" s="368"/>
      <c r="G132" s="368"/>
      <c r="H132" s="368"/>
      <c r="I132" s="368"/>
      <c r="J132" s="368"/>
      <c r="K132" s="640"/>
      <c r="L132" s="386"/>
      <c r="M132" s="386"/>
      <c r="N132" s="386"/>
      <c r="O132" s="386"/>
      <c r="P132" s="386"/>
      <c r="Q132" s="386"/>
      <c r="R132" s="386"/>
      <c r="S132" s="386"/>
      <c r="T132" s="386"/>
      <c r="U132" s="386"/>
    </row>
    <row r="133" spans="2:21" s="392" customFormat="1">
      <c r="B133" s="503"/>
      <c r="C133" s="522" t="s">
        <v>616</v>
      </c>
      <c r="D133" s="523"/>
      <c r="E133" s="523"/>
      <c r="F133" s="860">
        <f>(F116+F100+F84+F68+F49)*1000</f>
        <v>10245913.999999998</v>
      </c>
      <c r="G133" s="860">
        <f t="shared" ref="G133:U133" si="100">(G116+G100+G84+G68+G49)</f>
        <v>10890.321999999996</v>
      </c>
      <c r="H133" s="860">
        <f t="shared" si="100"/>
        <v>14794.420000000002</v>
      </c>
      <c r="I133" s="860">
        <f t="shared" si="100"/>
        <v>18316.392846930001</v>
      </c>
      <c r="J133" s="860">
        <f t="shared" si="100"/>
        <v>22303.886797236024</v>
      </c>
      <c r="K133" s="861">
        <f t="shared" si="100"/>
        <v>24783.630867404332</v>
      </c>
      <c r="L133" s="860">
        <f t="shared" si="100"/>
        <v>25687.485460472271</v>
      </c>
      <c r="M133" s="860">
        <f t="shared" si="100"/>
        <v>27511.382905327115</v>
      </c>
      <c r="N133" s="860">
        <f t="shared" si="100"/>
        <v>29196.750789381294</v>
      </c>
      <c r="O133" s="860">
        <f t="shared" si="100"/>
        <v>31261.216867095274</v>
      </c>
      <c r="P133" s="860">
        <f t="shared" si="100"/>
        <v>33604.541706692049</v>
      </c>
      <c r="Q133" s="860">
        <f t="shared" si="100"/>
        <v>34983.389104310831</v>
      </c>
      <c r="R133" s="860">
        <f t="shared" si="100"/>
        <v>37143.868745326428</v>
      </c>
      <c r="S133" s="860">
        <f t="shared" si="100"/>
        <v>39102.328766471925</v>
      </c>
      <c r="T133" s="860">
        <f t="shared" si="100"/>
        <v>41600.592870753986</v>
      </c>
      <c r="U133" s="862">
        <f t="shared" si="100"/>
        <v>44285.975333663155</v>
      </c>
    </row>
    <row r="134" spans="2:21" s="392" customFormat="1">
      <c r="B134" s="503"/>
      <c r="C134" s="524" t="s">
        <v>629</v>
      </c>
      <c r="D134" s="486"/>
      <c r="E134" s="486"/>
      <c r="F134" s="609">
        <f t="shared" ref="F134:U134" si="101">F121+F103+F87+F71+F52</f>
        <v>0</v>
      </c>
      <c r="G134" s="609">
        <f t="shared" si="101"/>
        <v>2734.116078</v>
      </c>
      <c r="H134" s="609">
        <f t="shared" si="101"/>
        <v>2699.4081930000002</v>
      </c>
      <c r="I134" s="609">
        <f t="shared" si="101"/>
        <v>3145.3260719999998</v>
      </c>
      <c r="J134" s="609">
        <f t="shared" si="101"/>
        <v>3632.1290647641499</v>
      </c>
      <c r="K134" s="675">
        <f t="shared" si="101"/>
        <v>4290.4804300756759</v>
      </c>
      <c r="L134" s="609">
        <f t="shared" si="101"/>
        <v>4502.9083872606398</v>
      </c>
      <c r="M134" s="609">
        <f t="shared" si="101"/>
        <v>4906.8684901819606</v>
      </c>
      <c r="N134" s="609">
        <f t="shared" si="101"/>
        <v>5632.136738886792</v>
      </c>
      <c r="O134" s="609">
        <f t="shared" si="101"/>
        <v>6312.976415034731</v>
      </c>
      <c r="P134" s="609">
        <f t="shared" si="101"/>
        <v>7156.8946284940339</v>
      </c>
      <c r="Q134" s="609">
        <f t="shared" si="101"/>
        <v>7425.8417694219133</v>
      </c>
      <c r="R134" s="609">
        <f t="shared" si="101"/>
        <v>8116.1530197763632</v>
      </c>
      <c r="S134" s="609">
        <f t="shared" si="101"/>
        <v>8984.6576885366048</v>
      </c>
      <c r="T134" s="609">
        <f t="shared" si="101"/>
        <v>9651.2961994128782</v>
      </c>
      <c r="U134" s="863">
        <f t="shared" si="101"/>
        <v>10833.075496922231</v>
      </c>
    </row>
    <row r="135" spans="2:21" s="519" customFormat="1">
      <c r="B135" s="518"/>
      <c r="C135" s="525" t="s">
        <v>498</v>
      </c>
      <c r="E135" s="520"/>
      <c r="F135" s="609"/>
      <c r="G135" s="864"/>
      <c r="H135" s="864"/>
      <c r="I135" s="864"/>
      <c r="J135" s="864">
        <f t="shared" ref="J135" si="102">J134/I134-1</f>
        <v>0.15477027869947024</v>
      </c>
      <c r="K135" s="634">
        <f t="shared" ref="K135" si="103">K134/J134-1</f>
        <v>0.18125770135711727</v>
      </c>
      <c r="L135" s="864">
        <f t="shared" ref="L135" si="104">L134/K134-1</f>
        <v>4.95114616293022E-2</v>
      </c>
      <c r="M135" s="864">
        <f t="shared" ref="M135" si="105">M134/L134-1</f>
        <v>8.9710930842870518E-2</v>
      </c>
      <c r="N135" s="864">
        <f t="shared" ref="N135" si="106">N134/M134-1</f>
        <v>0.1478067427639449</v>
      </c>
      <c r="O135" s="864">
        <f t="shared" ref="O135" si="107">O134/N134-1</f>
        <v>0.12088479163638155</v>
      </c>
      <c r="P135" s="864">
        <f t="shared" ref="P135" si="108">P134/O134-1</f>
        <v>0.13367992496367664</v>
      </c>
      <c r="Q135" s="864">
        <f t="shared" ref="Q135" si="109">Q134/P134-1</f>
        <v>3.7578748170625564E-2</v>
      </c>
      <c r="R135" s="864">
        <f t="shared" ref="R135" si="110">R134/Q134-1</f>
        <v>9.2960673252830306E-2</v>
      </c>
      <c r="S135" s="864">
        <f t="shared" ref="S135" si="111">S134/R134-1</f>
        <v>0.10700940046891483</v>
      </c>
      <c r="T135" s="864">
        <f t="shared" ref="T135" si="112">T134/S134-1</f>
        <v>7.4197430106528017E-2</v>
      </c>
      <c r="U135" s="865">
        <f t="shared" ref="U135" si="113">U134/T134-1</f>
        <v>0.12244772858398489</v>
      </c>
    </row>
    <row r="136" spans="2:21">
      <c r="B136" s="371"/>
      <c r="C136" s="526" t="s">
        <v>502</v>
      </c>
      <c r="D136" s="392"/>
      <c r="E136" s="486"/>
      <c r="F136" s="609">
        <f t="shared" ref="F136:U136" si="114">F124+F106+F90+F74+F55</f>
        <v>0</v>
      </c>
      <c r="G136" s="609">
        <f t="shared" si="114"/>
        <v>1588.3843099999999</v>
      </c>
      <c r="H136" s="609">
        <f t="shared" si="114"/>
        <v>1572.4593080560001</v>
      </c>
      <c r="I136" s="609">
        <f t="shared" si="114"/>
        <v>2101.8241950000001</v>
      </c>
      <c r="J136" s="609">
        <f t="shared" si="114"/>
        <v>2186.34665</v>
      </c>
      <c r="K136" s="675">
        <f t="shared" si="114"/>
        <v>2593.854887314747</v>
      </c>
      <c r="L136" s="609">
        <f t="shared" si="114"/>
        <v>2835.9420083782006</v>
      </c>
      <c r="M136" s="609">
        <f t="shared" si="114"/>
        <v>3175.0211501772728</v>
      </c>
      <c r="N136" s="609">
        <f t="shared" si="114"/>
        <v>3709.6071521208078</v>
      </c>
      <c r="O136" s="609">
        <f t="shared" si="114"/>
        <v>4190.2639704934436</v>
      </c>
      <c r="P136" s="609">
        <f t="shared" si="114"/>
        <v>4765.7719043736624</v>
      </c>
      <c r="Q136" s="609">
        <f t="shared" si="114"/>
        <v>5034.1895452179833</v>
      </c>
      <c r="R136" s="609">
        <f t="shared" si="114"/>
        <v>5573.2542186905866</v>
      </c>
      <c r="S136" s="609">
        <f t="shared" si="114"/>
        <v>6193.9941272266969</v>
      </c>
      <c r="T136" s="609">
        <f t="shared" si="114"/>
        <v>6613.8816283778833</v>
      </c>
      <c r="U136" s="863">
        <f t="shared" si="114"/>
        <v>7467.4220049926789</v>
      </c>
    </row>
    <row r="137" spans="2:21" s="468" customFormat="1">
      <c r="B137" s="517"/>
      <c r="C137" s="525" t="s">
        <v>498</v>
      </c>
      <c r="D137" s="519"/>
      <c r="E137" s="520"/>
      <c r="F137" s="609"/>
      <c r="G137" s="864"/>
      <c r="H137" s="864"/>
      <c r="I137" s="864"/>
      <c r="J137" s="864">
        <f t="shared" ref="J137" si="115">J136/I136-1</f>
        <v>4.0213855754952732E-2</v>
      </c>
      <c r="K137" s="634">
        <f t="shared" ref="K137" si="116">K136/J136-1</f>
        <v>0.18638775205878133</v>
      </c>
      <c r="L137" s="864">
        <f t="shared" ref="L137" si="117">L136/K136-1</f>
        <v>9.3331019498192225E-2</v>
      </c>
      <c r="M137" s="864">
        <f t="shared" ref="M137" si="118">M136/L136-1</f>
        <v>0.11956490675667331</v>
      </c>
      <c r="N137" s="864">
        <f t="shared" ref="N137" si="119">N136/M136-1</f>
        <v>0.16837242231085203</v>
      </c>
      <c r="O137" s="864">
        <f t="shared" ref="O137" si="120">O136/N136-1</f>
        <v>0.12957081401405035</v>
      </c>
      <c r="P137" s="864">
        <f t="shared" ref="P137" si="121">P136/O136-1</f>
        <v>0.13734407615672173</v>
      </c>
      <c r="Q137" s="864">
        <f t="shared" ref="Q137" si="122">Q136/P136-1</f>
        <v>5.6321965513705718E-2</v>
      </c>
      <c r="R137" s="864">
        <f t="shared" ref="R137" si="123">R136/Q136-1</f>
        <v>0.10708072642689137</v>
      </c>
      <c r="S137" s="864">
        <f t="shared" ref="S137" si="124">S136/R136-1</f>
        <v>0.11137835888669567</v>
      </c>
      <c r="T137" s="864">
        <f t="shared" ref="T137" si="125">T136/S136-1</f>
        <v>6.7789457420617039E-2</v>
      </c>
      <c r="U137" s="865">
        <f t="shared" ref="U137" si="126">U136/T136-1</f>
        <v>0.12905286555969631</v>
      </c>
    </row>
    <row r="138" spans="2:21">
      <c r="B138" s="371"/>
      <c r="C138" s="526" t="s">
        <v>630</v>
      </c>
      <c r="D138" s="392"/>
      <c r="E138" s="486"/>
      <c r="F138" s="609">
        <f t="shared" ref="F138:U138" si="127">F124+F106+F92+F76+F57</f>
        <v>0</v>
      </c>
      <c r="G138" s="609">
        <f t="shared" si="127"/>
        <v>241.03481146000001</v>
      </c>
      <c r="H138" s="609">
        <f t="shared" si="127"/>
        <v>266.72713578920002</v>
      </c>
      <c r="I138" s="609">
        <f t="shared" si="127"/>
        <v>335.76539337969996</v>
      </c>
      <c r="J138" s="609">
        <f t="shared" si="127"/>
        <v>361.53705845000002</v>
      </c>
      <c r="K138" s="675">
        <f t="shared" si="127"/>
        <v>416.37197291570811</v>
      </c>
      <c r="L138" s="609">
        <f t="shared" si="127"/>
        <v>453.64357022476293</v>
      </c>
      <c r="M138" s="609">
        <f t="shared" si="127"/>
        <v>510.85721247589282</v>
      </c>
      <c r="N138" s="609">
        <f t="shared" si="127"/>
        <v>598.01450957172358</v>
      </c>
      <c r="O138" s="609">
        <f t="shared" si="127"/>
        <v>675.6561866373147</v>
      </c>
      <c r="P138" s="609">
        <f t="shared" si="127"/>
        <v>767.71054098612274</v>
      </c>
      <c r="Q138" s="609">
        <f t="shared" si="127"/>
        <v>814.42295499829947</v>
      </c>
      <c r="R138" s="609">
        <f t="shared" si="127"/>
        <v>903.53783035759147</v>
      </c>
      <c r="S138" s="609">
        <f t="shared" si="127"/>
        <v>1004.0187820027222</v>
      </c>
      <c r="T138" s="609">
        <f t="shared" si="127"/>
        <v>1069.9191285445127</v>
      </c>
      <c r="U138" s="863">
        <f t="shared" si="127"/>
        <v>1208.2529258888314</v>
      </c>
    </row>
    <row r="139" spans="2:21" s="468" customFormat="1">
      <c r="B139" s="517"/>
      <c r="C139" s="525" t="s">
        <v>498</v>
      </c>
      <c r="D139" s="519"/>
      <c r="E139" s="520"/>
      <c r="F139" s="609"/>
      <c r="G139" s="864"/>
      <c r="H139" s="864">
        <f t="shared" ref="H139" si="128">H138/G138-1</f>
        <v>0.10659175815134758</v>
      </c>
      <c r="I139" s="864">
        <f t="shared" ref="I139" si="129">I138/H138-1</f>
        <v>0.25883477279590439</v>
      </c>
      <c r="J139" s="864">
        <f t="shared" ref="J139" si="130">J138/I138-1</f>
        <v>7.6754977071613162E-2</v>
      </c>
      <c r="K139" s="634">
        <f t="shared" ref="K139" si="131">K138/J138-1</f>
        <v>0.15167162863137484</v>
      </c>
      <c r="L139" s="864">
        <f t="shared" ref="L139" si="132">L138/K138-1</f>
        <v>8.9515144470591501E-2</v>
      </c>
      <c r="M139" s="864">
        <f t="shared" ref="M139" si="133">M138/L138-1</f>
        <v>0.12612025388739179</v>
      </c>
      <c r="N139" s="864">
        <f t="shared" ref="N139" si="134">N138/M138-1</f>
        <v>0.17060989835774065</v>
      </c>
      <c r="O139" s="864">
        <f t="shared" ref="O139" si="135">O138/N138-1</f>
        <v>0.12983243018835</v>
      </c>
      <c r="P139" s="864">
        <f t="shared" ref="P139" si="136">P138/O138-1</f>
        <v>0.13624437423855307</v>
      </c>
      <c r="Q139" s="864">
        <f t="shared" ref="Q139" si="137">Q138/P138-1</f>
        <v>6.0846388734189683E-2</v>
      </c>
      <c r="R139" s="864">
        <f t="shared" ref="R139" si="138">R138/Q138-1</f>
        <v>0.10942087868763228</v>
      </c>
      <c r="S139" s="864">
        <f t="shared" ref="S139" si="139">S138/R138-1</f>
        <v>0.11120835040782251</v>
      </c>
      <c r="T139" s="864">
        <f t="shared" ref="T139" si="140">T138/S138-1</f>
        <v>6.5636567485658714E-2</v>
      </c>
      <c r="U139" s="865">
        <f t="shared" ref="U139" si="141">U138/T138-1</f>
        <v>0.12929369487253117</v>
      </c>
    </row>
    <row r="140" spans="2:21">
      <c r="B140" s="371"/>
      <c r="C140" s="527" t="s">
        <v>635</v>
      </c>
      <c r="D140" s="528"/>
      <c r="E140" s="529"/>
      <c r="F140" s="530">
        <v>0</v>
      </c>
      <c r="G140" s="530">
        <v>180</v>
      </c>
      <c r="H140" s="530">
        <v>190.74199999999999</v>
      </c>
      <c r="I140" s="530">
        <v>227.108</v>
      </c>
      <c r="J140" s="530">
        <v>271.27499999999998</v>
      </c>
      <c r="K140" s="643">
        <f t="shared" ref="K140:U140" si="142">K128+K110+K94+K78+K59</f>
        <v>258.60652853113783</v>
      </c>
      <c r="L140" s="530">
        <f t="shared" si="142"/>
        <v>369.86879376223237</v>
      </c>
      <c r="M140" s="530">
        <f t="shared" si="142"/>
        <v>419.741424784277</v>
      </c>
      <c r="N140" s="530">
        <f t="shared" si="142"/>
        <v>485.72466764448103</v>
      </c>
      <c r="O140" s="530">
        <f t="shared" si="142"/>
        <v>559.79462113968941</v>
      </c>
      <c r="P140" s="530">
        <f t="shared" si="142"/>
        <v>634.03045488802684</v>
      </c>
      <c r="Q140" s="530">
        <f t="shared" si="142"/>
        <v>711.3890186163012</v>
      </c>
      <c r="R140" s="530">
        <f t="shared" si="142"/>
        <v>776.93777535437266</v>
      </c>
      <c r="S140" s="530">
        <f t="shared" si="142"/>
        <v>861.81521611441747</v>
      </c>
      <c r="T140" s="530">
        <f t="shared" si="142"/>
        <v>930.22371802208522</v>
      </c>
      <c r="U140" s="531">
        <f t="shared" si="142"/>
        <v>1029.2275304141806</v>
      </c>
    </row>
    <row r="141" spans="2:21">
      <c r="B141" s="371"/>
      <c r="C141" s="525" t="s">
        <v>498</v>
      </c>
      <c r="D141" s="519"/>
      <c r="E141" s="520"/>
      <c r="F141" s="609"/>
      <c r="G141" s="864"/>
      <c r="H141" s="864">
        <f t="shared" ref="H141" si="143">H140/G140-1</f>
        <v>5.9677777777777719E-2</v>
      </c>
      <c r="I141" s="864">
        <f t="shared" ref="I141" si="144">I140/H140-1</f>
        <v>0.1906554403330154</v>
      </c>
      <c r="J141" s="864">
        <f t="shared" ref="J141" si="145">J140/I140-1</f>
        <v>0.19447575602796885</v>
      </c>
      <c r="K141" s="634">
        <f t="shared" ref="K141" si="146">K140/J140-1</f>
        <v>-4.6699738158186954E-2</v>
      </c>
      <c r="L141" s="864">
        <f t="shared" ref="L141" si="147">L140/K140-1</f>
        <v>0.43023765046866513</v>
      </c>
      <c r="M141" s="864">
        <f t="shared" ref="M141" si="148">M140/L140-1</f>
        <v>0.13483871000510761</v>
      </c>
      <c r="N141" s="864">
        <f t="shared" ref="N141" si="149">N140/M140-1</f>
        <v>0.15719974004022985</v>
      </c>
      <c r="O141" s="864">
        <f t="shared" ref="O141" si="150">O140/N140-1</f>
        <v>0.1524937035922227</v>
      </c>
      <c r="P141" s="864">
        <f t="shared" ref="P141" si="151">P140/O140-1</f>
        <v>0.13261262424637144</v>
      </c>
      <c r="Q141" s="864">
        <f t="shared" ref="Q141" si="152">Q140/P140-1</f>
        <v>0.12201080110881479</v>
      </c>
      <c r="R141" s="864">
        <f t="shared" ref="R141" si="153">R140/Q140-1</f>
        <v>9.2141929412360213E-2</v>
      </c>
      <c r="S141" s="864">
        <f t="shared" ref="S141" si="154">S140/R140-1</f>
        <v>0.10924612427466407</v>
      </c>
      <c r="T141" s="864">
        <f t="shared" ref="T141" si="155">T140/S140-1</f>
        <v>7.9377226844629778E-2</v>
      </c>
      <c r="U141" s="865">
        <f t="shared" ref="U141" si="156">U140/T140-1</f>
        <v>0.10643010974027312</v>
      </c>
    </row>
    <row r="142" spans="2:21">
      <c r="B142" s="371"/>
      <c r="C142" s="532" t="s">
        <v>670</v>
      </c>
      <c r="D142" s="533"/>
      <c r="E142" s="534"/>
      <c r="F142" s="487"/>
      <c r="G142" s="487"/>
      <c r="H142" s="866">
        <f t="shared" ref="H142:U142" si="157">H130+H112+H96+H80+H61</f>
        <v>692.94417795000004</v>
      </c>
      <c r="I142" s="866">
        <f t="shared" si="157"/>
        <v>270.86058439999988</v>
      </c>
      <c r="J142" s="866">
        <f t="shared" si="157"/>
        <v>440.89884864814002</v>
      </c>
      <c r="K142" s="867">
        <f t="shared" si="157"/>
        <v>449.14806222640323</v>
      </c>
      <c r="L142" s="866">
        <f t="shared" si="157"/>
        <v>555.83506161320656</v>
      </c>
      <c r="M142" s="866">
        <f t="shared" si="157"/>
        <v>623.93844305150424</v>
      </c>
      <c r="N142" s="866">
        <f t="shared" si="157"/>
        <v>728.57959785920548</v>
      </c>
      <c r="O142" s="866">
        <f t="shared" si="157"/>
        <v>822.38439955425588</v>
      </c>
      <c r="P142" s="866">
        <f t="shared" si="157"/>
        <v>933.8103760781454</v>
      </c>
      <c r="Q142" s="866">
        <f t="shared" si="157"/>
        <v>989.25445357778563</v>
      </c>
      <c r="R142" s="866">
        <f t="shared" si="157"/>
        <v>1096.0223068801697</v>
      </c>
      <c r="S142" s="866">
        <f t="shared" si="157"/>
        <v>1217.3463803508876</v>
      </c>
      <c r="T142" s="866">
        <f t="shared" si="157"/>
        <v>1298.5675179743182</v>
      </c>
      <c r="U142" s="868">
        <f t="shared" si="157"/>
        <v>1465.2210798934811</v>
      </c>
    </row>
    <row r="143" spans="2:21">
      <c r="B143" s="371"/>
      <c r="C143" s="352"/>
      <c r="D143" s="352"/>
      <c r="E143" s="368"/>
      <c r="F143" s="368"/>
      <c r="G143" s="368"/>
      <c r="H143" s="368"/>
      <c r="I143" s="368"/>
      <c r="J143" s="368"/>
      <c r="K143" s="636"/>
      <c r="L143" s="368"/>
      <c r="M143" s="368"/>
      <c r="N143" s="368"/>
      <c r="O143" s="368"/>
      <c r="P143" s="368"/>
      <c r="Q143" s="368"/>
      <c r="R143" s="368"/>
      <c r="S143" s="368"/>
      <c r="T143" s="368"/>
      <c r="U143" s="368"/>
    </row>
    <row r="144" spans="2:21">
      <c r="B144" s="371"/>
      <c r="C144" s="352"/>
      <c r="D144" s="352"/>
      <c r="E144" s="368"/>
      <c r="F144" s="368"/>
      <c r="G144" s="368"/>
      <c r="H144" s="368"/>
      <c r="I144" s="368"/>
      <c r="J144" s="368"/>
      <c r="K144" s="640"/>
      <c r="L144" s="386"/>
      <c r="M144" s="386"/>
      <c r="N144" s="386"/>
      <c r="O144" s="386"/>
      <c r="P144" s="386"/>
      <c r="Q144" s="386"/>
      <c r="R144" s="386"/>
      <c r="S144" s="386"/>
      <c r="T144" s="386"/>
      <c r="U144" s="386"/>
    </row>
    <row r="145" spans="3:21">
      <c r="C145" s="397" t="s">
        <v>509</v>
      </c>
      <c r="D145" s="350"/>
      <c r="E145" s="351">
        <v>2006</v>
      </c>
      <c r="F145" s="351">
        <v>2007</v>
      </c>
      <c r="G145" s="351">
        <v>2008</v>
      </c>
      <c r="H145" s="351">
        <v>2009</v>
      </c>
      <c r="I145" s="398">
        <v>2010</v>
      </c>
      <c r="J145" s="398">
        <v>2011</v>
      </c>
      <c r="K145" s="644">
        <v>2012</v>
      </c>
      <c r="L145" s="398">
        <v>2013</v>
      </c>
      <c r="M145" s="398">
        <v>2014</v>
      </c>
      <c r="N145" s="398">
        <v>2015</v>
      </c>
      <c r="O145" s="398">
        <v>2016</v>
      </c>
      <c r="P145" s="398">
        <v>2017</v>
      </c>
      <c r="Q145" s="398">
        <v>2018</v>
      </c>
      <c r="R145" s="398">
        <v>2019</v>
      </c>
      <c r="S145" s="398">
        <v>2020</v>
      </c>
      <c r="T145" s="398">
        <v>2021</v>
      </c>
      <c r="U145" s="398">
        <v>2022</v>
      </c>
    </row>
    <row r="146" spans="3:21">
      <c r="C146" s="399" t="s">
        <v>603</v>
      </c>
      <c r="D146" s="399"/>
      <c r="E146" s="352"/>
      <c r="F146" s="400">
        <v>8.8930000000000007</v>
      </c>
      <c r="G146" s="400">
        <v>8.9039999999999999</v>
      </c>
      <c r="H146" s="400">
        <v>10.127000000000001</v>
      </c>
      <c r="I146" s="400">
        <v>16.373999999999999</v>
      </c>
      <c r="J146" s="400">
        <v>19.155999999999999</v>
      </c>
      <c r="K146" s="869">
        <f>K148*K133</f>
        <v>24.783630867404334</v>
      </c>
      <c r="L146" s="826">
        <f t="shared" ref="L146" si="158">L148*L133</f>
        <v>25.687485460472271</v>
      </c>
      <c r="M146" s="826">
        <f t="shared" ref="M146:R146" si="159">M148*M133</f>
        <v>27.511382905327114</v>
      </c>
      <c r="N146" s="826">
        <f t="shared" si="159"/>
        <v>29.196750789381294</v>
      </c>
      <c r="O146" s="826">
        <f t="shared" si="159"/>
        <v>31.261216867095275</v>
      </c>
      <c r="P146" s="826">
        <f t="shared" si="159"/>
        <v>33.604541706692046</v>
      </c>
      <c r="Q146" s="826">
        <f t="shared" si="159"/>
        <v>34.983389104310831</v>
      </c>
      <c r="R146" s="826">
        <f t="shared" si="159"/>
        <v>37.143868745326429</v>
      </c>
      <c r="S146" s="826">
        <f t="shared" ref="S146:U146" si="160">S148*S133</f>
        <v>39.102328766471928</v>
      </c>
      <c r="T146" s="826">
        <f t="shared" si="160"/>
        <v>41.600592870753985</v>
      </c>
      <c r="U146" s="826">
        <f t="shared" si="160"/>
        <v>44.285975333663153</v>
      </c>
    </row>
    <row r="147" spans="3:21" hidden="1" outlineLevel="1">
      <c r="C147" s="403" t="s">
        <v>498</v>
      </c>
      <c r="D147" s="403"/>
      <c r="E147" s="352"/>
      <c r="F147" s="404"/>
      <c r="G147" s="405">
        <f t="shared" ref="G147" si="161">G146/F146-1</f>
        <v>1.2369279208366279E-3</v>
      </c>
      <c r="H147" s="405">
        <f t="shared" ref="H147" si="162">H146/G146-1</f>
        <v>0.13735399820305494</v>
      </c>
      <c r="I147" s="405">
        <f t="shared" ref="I147" si="163">I146/H146-1</f>
        <v>0.61686580428557303</v>
      </c>
      <c r="J147" s="405">
        <f>J146/I146-1</f>
        <v>0.16990350555759126</v>
      </c>
      <c r="K147" s="870">
        <f>K146/J146-1</f>
        <v>0.29377901792672456</v>
      </c>
      <c r="L147" s="871">
        <f t="shared" ref="L147" si="164">L146/K146-1</f>
        <v>3.6469821468197106E-2</v>
      </c>
      <c r="M147" s="871">
        <f t="shared" ref="M147" si="165">M146/L146-1</f>
        <v>7.1003347044670706E-2</v>
      </c>
      <c r="N147" s="871">
        <f t="shared" ref="N147" si="166">N146/M146-1</f>
        <v>6.1260747591421083E-2</v>
      </c>
      <c r="O147" s="871">
        <f t="shared" ref="O147" si="167">O146/N146-1</f>
        <v>7.0708761142860288E-2</v>
      </c>
      <c r="P147" s="871">
        <f t="shared" ref="P147" si="168">P146/O146-1</f>
        <v>7.4959488927102358E-2</v>
      </c>
      <c r="Q147" s="871">
        <f t="shared" ref="Q147" si="169">Q146/P146-1</f>
        <v>4.1031578697120041E-2</v>
      </c>
      <c r="R147" s="871">
        <f t="shared" ref="R147" si="170">R146/Q146-1</f>
        <v>6.1757299573624636E-2</v>
      </c>
      <c r="S147" s="871">
        <f t="shared" ref="S147" si="171">S146/R146-1</f>
        <v>5.2726333774586021E-2</v>
      </c>
      <c r="T147" s="871">
        <f t="shared" ref="T147" si="172">T146/S146-1</f>
        <v>6.3890417350901618E-2</v>
      </c>
      <c r="U147" s="871">
        <f t="shared" ref="U147" si="173">U146/T146-1</f>
        <v>6.4551543081421858E-2</v>
      </c>
    </row>
    <row r="148" spans="3:21" hidden="1" outlineLevel="1">
      <c r="C148" s="403" t="s">
        <v>617</v>
      </c>
      <c r="D148" s="403"/>
      <c r="E148" s="352"/>
      <c r="F148" s="480">
        <f>F146/F133</f>
        <v>8.6795575289817997E-7</v>
      </c>
      <c r="G148" s="480">
        <f t="shared" ref="G148:J148" si="174">G146/G133</f>
        <v>8.1760667866386341E-4</v>
      </c>
      <c r="H148" s="480">
        <f t="shared" si="174"/>
        <v>6.8451483735083895E-4</v>
      </c>
      <c r="I148" s="480">
        <f t="shared" si="174"/>
        <v>8.9395330930262481E-4</v>
      </c>
      <c r="J148" s="480">
        <f t="shared" si="174"/>
        <v>8.5886375653475234E-4</v>
      </c>
      <c r="K148" s="645">
        <v>1E-3</v>
      </c>
      <c r="L148" s="481">
        <f>K148</f>
        <v>1E-3</v>
      </c>
      <c r="M148" s="481">
        <f t="shared" ref="M148:Q148" si="175">L148</f>
        <v>1E-3</v>
      </c>
      <c r="N148" s="481">
        <f t="shared" si="175"/>
        <v>1E-3</v>
      </c>
      <c r="O148" s="481">
        <f t="shared" si="175"/>
        <v>1E-3</v>
      </c>
      <c r="P148" s="481">
        <f t="shared" si="175"/>
        <v>1E-3</v>
      </c>
      <c r="Q148" s="481">
        <f t="shared" si="175"/>
        <v>1E-3</v>
      </c>
      <c r="R148" s="481">
        <f>Q148</f>
        <v>1E-3</v>
      </c>
      <c r="S148" s="481">
        <f t="shared" ref="S148:U148" si="176">R148</f>
        <v>1E-3</v>
      </c>
      <c r="T148" s="481">
        <f t="shared" si="176"/>
        <v>1E-3</v>
      </c>
      <c r="U148" s="481">
        <f t="shared" si="176"/>
        <v>1E-3</v>
      </c>
    </row>
    <row r="149" spans="3:21" collapsed="1">
      <c r="C149" s="399" t="s">
        <v>511</v>
      </c>
      <c r="D149" s="399"/>
      <c r="E149" s="352"/>
      <c r="F149" s="400">
        <v>-5.0220000000000002</v>
      </c>
      <c r="G149" s="400">
        <v>-5.4779999999999998</v>
      </c>
      <c r="H149" s="400">
        <v>-5.0179999999999998</v>
      </c>
      <c r="I149" s="400">
        <v>-5.8250000000000002</v>
      </c>
      <c r="J149" s="400">
        <v>-9.16</v>
      </c>
      <c r="K149" s="869">
        <f>-K150*K146</f>
        <v>-11.851015804208796</v>
      </c>
      <c r="L149" s="826">
        <f t="shared" ref="L149" si="177">-L150*L146</f>
        <v>-12.283220234805075</v>
      </c>
      <c r="M149" s="826">
        <f t="shared" ref="M149" si="178">-M150*M146</f>
        <v>-13.155369983963061</v>
      </c>
      <c r="N149" s="826">
        <f t="shared" ref="N149" si="179">-N150*N146</f>
        <v>-13.961277784022379</v>
      </c>
      <c r="O149" s="826">
        <f t="shared" ref="O149" si="180">-O150*O146</f>
        <v>-14.948462440101938</v>
      </c>
      <c r="P149" s="826">
        <f t="shared" ref="P149" si="181">-P150*P146</f>
        <v>-16.068991544857965</v>
      </c>
      <c r="Q149" s="826">
        <f t="shared" ref="Q149" si="182">-Q150*Q146</f>
        <v>-16.728327636014161</v>
      </c>
      <c r="R149" s="826">
        <f t="shared" ref="R149" si="183">-R150*R146</f>
        <v>-17.761423977197229</v>
      </c>
      <c r="S149" s="826">
        <f t="shared" ref="S149" si="184">-S150*S146</f>
        <v>-18.697918746130867</v>
      </c>
      <c r="T149" s="826">
        <f t="shared" ref="T149" si="185">-T150*T146</f>
        <v>-19.892536578414415</v>
      </c>
      <c r="U149" s="826">
        <f t="shared" ref="U149" si="186">-U150*U146</f>
        <v>-21.176630510354695</v>
      </c>
    </row>
    <row r="150" spans="3:21" hidden="1" outlineLevel="1">
      <c r="C150" s="403" t="s">
        <v>615</v>
      </c>
      <c r="D150" s="399"/>
      <c r="E150" s="352"/>
      <c r="F150" s="479">
        <f>-F149/F146</f>
        <v>0.56471381985831548</v>
      </c>
      <c r="G150" s="479">
        <f t="shared" ref="G150:J150" si="187">-G149/G146</f>
        <v>0.61522911051212936</v>
      </c>
      <c r="H150" s="479">
        <f t="shared" si="187"/>
        <v>0.49550706033376118</v>
      </c>
      <c r="I150" s="479">
        <f t="shared" si="187"/>
        <v>0.35574691584218887</v>
      </c>
      <c r="J150" s="479">
        <f t="shared" si="187"/>
        <v>0.47817916057632076</v>
      </c>
      <c r="K150" s="646">
        <f>J150</f>
        <v>0.47817916057632076</v>
      </c>
      <c r="L150" s="482">
        <f t="shared" ref="L150" si="188">K150</f>
        <v>0.47817916057632076</v>
      </c>
      <c r="M150" s="482">
        <f t="shared" ref="M150:R150" si="189">L150</f>
        <v>0.47817916057632076</v>
      </c>
      <c r="N150" s="482">
        <f t="shared" si="189"/>
        <v>0.47817916057632076</v>
      </c>
      <c r="O150" s="482">
        <f t="shared" si="189"/>
        <v>0.47817916057632076</v>
      </c>
      <c r="P150" s="482">
        <f t="shared" si="189"/>
        <v>0.47817916057632076</v>
      </c>
      <c r="Q150" s="482">
        <f t="shared" si="189"/>
        <v>0.47817916057632076</v>
      </c>
      <c r="R150" s="482">
        <f t="shared" si="189"/>
        <v>0.47817916057632076</v>
      </c>
      <c r="S150" s="482">
        <f t="shared" ref="S150:U150" si="190">R150</f>
        <v>0.47817916057632076</v>
      </c>
      <c r="T150" s="482">
        <f t="shared" si="190"/>
        <v>0.47817916057632076</v>
      </c>
      <c r="U150" s="482">
        <f t="shared" si="190"/>
        <v>0.47817916057632076</v>
      </c>
    </row>
    <row r="151" spans="3:21" collapsed="1">
      <c r="C151" s="401" t="s">
        <v>512</v>
      </c>
      <c r="D151" s="401"/>
      <c r="E151" s="352"/>
      <c r="F151" s="402">
        <f t="shared" ref="F151:G151" si="191">F146+F149</f>
        <v>3.8710000000000004</v>
      </c>
      <c r="G151" s="402">
        <f t="shared" si="191"/>
        <v>3.4260000000000002</v>
      </c>
      <c r="H151" s="402">
        <f>H146+H149</f>
        <v>5.1090000000000009</v>
      </c>
      <c r="I151" s="402">
        <f>I146+I149</f>
        <v>10.548999999999999</v>
      </c>
      <c r="J151" s="402">
        <f t="shared" ref="J151:U151" si="192">J146+J149</f>
        <v>9.9959999999999987</v>
      </c>
      <c r="K151" s="872">
        <f t="shared" si="192"/>
        <v>12.932615063195538</v>
      </c>
      <c r="L151" s="873">
        <f t="shared" si="192"/>
        <v>13.404265225667196</v>
      </c>
      <c r="M151" s="873">
        <f t="shared" si="192"/>
        <v>14.356012921364053</v>
      </c>
      <c r="N151" s="873">
        <f t="shared" si="192"/>
        <v>15.235473005358916</v>
      </c>
      <c r="O151" s="873">
        <f t="shared" si="192"/>
        <v>16.312754426993337</v>
      </c>
      <c r="P151" s="873">
        <f t="shared" si="192"/>
        <v>17.535550161834081</v>
      </c>
      <c r="Q151" s="873">
        <f t="shared" si="192"/>
        <v>18.25506146829667</v>
      </c>
      <c r="R151" s="873">
        <f t="shared" si="192"/>
        <v>19.382444768129201</v>
      </c>
      <c r="S151" s="873">
        <f t="shared" si="192"/>
        <v>20.404410020341061</v>
      </c>
      <c r="T151" s="873">
        <f t="shared" si="192"/>
        <v>21.70805629233957</v>
      </c>
      <c r="U151" s="873">
        <f t="shared" si="192"/>
        <v>23.109344823308458</v>
      </c>
    </row>
    <row r="152" spans="3:21">
      <c r="C152" s="401" t="s">
        <v>513</v>
      </c>
      <c r="D152" s="401"/>
      <c r="E152" s="352"/>
      <c r="F152" s="402">
        <v>270.29700000000003</v>
      </c>
      <c r="G152" s="402">
        <v>304.31700000000001</v>
      </c>
      <c r="H152" s="402">
        <v>263.86399999999998</v>
      </c>
      <c r="I152" s="402">
        <v>398.98700000000002</v>
      </c>
      <c r="J152" s="402">
        <v>435.33699999999999</v>
      </c>
      <c r="K152" s="872">
        <f>K142</f>
        <v>449.14806222640323</v>
      </c>
      <c r="L152" s="873">
        <f t="shared" ref="L152:U152" si="193">L142</f>
        <v>555.83506161320656</v>
      </c>
      <c r="M152" s="873">
        <f t="shared" si="193"/>
        <v>623.93844305150424</v>
      </c>
      <c r="N152" s="873">
        <f t="shared" si="193"/>
        <v>728.57959785920548</v>
      </c>
      <c r="O152" s="873">
        <f t="shared" si="193"/>
        <v>822.38439955425588</v>
      </c>
      <c r="P152" s="873">
        <f t="shared" si="193"/>
        <v>933.8103760781454</v>
      </c>
      <c r="Q152" s="873">
        <f>Q142</f>
        <v>989.25445357778563</v>
      </c>
      <c r="R152" s="873">
        <f t="shared" si="193"/>
        <v>1096.0223068801697</v>
      </c>
      <c r="S152" s="873">
        <f t="shared" si="193"/>
        <v>1217.3463803508876</v>
      </c>
      <c r="T152" s="873">
        <f t="shared" si="193"/>
        <v>1298.5675179743182</v>
      </c>
      <c r="U152" s="873">
        <f t="shared" si="193"/>
        <v>1465.2210798934811</v>
      </c>
    </row>
    <row r="153" spans="3:21" hidden="1" outlineLevel="1">
      <c r="C153" s="403" t="s">
        <v>498</v>
      </c>
      <c r="D153" s="403"/>
      <c r="E153" s="352"/>
      <c r="F153" s="404"/>
      <c r="G153" s="405">
        <f t="shared" ref="G153:I153" si="194">G152/F152-1</f>
        <v>0.1258615522924782</v>
      </c>
      <c r="H153" s="405">
        <f t="shared" si="194"/>
        <v>-0.13293046395699226</v>
      </c>
      <c r="I153" s="405">
        <f t="shared" si="194"/>
        <v>0.51209335112027432</v>
      </c>
      <c r="J153" s="405">
        <f>J152/I152-1</f>
        <v>9.1105725249193581E-2</v>
      </c>
      <c r="K153" s="870">
        <f t="shared" ref="K153:U153" si="195">K152/J152-1</f>
        <v>3.1724990585232149E-2</v>
      </c>
      <c r="L153" s="871">
        <f t="shared" si="195"/>
        <v>0.23753191510603777</v>
      </c>
      <c r="M153" s="871">
        <f t="shared" si="195"/>
        <v>0.12252444320558054</v>
      </c>
      <c r="N153" s="871">
        <f t="shared" si="195"/>
        <v>0.16771070283140643</v>
      </c>
      <c r="O153" s="871">
        <f t="shared" si="195"/>
        <v>0.12875024495700704</v>
      </c>
      <c r="P153" s="871">
        <f t="shared" si="195"/>
        <v>0.13549135487526764</v>
      </c>
      <c r="Q153" s="871">
        <f t="shared" si="195"/>
        <v>5.9374021664330368E-2</v>
      </c>
      <c r="R153" s="871">
        <f t="shared" si="195"/>
        <v>0.10792759427692467</v>
      </c>
      <c r="S153" s="871">
        <f t="shared" si="195"/>
        <v>0.11069489435490332</v>
      </c>
      <c r="T153" s="871">
        <f t="shared" si="195"/>
        <v>6.6719825133105815E-2</v>
      </c>
      <c r="U153" s="871">
        <f t="shared" si="195"/>
        <v>0.12833646276562627</v>
      </c>
    </row>
    <row r="154" spans="3:21" collapsed="1">
      <c r="C154" s="401" t="s">
        <v>514</v>
      </c>
      <c r="D154" s="401"/>
      <c r="E154" s="352"/>
      <c r="F154" s="402">
        <f t="shared" ref="F154:G154" si="196">F155+F156+F159</f>
        <v>-23.994</v>
      </c>
      <c r="G154" s="402">
        <f t="shared" si="196"/>
        <v>-63.680000000000007</v>
      </c>
      <c r="H154" s="402">
        <f>H155+H156+H159</f>
        <v>119.818</v>
      </c>
      <c r="I154" s="402">
        <f>I155+I156+I159</f>
        <v>332.43200000000002</v>
      </c>
      <c r="J154" s="402">
        <f>J155+J156+J159</f>
        <v>-51.743000000000002</v>
      </c>
      <c r="K154" s="872">
        <f t="shared" ref="K154:O154" si="197">K155+K156+K159</f>
        <v>305.64907697219417</v>
      </c>
      <c r="L154" s="873">
        <f t="shared" si="197"/>
        <v>-57.653329605269086</v>
      </c>
      <c r="M154" s="873">
        <f t="shared" si="197"/>
        <v>-60.247729437506187</v>
      </c>
      <c r="N154" s="873">
        <f t="shared" si="197"/>
        <v>-62.958877262193958</v>
      </c>
      <c r="O154" s="873">
        <f t="shared" si="197"/>
        <v>-65.792026738992675</v>
      </c>
      <c r="P154" s="873">
        <f t="shared" ref="P154" si="198">P155+P156+P159</f>
        <v>-68.423707808552379</v>
      </c>
      <c r="Q154" s="873">
        <f t="shared" ref="Q154" si="199">Q155+Q156+Q159</f>
        <v>-71.160656120894473</v>
      </c>
      <c r="R154" s="873">
        <f t="shared" ref="R154" si="200">R155+R156+R159</f>
        <v>-74.007082365730255</v>
      </c>
      <c r="S154" s="873">
        <f t="shared" ref="S154:T154" si="201">S155+S156+S159</f>
        <v>-76.967365660359462</v>
      </c>
      <c r="T154" s="873">
        <f t="shared" si="201"/>
        <v>-80.046060286773837</v>
      </c>
      <c r="U154" s="873">
        <f t="shared" ref="U154" si="202">U155+U156+U159</f>
        <v>-83.2479026982448</v>
      </c>
    </row>
    <row r="155" spans="3:21" hidden="1" outlineLevel="1">
      <c r="C155" s="406" t="s">
        <v>515</v>
      </c>
      <c r="D155" s="406"/>
      <c r="E155" s="352"/>
      <c r="F155" s="400">
        <v>0</v>
      </c>
      <c r="G155" s="400">
        <v>0</v>
      </c>
      <c r="H155" s="400">
        <v>0</v>
      </c>
      <c r="I155" s="400">
        <v>0</v>
      </c>
      <c r="J155" s="400">
        <v>0</v>
      </c>
      <c r="K155" s="869">
        <v>0</v>
      </c>
      <c r="L155" s="826">
        <v>0</v>
      </c>
      <c r="M155" s="826">
        <v>0</v>
      </c>
      <c r="N155" s="826">
        <v>0</v>
      </c>
      <c r="O155" s="826">
        <v>0</v>
      </c>
      <c r="P155" s="826">
        <v>0</v>
      </c>
      <c r="Q155" s="826">
        <v>0</v>
      </c>
      <c r="R155" s="826">
        <v>0</v>
      </c>
      <c r="S155" s="826">
        <v>0</v>
      </c>
      <c r="T155" s="826">
        <v>0</v>
      </c>
      <c r="U155" s="826">
        <v>0</v>
      </c>
    </row>
    <row r="156" spans="3:21" hidden="1" outlineLevel="1">
      <c r="C156" s="406" t="s">
        <v>516</v>
      </c>
      <c r="D156" s="406"/>
      <c r="E156" s="352"/>
      <c r="F156" s="400">
        <v>-20.849</v>
      </c>
      <c r="G156" s="400">
        <f>-60.749+0.214</f>
        <v>-60.535000000000004</v>
      </c>
      <c r="H156" s="400">
        <f>-42.223+0.226</f>
        <v>-41.997</v>
      </c>
      <c r="I156" s="400">
        <f>-107.014+0.471</f>
        <v>-106.54299999999999</v>
      </c>
      <c r="J156" s="400">
        <f>-52.322+0.579</f>
        <v>-51.743000000000002</v>
      </c>
      <c r="K156" s="869">
        <f t="shared" ref="K156:U156" si="203">J156*(1+K380)</f>
        <v>-54.350923027805813</v>
      </c>
      <c r="L156" s="826">
        <f t="shared" si="203"/>
        <v>-57.653329605269086</v>
      </c>
      <c r="M156" s="826">
        <f t="shared" si="203"/>
        <v>-60.247729437506187</v>
      </c>
      <c r="N156" s="826">
        <f t="shared" si="203"/>
        <v>-62.958877262193958</v>
      </c>
      <c r="O156" s="826">
        <f t="shared" si="203"/>
        <v>-65.792026738992675</v>
      </c>
      <c r="P156" s="826">
        <f t="shared" si="203"/>
        <v>-68.423707808552379</v>
      </c>
      <c r="Q156" s="826">
        <f t="shared" si="203"/>
        <v>-71.160656120894473</v>
      </c>
      <c r="R156" s="826">
        <f t="shared" si="203"/>
        <v>-74.007082365730255</v>
      </c>
      <c r="S156" s="826">
        <f t="shared" si="203"/>
        <v>-76.967365660359462</v>
      </c>
      <c r="T156" s="826">
        <f t="shared" si="203"/>
        <v>-80.046060286773837</v>
      </c>
      <c r="U156" s="826">
        <f t="shared" si="203"/>
        <v>-83.2479026982448</v>
      </c>
    </row>
    <row r="157" spans="3:21" hidden="1" outlineLevel="1">
      <c r="C157" s="403" t="s">
        <v>498</v>
      </c>
      <c r="D157" s="403"/>
      <c r="E157" s="352"/>
      <c r="F157" s="404"/>
      <c r="G157" s="405">
        <f t="shared" ref="G157:I157" si="204">G156/F156-1</f>
        <v>1.9034965705789246</v>
      </c>
      <c r="H157" s="405">
        <f t="shared" si="204"/>
        <v>-0.30623606178244001</v>
      </c>
      <c r="I157" s="405">
        <f t="shared" si="204"/>
        <v>1.5369193037597921</v>
      </c>
      <c r="J157" s="405">
        <f>J156/I156-1</f>
        <v>-0.51434632026505722</v>
      </c>
      <c r="K157" s="870">
        <f t="shared" ref="K157:U157" si="205">K156/J156-1</f>
        <v>5.0401465469837703E-2</v>
      </c>
      <c r="L157" s="871">
        <f t="shared" si="205"/>
        <v>6.0760818648356141E-2</v>
      </c>
      <c r="M157" s="871">
        <f t="shared" si="205"/>
        <v>4.4999999999999929E-2</v>
      </c>
      <c r="N157" s="871">
        <f t="shared" si="205"/>
        <v>4.4999999999999929E-2</v>
      </c>
      <c r="O157" s="871">
        <f t="shared" si="205"/>
        <v>4.4999999999999707E-2</v>
      </c>
      <c r="P157" s="871">
        <f t="shared" si="205"/>
        <v>4.0000000000000036E-2</v>
      </c>
      <c r="Q157" s="871">
        <f t="shared" si="205"/>
        <v>4.0000000000000036E-2</v>
      </c>
      <c r="R157" s="871">
        <f t="shared" si="205"/>
        <v>4.0000000000000036E-2</v>
      </c>
      <c r="S157" s="871">
        <f t="shared" si="205"/>
        <v>4.0000000000000036E-2</v>
      </c>
      <c r="T157" s="871">
        <f t="shared" si="205"/>
        <v>4.0000000000000036E-2</v>
      </c>
      <c r="U157" s="871">
        <f t="shared" si="205"/>
        <v>4.0000000000000036E-2</v>
      </c>
    </row>
    <row r="158" spans="3:21" hidden="1" outlineLevel="1">
      <c r="C158" s="406" t="s">
        <v>599</v>
      </c>
      <c r="D158" s="403"/>
      <c r="E158" s="352"/>
      <c r="F158" s="409">
        <f t="shared" ref="F158:G158" si="206">-F156/(F151+F152)</f>
        <v>7.6044614980595837E-2</v>
      </c>
      <c r="G158" s="409">
        <f t="shared" si="206"/>
        <v>0.19670634263005171</v>
      </c>
      <c r="H158" s="409">
        <f>-H156/(H151+H152)</f>
        <v>0.15613834845876726</v>
      </c>
      <c r="I158" s="409">
        <f>-I156/(I151+I152)</f>
        <v>0.26015539537427723</v>
      </c>
      <c r="J158" s="409">
        <f>-J156/(J151+J152)</f>
        <v>0.1161894582256424</v>
      </c>
      <c r="K158" s="874">
        <f t="shared" ref="K158:U158" si="207">-K156/(K151+K152)</f>
        <v>0.117622150630944</v>
      </c>
      <c r="L158" s="875">
        <f t="shared" si="207"/>
        <v>0.10128135370658986</v>
      </c>
      <c r="M158" s="875">
        <f t="shared" si="207"/>
        <v>9.4388614649141042E-2</v>
      </c>
      <c r="N158" s="875">
        <f t="shared" si="207"/>
        <v>8.464318582442068E-2</v>
      </c>
      <c r="O158" s="875">
        <f t="shared" si="207"/>
        <v>7.8445510905434154E-2</v>
      </c>
      <c r="P158" s="875">
        <f t="shared" si="207"/>
        <v>7.1923057555924527E-2</v>
      </c>
      <c r="Q158" s="875">
        <f t="shared" si="207"/>
        <v>7.0630257142176633E-2</v>
      </c>
      <c r="R158" s="875">
        <f t="shared" si="207"/>
        <v>6.6349979463836473E-2</v>
      </c>
      <c r="S158" s="875">
        <f t="shared" si="207"/>
        <v>6.2183249050703708E-2</v>
      </c>
      <c r="T158" s="875">
        <f t="shared" si="207"/>
        <v>6.0628297491025787E-2</v>
      </c>
      <c r="U158" s="875">
        <f t="shared" si="207"/>
        <v>5.5933750540701217E-2</v>
      </c>
    </row>
    <row r="159" spans="3:21" hidden="1" outlineLevel="1">
      <c r="C159" s="399" t="s">
        <v>593</v>
      </c>
      <c r="D159" s="399"/>
      <c r="E159" s="352"/>
      <c r="F159" s="400">
        <v>-3.145</v>
      </c>
      <c r="G159" s="400">
        <v>-3.145</v>
      </c>
      <c r="H159" s="400">
        <v>161.815</v>
      </c>
      <c r="I159" s="400">
        <v>438.97500000000002</v>
      </c>
      <c r="J159" s="400">
        <v>0</v>
      </c>
      <c r="K159" s="876">
        <f>360</f>
        <v>360</v>
      </c>
      <c r="L159" s="607">
        <v>0</v>
      </c>
      <c r="M159" s="607">
        <v>0</v>
      </c>
      <c r="N159" s="607">
        <v>0</v>
      </c>
      <c r="O159" s="607">
        <v>0</v>
      </c>
      <c r="P159" s="607">
        <v>0</v>
      </c>
      <c r="Q159" s="607">
        <v>0</v>
      </c>
      <c r="R159" s="607">
        <v>0</v>
      </c>
      <c r="S159" s="607">
        <v>0</v>
      </c>
      <c r="T159" s="607">
        <v>0</v>
      </c>
      <c r="U159" s="607">
        <v>0</v>
      </c>
    </row>
    <row r="160" spans="3:21" hidden="1" outlineLevel="1">
      <c r="C160" s="406" t="s">
        <v>599</v>
      </c>
      <c r="D160" s="403"/>
      <c r="E160" s="352"/>
      <c r="F160" s="409">
        <f t="shared" ref="F160:G160" si="208">F159/(F151+F152)</f>
        <v>-1.14710688337078E-2</v>
      </c>
      <c r="G160" s="409">
        <f t="shared" si="208"/>
        <v>-1.0219566326447717E-2</v>
      </c>
      <c r="H160" s="409">
        <f>H159/(H151+H152)</f>
        <v>0.6016031348871449</v>
      </c>
      <c r="I160" s="409">
        <f>I159/(I151+I152)</f>
        <v>1.0718837904360057</v>
      </c>
      <c r="J160" s="409">
        <f>J159/(J151+J152)</f>
        <v>0</v>
      </c>
      <c r="K160" s="874">
        <f t="shared" ref="K160:U160" si="209">K159/(K151+K152)</f>
        <v>0.77908473063974937</v>
      </c>
      <c r="L160" s="875">
        <f t="shared" si="209"/>
        <v>0</v>
      </c>
      <c r="M160" s="875">
        <f t="shared" si="209"/>
        <v>0</v>
      </c>
      <c r="N160" s="875">
        <f t="shared" si="209"/>
        <v>0</v>
      </c>
      <c r="O160" s="875">
        <f t="shared" si="209"/>
        <v>0</v>
      </c>
      <c r="P160" s="875">
        <f t="shared" si="209"/>
        <v>0</v>
      </c>
      <c r="Q160" s="875">
        <f t="shared" si="209"/>
        <v>0</v>
      </c>
      <c r="R160" s="875">
        <f t="shared" si="209"/>
        <v>0</v>
      </c>
      <c r="S160" s="875">
        <f t="shared" si="209"/>
        <v>0</v>
      </c>
      <c r="T160" s="875">
        <f t="shared" si="209"/>
        <v>0</v>
      </c>
      <c r="U160" s="875">
        <f t="shared" si="209"/>
        <v>0</v>
      </c>
    </row>
    <row r="161" spans="2:21" collapsed="1">
      <c r="C161" s="401" t="s">
        <v>597</v>
      </c>
      <c r="D161" s="401"/>
      <c r="E161" s="352"/>
      <c r="F161" s="402">
        <f t="shared" ref="F161:G161" si="210">F151+F152+F154</f>
        <v>250.17400000000001</v>
      </c>
      <c r="G161" s="402">
        <f t="shared" si="210"/>
        <v>244.06299999999999</v>
      </c>
      <c r="H161" s="402">
        <f>H151+H152+H154</f>
        <v>388.79099999999994</v>
      </c>
      <c r="I161" s="402">
        <f>I151+I152+I154</f>
        <v>741.96800000000007</v>
      </c>
      <c r="J161" s="402">
        <f>J151+J152+J154</f>
        <v>393.59</v>
      </c>
      <c r="K161" s="872">
        <f t="shared" ref="K161:U161" si="211">K151+K152+K154</f>
        <v>767.729754261793</v>
      </c>
      <c r="L161" s="873">
        <f t="shared" si="211"/>
        <v>511.5859972336047</v>
      </c>
      <c r="M161" s="873">
        <f t="shared" si="211"/>
        <v>578.04672653536204</v>
      </c>
      <c r="N161" s="873">
        <f t="shared" si="211"/>
        <v>680.85619360237047</v>
      </c>
      <c r="O161" s="873">
        <f t="shared" si="211"/>
        <v>772.90512724225653</v>
      </c>
      <c r="P161" s="873">
        <f t="shared" si="211"/>
        <v>882.92221843142704</v>
      </c>
      <c r="Q161" s="873">
        <f t="shared" si="211"/>
        <v>936.34885892518776</v>
      </c>
      <c r="R161" s="873">
        <f t="shared" si="211"/>
        <v>1041.3976692825688</v>
      </c>
      <c r="S161" s="873">
        <f t="shared" si="211"/>
        <v>1160.783424710869</v>
      </c>
      <c r="T161" s="873">
        <f t="shared" si="211"/>
        <v>1240.2295139798839</v>
      </c>
      <c r="U161" s="873">
        <f t="shared" si="211"/>
        <v>1405.0825220185448</v>
      </c>
    </row>
    <row r="162" spans="2:21">
      <c r="C162" s="406" t="s">
        <v>497</v>
      </c>
      <c r="D162" s="406"/>
      <c r="E162" s="352"/>
      <c r="F162" s="463">
        <f>F161/(F152+F151)</f>
        <v>0.91248431618569636</v>
      </c>
      <c r="G162" s="463">
        <f>G161/(G152+G151)</f>
        <v>0.79307409104350057</v>
      </c>
      <c r="H162" s="463">
        <f>H161/(H152+H151)</f>
        <v>1.4454647864283776</v>
      </c>
      <c r="I162" s="463">
        <f>I161/(I152+I151)</f>
        <v>1.8117283950617287</v>
      </c>
      <c r="J162" s="463">
        <f>J161/(J152+J151)</f>
        <v>0.88381054177435758</v>
      </c>
      <c r="K162" s="874">
        <f t="shared" ref="K162:U162" si="212">K161/(K152+K151)</f>
        <v>1.6614625800088054</v>
      </c>
      <c r="L162" s="875">
        <f t="shared" si="212"/>
        <v>0.89871864629341014</v>
      </c>
      <c r="M162" s="875">
        <f t="shared" si="212"/>
        <v>0.90561138535085894</v>
      </c>
      <c r="N162" s="875">
        <f t="shared" si="212"/>
        <v>0.91535681417557935</v>
      </c>
      <c r="O162" s="875">
        <f t="shared" si="212"/>
        <v>0.92155448909456583</v>
      </c>
      <c r="P162" s="875">
        <f t="shared" si="212"/>
        <v>0.92807694244407546</v>
      </c>
      <c r="Q162" s="875">
        <f t="shared" si="212"/>
        <v>0.92936974285782337</v>
      </c>
      <c r="R162" s="875">
        <f t="shared" si="212"/>
        <v>0.93365002053616364</v>
      </c>
      <c r="S162" s="875">
        <f t="shared" si="212"/>
        <v>0.93781675094929629</v>
      </c>
      <c r="T162" s="875">
        <f t="shared" si="212"/>
        <v>0.93937170250897428</v>
      </c>
      <c r="U162" s="875">
        <f t="shared" si="212"/>
        <v>0.94406624945929873</v>
      </c>
    </row>
    <row r="163" spans="2:21">
      <c r="C163" s="399" t="s">
        <v>598</v>
      </c>
      <c r="D163" s="406"/>
      <c r="E163" s="352"/>
      <c r="F163" s="504">
        <v>0</v>
      </c>
      <c r="G163" s="504">
        <v>-0.214</v>
      </c>
      <c r="H163" s="504">
        <v>-0.22600000000000001</v>
      </c>
      <c r="I163" s="504">
        <v>-0.47099999999999997</v>
      </c>
      <c r="J163" s="504">
        <v>-0.57899999999999996</v>
      </c>
      <c r="K163" s="688">
        <f>K183/1000</f>
        <v>-6.3900000000000003E-4</v>
      </c>
      <c r="L163" s="577">
        <f t="shared" ref="L163:U163" si="213">L183/1000</f>
        <v>-8.2711606683983404E-4</v>
      </c>
      <c r="M163" s="577">
        <f t="shared" si="213"/>
        <v>-7.254313613936353E-4</v>
      </c>
      <c r="N163" s="577">
        <f t="shared" si="213"/>
        <v>-9.0526958777275581E-4</v>
      </c>
      <c r="O163" s="577">
        <f t="shared" si="213"/>
        <v>-8.5240887240838536E-4</v>
      </c>
      <c r="P163" s="577">
        <f t="shared" si="213"/>
        <v>-1.0061786128964362E-3</v>
      </c>
      <c r="Q163" s="577">
        <f>Q183/1000</f>
        <v>-1.0097023618442216E-3</v>
      </c>
      <c r="R163" s="577">
        <f t="shared" si="213"/>
        <v>-1.0813411221574079E-3</v>
      </c>
      <c r="S163" s="577">
        <f t="shared" si="213"/>
        <v>-1.1406960145217008E-3</v>
      </c>
      <c r="T163" s="577">
        <f t="shared" si="213"/>
        <v>-1.1989689417721235E-3</v>
      </c>
      <c r="U163" s="577">
        <f t="shared" si="213"/>
        <v>-1.2872568616030167E-3</v>
      </c>
    </row>
    <row r="164" spans="2:21" hidden="1" outlineLevel="1">
      <c r="C164" s="467" t="s">
        <v>599</v>
      </c>
      <c r="D164" s="467"/>
      <c r="E164" s="468"/>
      <c r="F164" s="469">
        <f>F163/(F151+F152)</f>
        <v>0</v>
      </c>
      <c r="G164" s="469">
        <f>G163/(G151+G152)</f>
        <v>-6.9538543524954265E-4</v>
      </c>
      <c r="H164" s="469">
        <f>H163/(H151+H152)</f>
        <v>-8.4023303454250071E-4</v>
      </c>
      <c r="I164" s="469">
        <f>I163/(I151+I152)</f>
        <v>-1.1500820440693857E-3</v>
      </c>
      <c r="J164" s="469">
        <f>J163/(J151+J152)</f>
        <v>-1.3001506737654743E-3</v>
      </c>
      <c r="K164" s="666"/>
      <c r="L164" s="607"/>
      <c r="M164" s="877"/>
      <c r="N164" s="878"/>
      <c r="O164" s="878"/>
      <c r="P164" s="878"/>
      <c r="Q164" s="606"/>
      <c r="R164" s="607"/>
      <c r="S164" s="607"/>
      <c r="T164" s="607"/>
      <c r="U164" s="607"/>
    </row>
    <row r="165" spans="2:21" collapsed="1">
      <c r="C165" s="401" t="s">
        <v>600</v>
      </c>
      <c r="D165" s="406"/>
      <c r="E165" s="352"/>
      <c r="F165" s="402">
        <f t="shared" ref="F165:G165" si="214">F161+F163</f>
        <v>250.17400000000001</v>
      </c>
      <c r="G165" s="402">
        <f t="shared" si="214"/>
        <v>243.84899999999999</v>
      </c>
      <c r="H165" s="402">
        <f>H161+H163</f>
        <v>388.56499999999994</v>
      </c>
      <c r="I165" s="402">
        <f>I161+I163</f>
        <v>741.49700000000007</v>
      </c>
      <c r="J165" s="402">
        <f>J161+J163</f>
        <v>393.01099999999997</v>
      </c>
      <c r="K165" s="872">
        <f t="shared" ref="K165:U165" si="215">K161+K163</f>
        <v>767.72911526179303</v>
      </c>
      <c r="L165" s="873">
        <f t="shared" si="215"/>
        <v>511.58517011753787</v>
      </c>
      <c r="M165" s="873">
        <f t="shared" si="215"/>
        <v>578.04600110400065</v>
      </c>
      <c r="N165" s="873">
        <f t="shared" si="215"/>
        <v>680.85528833278272</v>
      </c>
      <c r="O165" s="873">
        <f t="shared" si="215"/>
        <v>772.90427483338408</v>
      </c>
      <c r="P165" s="873">
        <f t="shared" si="215"/>
        <v>882.92121225281414</v>
      </c>
      <c r="Q165" s="873">
        <f t="shared" si="215"/>
        <v>936.34784922282586</v>
      </c>
      <c r="R165" s="873">
        <f>R161+R163</f>
        <v>1041.3965879414466</v>
      </c>
      <c r="S165" s="873">
        <f t="shared" si="215"/>
        <v>1160.7822840148544</v>
      </c>
      <c r="T165" s="873">
        <f t="shared" si="215"/>
        <v>1240.2283150109422</v>
      </c>
      <c r="U165" s="873">
        <f t="shared" si="215"/>
        <v>1405.0812347616832</v>
      </c>
    </row>
    <row r="166" spans="2:21">
      <c r="C166" s="401" t="s">
        <v>521</v>
      </c>
      <c r="D166" s="401"/>
      <c r="E166" s="352"/>
      <c r="F166" s="402">
        <f t="shared" ref="F166:G166" si="216">F167+F168</f>
        <v>-18.332000000000001</v>
      </c>
      <c r="G166" s="402">
        <f t="shared" si="216"/>
        <v>-49.591000000000001</v>
      </c>
      <c r="H166" s="402">
        <f>H167+H168</f>
        <v>-19.661999999999999</v>
      </c>
      <c r="I166" s="402">
        <f>I167+I168</f>
        <v>-13.501999999999999</v>
      </c>
      <c r="J166" s="402">
        <f t="shared" ref="J166:U166" si="217">J167+J168</f>
        <v>-44.218000000000004</v>
      </c>
      <c r="K166" s="872">
        <f t="shared" si="217"/>
        <v>-30.783420710227865</v>
      </c>
      <c r="L166" s="873">
        <f t="shared" si="217"/>
        <v>-15.138287659353974</v>
      </c>
      <c r="M166" s="873">
        <f t="shared" si="217"/>
        <v>3.0227938587697274</v>
      </c>
      <c r="N166" s="873">
        <f t="shared" si="217"/>
        <v>7.3651906038336623</v>
      </c>
      <c r="O166" s="873">
        <f t="shared" si="217"/>
        <v>7.3084926943892059</v>
      </c>
      <c r="P166" s="873">
        <f t="shared" si="217"/>
        <v>8.3671797261399519</v>
      </c>
      <c r="Q166" s="873">
        <f t="shared" si="217"/>
        <v>8.2638797708937322</v>
      </c>
      <c r="R166" s="873">
        <f t="shared" si="217"/>
        <v>12.406642149619852</v>
      </c>
      <c r="S166" s="873">
        <f t="shared" si="217"/>
        <v>12.40658301829651</v>
      </c>
      <c r="T166" s="873">
        <f t="shared" si="217"/>
        <v>13.47443036521201</v>
      </c>
      <c r="U166" s="873">
        <f t="shared" si="217"/>
        <v>15.417020624836539</v>
      </c>
    </row>
    <row r="167" spans="2:21" hidden="1" outlineLevel="1">
      <c r="C167" s="406" t="s">
        <v>522</v>
      </c>
      <c r="D167" s="406"/>
      <c r="E167" s="352"/>
      <c r="F167" s="400">
        <v>5.3920000000000003</v>
      </c>
      <c r="G167" s="400">
        <v>4.9109999999999996</v>
      </c>
      <c r="H167" s="400">
        <v>4.1479999999999997</v>
      </c>
      <c r="I167" s="400">
        <v>22.864000000000001</v>
      </c>
      <c r="J167" s="400">
        <v>4.3049999999999997</v>
      </c>
      <c r="K167" s="869">
        <f>'DIVIDA AGConcessoes'!G44</f>
        <v>1.4115617017395439</v>
      </c>
      <c r="L167" s="826">
        <f>'DIVIDA AGConcessoes'!H44</f>
        <v>2.8176397641850985</v>
      </c>
      <c r="M167" s="826">
        <f>'DIVIDA AGConcessoes'!I44</f>
        <v>13.345736933535028</v>
      </c>
      <c r="N167" s="826">
        <f>'DIVIDA AGConcessoes'!J44</f>
        <v>12.27865572062125</v>
      </c>
      <c r="O167" s="826">
        <f>'DIVIDA AGConcessoes'!K44</f>
        <v>7.3084926943892059</v>
      </c>
      <c r="P167" s="826">
        <f>'DIVIDA AGConcessoes'!L44</f>
        <v>8.3671797261399519</v>
      </c>
      <c r="Q167" s="826">
        <f>'DIVIDA AGConcessoes'!M44</f>
        <v>8.2638797708937322</v>
      </c>
      <c r="R167" s="826">
        <f>'DIVIDA AGConcessoes'!N44</f>
        <v>12.406642149619852</v>
      </c>
      <c r="S167" s="826">
        <f>'DIVIDA AGConcessoes'!O44</f>
        <v>12.40658301829651</v>
      </c>
      <c r="T167" s="826">
        <f>'DIVIDA AGConcessoes'!P44</f>
        <v>13.47443036521201</v>
      </c>
      <c r="U167" s="826">
        <f>'DIVIDA AGConcessoes'!Q44</f>
        <v>15.417020624836539</v>
      </c>
    </row>
    <row r="168" spans="2:21" hidden="1" outlineLevel="1">
      <c r="C168" s="406" t="s">
        <v>523</v>
      </c>
      <c r="D168" s="406"/>
      <c r="E168" s="352"/>
      <c r="F168" s="400">
        <v>-23.724</v>
      </c>
      <c r="G168" s="400">
        <v>-54.502000000000002</v>
      </c>
      <c r="H168" s="400">
        <v>-23.81</v>
      </c>
      <c r="I168" s="400">
        <v>-36.366</v>
      </c>
      <c r="J168" s="400">
        <v>-48.523000000000003</v>
      </c>
      <c r="K168" s="869">
        <f>-'DIVIDA AGConcessoes'!G23/1000+'DIVIDA AGConcessoes'!G36</f>
        <v>-32.194982411967409</v>
      </c>
      <c r="L168" s="826">
        <f>-'DIVIDA AGConcessoes'!H23/1000+'DIVIDA AGConcessoes'!H36</f>
        <v>-17.955927423539073</v>
      </c>
      <c r="M168" s="826">
        <f>-'DIVIDA AGConcessoes'!I23/1000+'DIVIDA AGConcessoes'!I36</f>
        <v>-10.3229430747653</v>
      </c>
      <c r="N168" s="826">
        <f>-'DIVIDA AGConcessoes'!J23/1000+'DIVIDA AGConcessoes'!J36</f>
        <v>-4.913465116787588</v>
      </c>
      <c r="O168" s="826">
        <f>-'DIVIDA AGConcessoes'!K23/1000+'DIVIDA AGConcessoes'!K36</f>
        <v>0</v>
      </c>
      <c r="P168" s="826">
        <f>-'DIVIDA AGConcessoes'!L23/1000+'DIVIDA AGConcessoes'!L36</f>
        <v>0</v>
      </c>
      <c r="Q168" s="826">
        <f>-'DIVIDA AGConcessoes'!M23/1000+'DIVIDA AGConcessoes'!M36</f>
        <v>0</v>
      </c>
      <c r="R168" s="826">
        <f>-'DIVIDA AGConcessoes'!N23/1000+'DIVIDA AGConcessoes'!N36</f>
        <v>0</v>
      </c>
      <c r="S168" s="826">
        <f>-'DIVIDA AGConcessoes'!O23/1000+'DIVIDA AGConcessoes'!O36</f>
        <v>0</v>
      </c>
      <c r="T168" s="826">
        <f>-'DIVIDA AGConcessoes'!P23/1000+'DIVIDA AGConcessoes'!P36</f>
        <v>0</v>
      </c>
      <c r="U168" s="826">
        <f>-'DIVIDA AGConcessoes'!Q23/1000+'DIVIDA AGConcessoes'!Q36</f>
        <v>0</v>
      </c>
    </row>
    <row r="169" spans="2:21" collapsed="1">
      <c r="C169" s="401" t="s">
        <v>524</v>
      </c>
      <c r="D169" s="401"/>
      <c r="E169" s="352"/>
      <c r="F169" s="402">
        <f t="shared" ref="F169:G169" si="218">F165+F166</f>
        <v>231.84200000000001</v>
      </c>
      <c r="G169" s="402">
        <f t="shared" si="218"/>
        <v>194.25799999999998</v>
      </c>
      <c r="H169" s="402">
        <f>H165+H166</f>
        <v>368.90299999999996</v>
      </c>
      <c r="I169" s="402">
        <f>I165+I166</f>
        <v>727.99500000000012</v>
      </c>
      <c r="J169" s="402">
        <f>J165+J166</f>
        <v>348.79299999999995</v>
      </c>
      <c r="K169" s="872">
        <f t="shared" ref="K169:U169" si="219">K165+K166</f>
        <v>736.94569455156511</v>
      </c>
      <c r="L169" s="873">
        <f t="shared" si="219"/>
        <v>496.44688245818389</v>
      </c>
      <c r="M169" s="873">
        <f t="shared" si="219"/>
        <v>581.06879496277043</v>
      </c>
      <c r="N169" s="873">
        <f t="shared" si="219"/>
        <v>688.22047893661636</v>
      </c>
      <c r="O169" s="873">
        <f t="shared" si="219"/>
        <v>780.21276752777328</v>
      </c>
      <c r="P169" s="873">
        <f t="shared" si="219"/>
        <v>891.28839197895411</v>
      </c>
      <c r="Q169" s="873">
        <f t="shared" si="219"/>
        <v>944.61172899371957</v>
      </c>
      <c r="R169" s="873">
        <f t="shared" si="219"/>
        <v>1053.8032300910663</v>
      </c>
      <c r="S169" s="873">
        <f t="shared" si="219"/>
        <v>1173.1888670331509</v>
      </c>
      <c r="T169" s="873">
        <f t="shared" si="219"/>
        <v>1253.7027453761541</v>
      </c>
      <c r="U169" s="873">
        <f t="shared" si="219"/>
        <v>1420.4982553865198</v>
      </c>
    </row>
    <row r="170" spans="2:21">
      <c r="C170" s="399" t="s">
        <v>525</v>
      </c>
      <c r="D170" s="399"/>
      <c r="E170" s="352"/>
      <c r="F170" s="400">
        <v>0</v>
      </c>
      <c r="G170" s="400">
        <v>0</v>
      </c>
      <c r="H170" s="400">
        <v>0</v>
      </c>
      <c r="I170" s="400">
        <v>-66.03</v>
      </c>
      <c r="J170" s="400">
        <v>0</v>
      </c>
      <c r="K170" s="869">
        <f>-K171*K169</f>
        <v>-73.694569455156511</v>
      </c>
      <c r="L170" s="826">
        <f t="shared" ref="L170:O170" si="220">-L171*L169</f>
        <v>0</v>
      </c>
      <c r="M170" s="826">
        <f t="shared" si="220"/>
        <v>0</v>
      </c>
      <c r="N170" s="826">
        <f t="shared" si="220"/>
        <v>0</v>
      </c>
      <c r="O170" s="826">
        <f t="shared" si="220"/>
        <v>0</v>
      </c>
      <c r="P170" s="826">
        <f t="shared" ref="P170" si="221">-P171*P169</f>
        <v>0</v>
      </c>
      <c r="Q170" s="826">
        <f t="shared" ref="Q170" si="222">-Q171*Q169</f>
        <v>0</v>
      </c>
      <c r="R170" s="826">
        <f t="shared" ref="R170:S170" si="223">-R171*R169</f>
        <v>0</v>
      </c>
      <c r="S170" s="826">
        <f t="shared" si="223"/>
        <v>0</v>
      </c>
      <c r="T170" s="826">
        <f t="shared" ref="T170" si="224">-T171*T169</f>
        <v>0</v>
      </c>
      <c r="U170" s="826">
        <f t="shared" ref="U170" si="225">-U171*U169</f>
        <v>0</v>
      </c>
    </row>
    <row r="171" spans="2:21" hidden="1" outlineLevel="1">
      <c r="C171" s="467" t="s">
        <v>601</v>
      </c>
      <c r="D171" s="470"/>
      <c r="E171" s="468"/>
      <c r="F171" s="471">
        <f t="shared" ref="F171:G171" si="226">-F170/F169</f>
        <v>0</v>
      </c>
      <c r="G171" s="471">
        <f t="shared" si="226"/>
        <v>0</v>
      </c>
      <c r="H171" s="471">
        <f>-H170/H169</f>
        <v>0</v>
      </c>
      <c r="I171" s="471">
        <f>-I170/I169</f>
        <v>9.0701172398162055E-2</v>
      </c>
      <c r="J171" s="471">
        <f>-J170/J169</f>
        <v>0</v>
      </c>
      <c r="K171" s="647">
        <v>0.1</v>
      </c>
      <c r="L171" s="499">
        <v>0</v>
      </c>
      <c r="M171" s="499">
        <f t="shared" ref="M171:O171" si="227">L171</f>
        <v>0</v>
      </c>
      <c r="N171" s="499">
        <f t="shared" si="227"/>
        <v>0</v>
      </c>
      <c r="O171" s="499">
        <f t="shared" si="227"/>
        <v>0</v>
      </c>
      <c r="P171" s="499">
        <f t="shared" ref="P171:U171" si="228">O171</f>
        <v>0</v>
      </c>
      <c r="Q171" s="499">
        <f t="shared" si="228"/>
        <v>0</v>
      </c>
      <c r="R171" s="499">
        <f t="shared" si="228"/>
        <v>0</v>
      </c>
      <c r="S171" s="499">
        <f t="shared" si="228"/>
        <v>0</v>
      </c>
      <c r="T171" s="499">
        <f t="shared" si="228"/>
        <v>0</v>
      </c>
      <c r="U171" s="499">
        <f t="shared" si="228"/>
        <v>0</v>
      </c>
    </row>
    <row r="172" spans="2:21" collapsed="1">
      <c r="C172" s="401" t="s">
        <v>528</v>
      </c>
      <c r="D172" s="401"/>
      <c r="E172" s="352"/>
      <c r="F172" s="402">
        <f t="shared" ref="F172:G172" si="229">F169+F170</f>
        <v>231.84200000000001</v>
      </c>
      <c r="G172" s="402">
        <f t="shared" si="229"/>
        <v>194.25799999999998</v>
      </c>
      <c r="H172" s="402">
        <f>H169+H170</f>
        <v>368.90299999999996</v>
      </c>
      <c r="I172" s="402">
        <f>I169+I170</f>
        <v>661.96500000000015</v>
      </c>
      <c r="J172" s="402">
        <f>J169+J170</f>
        <v>348.79299999999995</v>
      </c>
      <c r="K172" s="872">
        <f t="shared" ref="K172:U172" si="230">K169+K170</f>
        <v>663.2511250964086</v>
      </c>
      <c r="L172" s="873">
        <f t="shared" si="230"/>
        <v>496.44688245818389</v>
      </c>
      <c r="M172" s="873">
        <f t="shared" si="230"/>
        <v>581.06879496277043</v>
      </c>
      <c r="N172" s="873">
        <f t="shared" si="230"/>
        <v>688.22047893661636</v>
      </c>
      <c r="O172" s="873">
        <f t="shared" si="230"/>
        <v>780.21276752777328</v>
      </c>
      <c r="P172" s="873">
        <f t="shared" si="230"/>
        <v>891.28839197895411</v>
      </c>
      <c r="Q172" s="873">
        <f t="shared" si="230"/>
        <v>944.61172899371957</v>
      </c>
      <c r="R172" s="873">
        <f t="shared" si="230"/>
        <v>1053.8032300910663</v>
      </c>
      <c r="S172" s="873">
        <f t="shared" si="230"/>
        <v>1173.1888670331509</v>
      </c>
      <c r="T172" s="873">
        <f t="shared" si="230"/>
        <v>1253.7027453761541</v>
      </c>
      <c r="U172" s="873">
        <f t="shared" si="230"/>
        <v>1420.4982553865198</v>
      </c>
    </row>
    <row r="173" spans="2:21">
      <c r="C173" s="467" t="s">
        <v>599</v>
      </c>
      <c r="D173" s="467"/>
      <c r="E173" s="468"/>
      <c r="F173" s="472">
        <f>F172/(F152+F151)</f>
        <v>0.84562020367074209</v>
      </c>
      <c r="G173" s="472">
        <f>G172/(G152+G151)</f>
        <v>0.6312345041154469</v>
      </c>
      <c r="H173" s="472">
        <f>H172/(H152+H151)</f>
        <v>1.3715242793886375</v>
      </c>
      <c r="I173" s="472">
        <f>I172/(I152+I151)</f>
        <v>1.6163780473511489</v>
      </c>
      <c r="J173" s="472">
        <f>J172/(J152+J151)</f>
        <v>0.78321840061257519</v>
      </c>
      <c r="K173" s="874">
        <f t="shared" ref="K173:U173" si="231">K172/(K152+K151)</f>
        <v>1.4353578448395727</v>
      </c>
      <c r="L173" s="875">
        <f t="shared" si="231"/>
        <v>0.87212330394506599</v>
      </c>
      <c r="M173" s="875">
        <f t="shared" si="231"/>
        <v>0.91034598456150417</v>
      </c>
      <c r="N173" s="875">
        <f t="shared" si="231"/>
        <v>0.9252575080747848</v>
      </c>
      <c r="O173" s="875">
        <f t="shared" si="231"/>
        <v>0.93026757492158663</v>
      </c>
      <c r="P173" s="875">
        <f t="shared" si="231"/>
        <v>0.93687098183266337</v>
      </c>
      <c r="Q173" s="875">
        <f t="shared" si="231"/>
        <v>0.93757102527266378</v>
      </c>
      <c r="R173" s="875">
        <f t="shared" si="231"/>
        <v>0.94477204667973624</v>
      </c>
      <c r="S173" s="875">
        <f t="shared" si="231"/>
        <v>0.94783931964308099</v>
      </c>
      <c r="T173" s="875">
        <f t="shared" si="231"/>
        <v>0.94957656553823522</v>
      </c>
      <c r="U173" s="875">
        <f t="shared" si="231"/>
        <v>0.95442398528997519</v>
      </c>
    </row>
    <row r="174" spans="2:21">
      <c r="C174" s="406"/>
      <c r="D174" s="406"/>
      <c r="E174" s="352"/>
      <c r="F174" s="352"/>
      <c r="G174" s="368"/>
      <c r="H174" s="368"/>
      <c r="I174" s="463"/>
      <c r="J174" s="463"/>
      <c r="K174" s="666"/>
      <c r="L174" s="607"/>
      <c r="M174" s="607"/>
      <c r="N174" s="607"/>
      <c r="O174" s="607"/>
      <c r="P174" s="607"/>
      <c r="Q174" s="607"/>
      <c r="R174" s="607"/>
      <c r="S174" s="607"/>
      <c r="T174" s="607"/>
      <c r="U174" s="607"/>
    </row>
    <row r="175" spans="2:21">
      <c r="B175" s="475" t="s">
        <v>609</v>
      </c>
      <c r="C175" s="356"/>
      <c r="D175" s="476"/>
      <c r="E175" s="356"/>
      <c r="F175" s="356"/>
      <c r="G175" s="421"/>
      <c r="H175" s="421"/>
      <c r="I175" s="477"/>
      <c r="J175" s="477"/>
      <c r="K175" s="664"/>
      <c r="L175" s="621"/>
      <c r="M175" s="621"/>
      <c r="N175" s="621"/>
      <c r="O175" s="621"/>
      <c r="P175" s="621"/>
      <c r="Q175" s="621"/>
      <c r="R175" s="621"/>
      <c r="S175" s="621"/>
      <c r="T175" s="621"/>
      <c r="U175" s="621"/>
    </row>
    <row r="176" spans="2:21" hidden="1" outlineLevel="1">
      <c r="C176" s="399" t="s">
        <v>608</v>
      </c>
      <c r="D176" s="474">
        <v>0.05</v>
      </c>
      <c r="E176" s="352"/>
      <c r="F176" s="400">
        <f>F172*$D$176</f>
        <v>11.592100000000002</v>
      </c>
      <c r="G176" s="400">
        <f>G172*$D$176</f>
        <v>9.7128999999999994</v>
      </c>
      <c r="H176" s="400">
        <f>H172*$D$176</f>
        <v>18.445149999999998</v>
      </c>
      <c r="I176" s="400">
        <f>I172*$D$176</f>
        <v>33.098250000000007</v>
      </c>
      <c r="J176" s="400">
        <f>J172*$D$176</f>
        <v>17.439649999999997</v>
      </c>
      <c r="K176" s="869">
        <f t="shared" ref="K176:N176" si="232">K172*$D$176</f>
        <v>33.16255625482043</v>
      </c>
      <c r="L176" s="826">
        <f t="shared" si="232"/>
        <v>24.822344122909197</v>
      </c>
      <c r="M176" s="826">
        <f t="shared" si="232"/>
        <v>29.053439748138523</v>
      </c>
      <c r="N176" s="826">
        <f t="shared" si="232"/>
        <v>34.411023946830817</v>
      </c>
      <c r="O176" s="826">
        <f t="shared" ref="O176:U176" si="233">O172*$D$176</f>
        <v>39.01063837638867</v>
      </c>
      <c r="P176" s="826">
        <f t="shared" si="233"/>
        <v>44.564419598947708</v>
      </c>
      <c r="Q176" s="826">
        <f t="shared" si="233"/>
        <v>47.23058644968598</v>
      </c>
      <c r="R176" s="826">
        <f t="shared" si="233"/>
        <v>52.690161504553316</v>
      </c>
      <c r="S176" s="826">
        <f t="shared" si="233"/>
        <v>58.659443351657551</v>
      </c>
      <c r="T176" s="826">
        <f t="shared" si="233"/>
        <v>62.685137268807708</v>
      </c>
      <c r="U176" s="826">
        <f t="shared" si="233"/>
        <v>71.024912769325994</v>
      </c>
    </row>
    <row r="177" spans="2:21" hidden="1" outlineLevel="1">
      <c r="C177" s="399" t="s">
        <v>602</v>
      </c>
      <c r="D177" s="406"/>
      <c r="E177" s="352"/>
      <c r="F177" s="352"/>
      <c r="G177" s="368">
        <v>110</v>
      </c>
      <c r="H177" s="368">
        <v>85.599999949999997</v>
      </c>
      <c r="I177" s="400">
        <v>157.21639500000001</v>
      </c>
      <c r="J177" s="400">
        <v>82.837999999999994</v>
      </c>
      <c r="K177" s="869">
        <f>(K172-K176)*K178</f>
        <v>472.56642663119112</v>
      </c>
      <c r="L177" s="826">
        <f t="shared" ref="L177:U177" si="234">(L172-L176)*L178</f>
        <v>117.90613458381867</v>
      </c>
      <c r="M177" s="826">
        <f t="shared" si="234"/>
        <v>469.21305193243711</v>
      </c>
      <c r="N177" s="826">
        <f t="shared" si="234"/>
        <v>555.73803674131773</v>
      </c>
      <c r="O177" s="826">
        <f t="shared" si="234"/>
        <v>630.02180977867692</v>
      </c>
      <c r="P177" s="826">
        <f t="shared" si="234"/>
        <v>719.71537652300549</v>
      </c>
      <c r="Q177" s="826">
        <f t="shared" si="234"/>
        <v>762.77397116242844</v>
      </c>
      <c r="R177" s="826">
        <f t="shared" si="234"/>
        <v>850.94610829853605</v>
      </c>
      <c r="S177" s="826">
        <f t="shared" si="234"/>
        <v>947.35001012926944</v>
      </c>
      <c r="T177" s="826">
        <f t="shared" si="234"/>
        <v>1012.3649668912444</v>
      </c>
      <c r="U177" s="826">
        <f t="shared" si="234"/>
        <v>1147.0523412246148</v>
      </c>
    </row>
    <row r="178" spans="2:21" hidden="1" outlineLevel="1">
      <c r="C178" s="459" t="s">
        <v>594</v>
      </c>
      <c r="D178" s="459"/>
      <c r="E178" s="460"/>
      <c r="F178" s="460"/>
      <c r="G178" s="466">
        <f>G177/(G172+F172-F176-G176)</f>
        <v>0.27174248693783271</v>
      </c>
      <c r="H178" s="466">
        <f>H177/(H172-H176)</f>
        <v>0.24425191203450003</v>
      </c>
      <c r="I178" s="466">
        <f t="shared" ref="I178:J178" si="235">I177/(I172-I176)</f>
        <v>0.24999953487761911</v>
      </c>
      <c r="J178" s="466">
        <f t="shared" si="235"/>
        <v>0.2499989814498631</v>
      </c>
      <c r="K178" s="649">
        <v>0.75</v>
      </c>
      <c r="L178" s="500">
        <v>0.25</v>
      </c>
      <c r="M178" s="500">
        <v>0.85</v>
      </c>
      <c r="N178" s="500">
        <v>0.85</v>
      </c>
      <c r="O178" s="500">
        <f t="shared" ref="O178:S178" si="236">N178</f>
        <v>0.85</v>
      </c>
      <c r="P178" s="500">
        <f t="shared" si="236"/>
        <v>0.85</v>
      </c>
      <c r="Q178" s="500">
        <f t="shared" si="236"/>
        <v>0.85</v>
      </c>
      <c r="R178" s="500">
        <f t="shared" si="236"/>
        <v>0.85</v>
      </c>
      <c r="S178" s="500">
        <f t="shared" si="236"/>
        <v>0.85</v>
      </c>
      <c r="T178" s="500">
        <f>S178</f>
        <v>0.85</v>
      </c>
      <c r="U178" s="500">
        <f>T178</f>
        <v>0.85</v>
      </c>
    </row>
    <row r="179" spans="2:21" collapsed="1">
      <c r="C179" s="406"/>
      <c r="D179" s="406"/>
      <c r="E179" s="352"/>
      <c r="F179" s="352"/>
      <c r="G179" s="368"/>
      <c r="H179" s="368"/>
      <c r="I179" s="362"/>
      <c r="J179" s="362"/>
      <c r="K179" s="640"/>
      <c r="L179" s="386"/>
      <c r="M179" s="386"/>
      <c r="N179" s="465"/>
      <c r="O179" s="386"/>
      <c r="P179" s="386"/>
      <c r="Q179" s="386"/>
      <c r="R179" s="386"/>
      <c r="S179" s="386"/>
      <c r="T179" s="386"/>
      <c r="U179" s="386"/>
    </row>
    <row r="180" spans="2:21">
      <c r="C180" s="406"/>
      <c r="D180" s="406"/>
      <c r="E180" s="352"/>
      <c r="F180" s="352"/>
      <c r="G180" s="368"/>
      <c r="H180" s="368"/>
      <c r="I180" s="362"/>
      <c r="J180" s="362"/>
      <c r="K180" s="640"/>
      <c r="L180" s="386"/>
      <c r="M180" s="906"/>
      <c r="N180" s="465"/>
      <c r="O180" s="386"/>
      <c r="P180" s="386"/>
      <c r="Q180" s="386"/>
      <c r="R180" s="386"/>
      <c r="S180" s="386"/>
      <c r="T180" s="386"/>
      <c r="U180" s="386"/>
    </row>
    <row r="181" spans="2:21">
      <c r="B181" s="420" t="s">
        <v>610</v>
      </c>
      <c r="C181" s="476"/>
      <c r="D181" s="476"/>
      <c r="E181" s="356"/>
      <c r="F181" s="356"/>
      <c r="G181" s="421"/>
      <c r="H181" s="421"/>
      <c r="I181" s="478"/>
      <c r="J181" s="478"/>
      <c r="K181" s="648"/>
      <c r="L181" s="483"/>
      <c r="M181" s="483"/>
      <c r="N181" s="484"/>
      <c r="O181" s="483"/>
      <c r="P181" s="483"/>
      <c r="Q181" s="483"/>
      <c r="R181" s="483"/>
      <c r="S181" s="483"/>
      <c r="T181" s="483"/>
      <c r="U181" s="483"/>
    </row>
    <row r="182" spans="2:21" hidden="1" outlineLevel="1">
      <c r="C182" s="399" t="s">
        <v>470</v>
      </c>
      <c r="D182" s="406"/>
      <c r="E182" s="352"/>
      <c r="F182" s="352"/>
      <c r="G182" s="368"/>
      <c r="H182" s="508">
        <f>G187</f>
        <v>0.122</v>
      </c>
      <c r="I182" s="508">
        <f t="shared" ref="I182:J182" si="237">H187</f>
        <v>0.311</v>
      </c>
      <c r="J182" s="508">
        <f t="shared" si="237"/>
        <v>0.33300000000000002</v>
      </c>
      <c r="K182" s="650">
        <f>J187</f>
        <v>0.35499999999999998</v>
      </c>
      <c r="L182" s="502">
        <f t="shared" ref="L182" si="238">K187</f>
        <v>0.45950892602213</v>
      </c>
      <c r="M182" s="502">
        <f t="shared" ref="M182:Q182" si="239">L187</f>
        <v>0.40301742299646404</v>
      </c>
      <c r="N182" s="502">
        <f t="shared" si="239"/>
        <v>0.50292754876264212</v>
      </c>
      <c r="O182" s="502">
        <f t="shared" si="239"/>
        <v>0.47356048467132517</v>
      </c>
      <c r="P182" s="502">
        <f t="shared" si="239"/>
        <v>0.55898811827579797</v>
      </c>
      <c r="Q182" s="502">
        <f t="shared" si="239"/>
        <v>0.56094575658012313</v>
      </c>
      <c r="R182" s="502">
        <f t="shared" ref="R182:U182" si="240">Q187</f>
        <v>0.60074506786522652</v>
      </c>
      <c r="S182" s="502">
        <f t="shared" si="240"/>
        <v>0.63372000806761142</v>
      </c>
      <c r="T182" s="502">
        <f t="shared" si="240"/>
        <v>0.66609385654006859</v>
      </c>
      <c r="U182" s="502">
        <f t="shared" si="240"/>
        <v>0.71514270089056475</v>
      </c>
    </row>
    <row r="183" spans="2:21" hidden="1" outlineLevel="1">
      <c r="C183" s="399" t="s">
        <v>611</v>
      </c>
      <c r="D183" s="406"/>
      <c r="E183" s="352"/>
      <c r="F183" s="352"/>
      <c r="G183" s="368"/>
      <c r="H183" s="508">
        <f>H163</f>
        <v>-0.22600000000000001</v>
      </c>
      <c r="I183" s="508">
        <f t="shared" ref="I183:J183" si="241">I163</f>
        <v>-0.47099999999999997</v>
      </c>
      <c r="J183" s="508">
        <f t="shared" si="241"/>
        <v>-0.57899999999999996</v>
      </c>
      <c r="K183" s="650">
        <f>K184*K182</f>
        <v>-0.63900000000000001</v>
      </c>
      <c r="L183" s="502">
        <f t="shared" ref="L183" si="242">L184*L182</f>
        <v>-0.82711606683983407</v>
      </c>
      <c r="M183" s="502">
        <f t="shared" ref="M183" si="243">M184*M182</f>
        <v>-0.72543136139363529</v>
      </c>
      <c r="N183" s="502">
        <f t="shared" ref="N183" si="244">N184*N182</f>
        <v>-0.90526958777275579</v>
      </c>
      <c r="O183" s="502">
        <f t="shared" ref="O183" si="245">O184*O182</f>
        <v>-0.85240887240838537</v>
      </c>
      <c r="P183" s="502">
        <f t="shared" ref="P183" si="246">P184*P182</f>
        <v>-1.0061786128964363</v>
      </c>
      <c r="Q183" s="502">
        <f t="shared" ref="Q183" si="247">Q184*Q182</f>
        <v>-1.0097023618442216</v>
      </c>
      <c r="R183" s="502">
        <f t="shared" ref="R183" si="248">R184*R182</f>
        <v>-1.0813411221574079</v>
      </c>
      <c r="S183" s="502">
        <f t="shared" ref="S183" si="249">S184*S182</f>
        <v>-1.1406960145217007</v>
      </c>
      <c r="T183" s="502">
        <f t="shared" ref="T183" si="250">T184*T182</f>
        <v>-1.1989689417721234</v>
      </c>
      <c r="U183" s="502">
        <f t="shared" ref="U183" si="251">U184*U182</f>
        <v>-1.2872568616030167</v>
      </c>
    </row>
    <row r="184" spans="2:21" hidden="1" outlineLevel="1">
      <c r="C184" s="352" t="s">
        <v>614</v>
      </c>
      <c r="D184" s="406"/>
      <c r="E184" s="352"/>
      <c r="F184" s="352"/>
      <c r="G184" s="368"/>
      <c r="H184" s="464">
        <f>H183/H182</f>
        <v>-1.8524590163934427</v>
      </c>
      <c r="I184" s="464">
        <f t="shared" ref="I184:J184" si="252">I183/I182</f>
        <v>-1.5144694533762058</v>
      </c>
      <c r="J184" s="464">
        <f t="shared" si="252"/>
        <v>-1.7387387387387385</v>
      </c>
      <c r="K184" s="651">
        <f>-180%</f>
        <v>-1.8</v>
      </c>
      <c r="L184" s="464">
        <f t="shared" ref="L184:U184" si="253">-180%</f>
        <v>-1.8</v>
      </c>
      <c r="M184" s="464">
        <f t="shared" si="253"/>
        <v>-1.8</v>
      </c>
      <c r="N184" s="464">
        <f t="shared" si="253"/>
        <v>-1.8</v>
      </c>
      <c r="O184" s="464">
        <f t="shared" si="253"/>
        <v>-1.8</v>
      </c>
      <c r="P184" s="464">
        <f t="shared" si="253"/>
        <v>-1.8</v>
      </c>
      <c r="Q184" s="464">
        <f t="shared" si="253"/>
        <v>-1.8</v>
      </c>
      <c r="R184" s="464">
        <f t="shared" si="253"/>
        <v>-1.8</v>
      </c>
      <c r="S184" s="464">
        <f t="shared" si="253"/>
        <v>-1.8</v>
      </c>
      <c r="T184" s="464">
        <f t="shared" si="253"/>
        <v>-1.8</v>
      </c>
      <c r="U184" s="464">
        <f t="shared" si="253"/>
        <v>-1.8</v>
      </c>
    </row>
    <row r="185" spans="2:21" s="392" customFormat="1" hidden="1" outlineLevel="1">
      <c r="C185" s="399" t="s">
        <v>612</v>
      </c>
      <c r="D185" s="406"/>
      <c r="G185" s="486"/>
      <c r="H185" s="509">
        <f>H187-H183-H182</f>
        <v>0.41500000000000004</v>
      </c>
      <c r="I185" s="509">
        <f t="shared" ref="I185:J185" si="254">I187-I183-I182</f>
        <v>0.49300000000000005</v>
      </c>
      <c r="J185" s="509">
        <f t="shared" si="254"/>
        <v>0.60099999999999998</v>
      </c>
      <c r="K185" s="652">
        <f>K186*K146</f>
        <v>0.74350892602213003</v>
      </c>
      <c r="L185" s="508">
        <f>L186*L146</f>
        <v>0.77062456381416811</v>
      </c>
      <c r="M185" s="508">
        <f t="shared" ref="M185:P185" si="255">M186*M146</f>
        <v>0.82534148715981337</v>
      </c>
      <c r="N185" s="508">
        <f t="shared" si="255"/>
        <v>0.87590252368143884</v>
      </c>
      <c r="O185" s="508">
        <f t="shared" si="255"/>
        <v>0.93783650601285817</v>
      </c>
      <c r="P185" s="508">
        <f t="shared" si="255"/>
        <v>1.0081362512007614</v>
      </c>
      <c r="Q185" s="508">
        <f>Q186*Q146</f>
        <v>1.049501673129325</v>
      </c>
      <c r="R185" s="508">
        <f t="shared" ref="R185" si="256">R186*R146</f>
        <v>1.1143160623597927</v>
      </c>
      <c r="S185" s="508">
        <f t="shared" ref="S185" si="257">S186*S146</f>
        <v>1.1730698629941578</v>
      </c>
      <c r="T185" s="508">
        <f t="shared" ref="T185" si="258">T186*T146</f>
        <v>1.2480177861226196</v>
      </c>
      <c r="U185" s="508">
        <f t="shared" ref="U185" si="259">U186*U146</f>
        <v>1.3285792600098945</v>
      </c>
    </row>
    <row r="186" spans="2:21" hidden="1" outlineLevel="1">
      <c r="B186" s="356"/>
      <c r="C186" s="485" t="s">
        <v>615</v>
      </c>
      <c r="D186" s="476"/>
      <c r="E186" s="356"/>
      <c r="F186" s="356"/>
      <c r="G186" s="421"/>
      <c r="H186" s="314">
        <f t="shared" ref="H186:I186" si="260">H185/H146</f>
        <v>4.0979559593166785E-2</v>
      </c>
      <c r="I186" s="314">
        <f t="shared" si="260"/>
        <v>3.010870892878955E-2</v>
      </c>
      <c r="J186" s="314">
        <f>J185/J146</f>
        <v>3.1373982042179997E-2</v>
      </c>
      <c r="K186" s="653">
        <v>0.03</v>
      </c>
      <c r="L186" s="487">
        <f>K186</f>
        <v>0.03</v>
      </c>
      <c r="M186" s="487">
        <f t="shared" ref="M186:P186" si="261">L186</f>
        <v>0.03</v>
      </c>
      <c r="N186" s="487">
        <f t="shared" si="261"/>
        <v>0.03</v>
      </c>
      <c r="O186" s="487">
        <f t="shared" si="261"/>
        <v>0.03</v>
      </c>
      <c r="P186" s="487">
        <f t="shared" si="261"/>
        <v>0.03</v>
      </c>
      <c r="Q186" s="487">
        <f>P186</f>
        <v>0.03</v>
      </c>
      <c r="R186" s="487">
        <f t="shared" ref="R186:U186" si="262">Q186</f>
        <v>0.03</v>
      </c>
      <c r="S186" s="487">
        <f t="shared" si="262"/>
        <v>0.03</v>
      </c>
      <c r="T186" s="487">
        <f t="shared" si="262"/>
        <v>0.03</v>
      </c>
      <c r="U186" s="487">
        <f t="shared" si="262"/>
        <v>0.03</v>
      </c>
    </row>
    <row r="187" spans="2:21" hidden="1" outlineLevel="1">
      <c r="C187" s="401" t="s">
        <v>613</v>
      </c>
      <c r="D187" s="473"/>
      <c r="E187" s="371"/>
      <c r="F187" s="371"/>
      <c r="G187" s="413">
        <f>G205</f>
        <v>0.122</v>
      </c>
      <c r="H187" s="510">
        <f t="shared" ref="H187:J187" si="263">H205</f>
        <v>0.311</v>
      </c>
      <c r="I187" s="510">
        <f t="shared" si="263"/>
        <v>0.33300000000000002</v>
      </c>
      <c r="J187" s="510">
        <f t="shared" si="263"/>
        <v>0.35499999999999998</v>
      </c>
      <c r="K187" s="654">
        <f>K182+K183+K185</f>
        <v>0.45950892602213</v>
      </c>
      <c r="L187" s="510">
        <f t="shared" ref="L187" si="264">L182+L183+L185</f>
        <v>0.40301742299646404</v>
      </c>
      <c r="M187" s="510">
        <f t="shared" ref="M187" si="265">M182+M183+M185</f>
        <v>0.50292754876264212</v>
      </c>
      <c r="N187" s="510">
        <f t="shared" ref="N187" si="266">N182+N183+N185</f>
        <v>0.47356048467132517</v>
      </c>
      <c r="O187" s="510">
        <f t="shared" ref="O187" si="267">O182+O183+O185</f>
        <v>0.55898811827579797</v>
      </c>
      <c r="P187" s="510">
        <f t="shared" ref="P187" si="268">P182+P183+P185</f>
        <v>0.56094575658012313</v>
      </c>
      <c r="Q187" s="510">
        <f t="shared" ref="Q187" si="269">Q182+Q183+Q185</f>
        <v>0.60074506786522652</v>
      </c>
      <c r="R187" s="510">
        <f t="shared" ref="R187" si="270">R182+R183+R185</f>
        <v>0.63372000806761142</v>
      </c>
      <c r="S187" s="510">
        <f t="shared" ref="S187" si="271">S182+S183+S185</f>
        <v>0.66609385654006859</v>
      </c>
      <c r="T187" s="510">
        <f t="shared" ref="T187" si="272">T182+T183+T185</f>
        <v>0.71514270089056475</v>
      </c>
      <c r="U187" s="510">
        <f t="shared" ref="U187" si="273">U182+U183+U185</f>
        <v>0.75646509929744254</v>
      </c>
    </row>
    <row r="188" spans="2:21" collapsed="1">
      <c r="C188" s="406"/>
      <c r="D188" s="406"/>
      <c r="E188" s="352"/>
      <c r="F188" s="352"/>
      <c r="G188" s="368"/>
      <c r="H188" s="368"/>
      <c r="I188" s="362"/>
      <c r="J188" s="362"/>
      <c r="K188" s="640"/>
      <c r="L188" s="386"/>
      <c r="M188" s="386"/>
      <c r="N188" s="465"/>
      <c r="O188" s="386"/>
      <c r="P188" s="386"/>
      <c r="Q188" s="386"/>
      <c r="R188" s="386"/>
      <c r="S188" s="386"/>
      <c r="T188" s="386"/>
      <c r="U188" s="386"/>
    </row>
    <row r="189" spans="2:21">
      <c r="C189" s="406"/>
      <c r="D189" s="406"/>
      <c r="E189" s="352"/>
      <c r="F189" s="352"/>
      <c r="G189" s="368"/>
      <c r="H189" s="368"/>
      <c r="I189" s="362"/>
      <c r="J189" s="366"/>
      <c r="K189" s="651"/>
      <c r="L189" s="386"/>
      <c r="M189" s="386"/>
      <c r="N189" s="465"/>
      <c r="O189" s="386"/>
      <c r="P189" s="386"/>
      <c r="Q189" s="386"/>
      <c r="R189" s="386"/>
      <c r="S189" s="386"/>
      <c r="T189" s="386"/>
      <c r="U189" s="386"/>
    </row>
    <row r="190" spans="2:21">
      <c r="C190" s="320"/>
      <c r="D190" s="320"/>
      <c r="E190" s="352"/>
      <c r="F190" s="352"/>
      <c r="G190" s="368"/>
      <c r="H190" s="368"/>
      <c r="I190" s="320"/>
      <c r="J190" s="320"/>
      <c r="K190" s="640"/>
      <c r="L190" s="386"/>
      <c r="M190" s="386"/>
      <c r="N190" s="386"/>
      <c r="O190" s="386"/>
      <c r="P190" s="386"/>
      <c r="Q190" s="386"/>
      <c r="R190" s="386"/>
      <c r="S190" s="386"/>
      <c r="T190" s="386"/>
      <c r="U190" s="386"/>
    </row>
    <row r="191" spans="2:21">
      <c r="C191" s="397" t="s">
        <v>529</v>
      </c>
      <c r="D191" s="350"/>
      <c r="E191" s="351">
        <v>2006</v>
      </c>
      <c r="F191" s="351">
        <v>2007</v>
      </c>
      <c r="G191" s="351">
        <v>2008</v>
      </c>
      <c r="H191" s="351">
        <v>2009</v>
      </c>
      <c r="I191" s="398">
        <v>2010</v>
      </c>
      <c r="J191" s="398">
        <v>2011</v>
      </c>
      <c r="K191" s="644">
        <v>2012</v>
      </c>
      <c r="L191" s="398">
        <v>2013</v>
      </c>
      <c r="M191" s="398">
        <v>2014</v>
      </c>
      <c r="N191" s="398">
        <v>2015</v>
      </c>
      <c r="O191" s="398">
        <v>2016</v>
      </c>
      <c r="P191" s="398">
        <v>2017</v>
      </c>
      <c r="Q191" s="398">
        <v>2018</v>
      </c>
      <c r="R191" s="398">
        <v>2019</v>
      </c>
      <c r="S191" s="398">
        <v>2020</v>
      </c>
      <c r="T191" s="398">
        <v>2021</v>
      </c>
      <c r="U191" s="398">
        <v>2022</v>
      </c>
    </row>
    <row r="192" spans="2:21">
      <c r="C192" s="445"/>
      <c r="D192" s="446"/>
      <c r="E192" s="352"/>
      <c r="F192" s="352"/>
      <c r="G192" s="368"/>
      <c r="H192" s="368"/>
      <c r="I192" s="447"/>
      <c r="J192" s="447"/>
      <c r="K192" s="655"/>
      <c r="L192" s="447"/>
      <c r="M192" s="447"/>
      <c r="N192" s="447"/>
      <c r="O192" s="447"/>
      <c r="P192" s="447"/>
      <c r="Q192" s="447"/>
      <c r="R192" s="447"/>
      <c r="S192" s="447"/>
      <c r="T192" s="447"/>
      <c r="U192" s="447"/>
    </row>
    <row r="193" spans="3:27">
      <c r="C193" s="401" t="s">
        <v>589</v>
      </c>
      <c r="D193" s="320"/>
      <c r="E193" s="461"/>
      <c r="F193" s="461"/>
      <c r="G193" s="505">
        <f>SUM(G194,G195,G196,G197,G198,G199)</f>
        <v>107.84099999999999</v>
      </c>
      <c r="H193" s="505">
        <f t="shared" ref="H193:I193" si="274">SUM(H194,H195,H196,H197,H198,H199)</f>
        <v>55.419000000000004</v>
      </c>
      <c r="I193" s="505">
        <f t="shared" si="274"/>
        <v>61.699999999999996</v>
      </c>
      <c r="J193" s="505">
        <f>SUM(J194,J195,J196,J197,J198,J199)</f>
        <v>41.372999999999998</v>
      </c>
      <c r="K193" s="656">
        <f t="shared" ref="K193:U193" si="275">SUM(K194,K195,K196,K197,K198,K199)</f>
        <v>188.16130600214302</v>
      </c>
      <c r="L193" s="512">
        <f t="shared" si="275"/>
        <v>219.61386052920437</v>
      </c>
      <c r="M193" s="512">
        <f t="shared" si="275"/>
        <v>217.47440833626877</v>
      </c>
      <c r="N193" s="512">
        <f t="shared" si="275"/>
        <v>184.89987702950941</v>
      </c>
      <c r="O193" s="512">
        <f t="shared" si="275"/>
        <v>199.4197601836641</v>
      </c>
      <c r="P193" s="512">
        <f t="shared" si="275"/>
        <v>218.34501792093505</v>
      </c>
      <c r="Q193" s="512">
        <f t="shared" si="275"/>
        <v>231.77026705736824</v>
      </c>
      <c r="R193" s="512">
        <f t="shared" si="275"/>
        <v>255.33575795753421</v>
      </c>
      <c r="S193" s="512">
        <f t="shared" si="275"/>
        <v>282.27522793938766</v>
      </c>
      <c r="T193" s="512">
        <f t="shared" si="275"/>
        <v>304.66781166443769</v>
      </c>
      <c r="U193" s="512">
        <f t="shared" si="275"/>
        <v>341.30735557329302</v>
      </c>
    </row>
    <row r="194" spans="3:27">
      <c r="C194" s="320" t="s">
        <v>576</v>
      </c>
      <c r="D194" s="320"/>
      <c r="E194" s="346"/>
      <c r="F194" s="346"/>
      <c r="G194" s="506">
        <v>0.622</v>
      </c>
      <c r="H194" s="506">
        <v>4.5439999999999996</v>
      </c>
      <c r="I194" s="506">
        <v>1.6879999999999999</v>
      </c>
      <c r="J194" s="506">
        <v>13.125</v>
      </c>
      <c r="K194" s="657">
        <v>4</v>
      </c>
      <c r="L194" s="511">
        <f t="shared" ref="L194:U194" si="276">K194</f>
        <v>4</v>
      </c>
      <c r="M194" s="511">
        <f t="shared" si="276"/>
        <v>4</v>
      </c>
      <c r="N194" s="511">
        <f t="shared" si="276"/>
        <v>4</v>
      </c>
      <c r="O194" s="511">
        <f t="shared" si="276"/>
        <v>4</v>
      </c>
      <c r="P194" s="511">
        <f t="shared" si="276"/>
        <v>4</v>
      </c>
      <c r="Q194" s="511">
        <f t="shared" si="276"/>
        <v>4</v>
      </c>
      <c r="R194" s="511">
        <f t="shared" si="276"/>
        <v>4</v>
      </c>
      <c r="S194" s="511">
        <f t="shared" si="276"/>
        <v>4</v>
      </c>
      <c r="T194" s="511">
        <f t="shared" si="276"/>
        <v>4</v>
      </c>
      <c r="U194" s="511">
        <f t="shared" si="276"/>
        <v>4</v>
      </c>
    </row>
    <row r="195" spans="3:27">
      <c r="C195" s="37" t="s">
        <v>490</v>
      </c>
      <c r="D195" s="320"/>
      <c r="E195" s="346"/>
      <c r="F195" s="346"/>
      <c r="G195" s="506">
        <v>54.295000000000002</v>
      </c>
      <c r="H195" s="506">
        <v>8.5030000000000001</v>
      </c>
      <c r="I195" s="506">
        <v>0</v>
      </c>
      <c r="J195" s="506">
        <v>0</v>
      </c>
      <c r="K195" s="658">
        <f t="shared" ref="K195:U195" si="277">MAX(0,SUM(K210,K212:K216,K217,K220)-SUM(K194,K196:K199,K200,K203))</f>
        <v>26.368861617572747</v>
      </c>
      <c r="L195" s="514">
        <f t="shared" si="277"/>
        <v>131.81208406667383</v>
      </c>
      <c r="M195" s="514">
        <f t="shared" si="277"/>
        <v>122.33162064465296</v>
      </c>
      <c r="N195" s="514">
        <f t="shared" si="277"/>
        <v>68.583035102266876</v>
      </c>
      <c r="O195" s="514">
        <f t="shared" si="277"/>
        <v>79.531194686038816</v>
      </c>
      <c r="P195" s="514">
        <f t="shared" si="277"/>
        <v>80.637931822839164</v>
      </c>
      <c r="Q195" s="514">
        <f t="shared" si="277"/>
        <v>124.70933067536998</v>
      </c>
      <c r="R195" s="514">
        <f t="shared" si="277"/>
        <v>124.70870295431541</v>
      </c>
      <c r="S195" s="514">
        <f t="shared" si="277"/>
        <v>136.04466205108292</v>
      </c>
      <c r="T195" s="514">
        <f t="shared" si="277"/>
        <v>160.94540114201027</v>
      </c>
      <c r="U195" s="514">
        <f t="shared" si="277"/>
        <v>158.25496009864219</v>
      </c>
    </row>
    <row r="196" spans="3:27">
      <c r="C196" s="37" t="s">
        <v>604</v>
      </c>
      <c r="D196" s="320"/>
      <c r="E196" s="346"/>
      <c r="F196" s="346"/>
      <c r="G196" s="506">
        <v>0</v>
      </c>
      <c r="H196" s="506">
        <v>6.0999999999999999E-2</v>
      </c>
      <c r="I196" s="506">
        <v>0</v>
      </c>
      <c r="J196" s="506">
        <v>2.7E-2</v>
      </c>
      <c r="K196" s="657">
        <f>J196</f>
        <v>2.7E-2</v>
      </c>
      <c r="L196" s="511">
        <f t="shared" ref="L196:U196" si="278">K196</f>
        <v>2.7E-2</v>
      </c>
      <c r="M196" s="511">
        <f t="shared" si="278"/>
        <v>2.7E-2</v>
      </c>
      <c r="N196" s="511">
        <f t="shared" si="278"/>
        <v>2.7E-2</v>
      </c>
      <c r="O196" s="511">
        <f t="shared" si="278"/>
        <v>2.7E-2</v>
      </c>
      <c r="P196" s="511">
        <f t="shared" si="278"/>
        <v>2.7E-2</v>
      </c>
      <c r="Q196" s="511">
        <f t="shared" si="278"/>
        <v>2.7E-2</v>
      </c>
      <c r="R196" s="511">
        <f t="shared" si="278"/>
        <v>2.7E-2</v>
      </c>
      <c r="S196" s="511">
        <f t="shared" si="278"/>
        <v>2.7E-2</v>
      </c>
      <c r="T196" s="511">
        <f t="shared" si="278"/>
        <v>2.7E-2</v>
      </c>
      <c r="U196" s="511">
        <f t="shared" si="278"/>
        <v>2.7E-2</v>
      </c>
    </row>
    <row r="197" spans="3:27">
      <c r="C197" s="320" t="s">
        <v>578</v>
      </c>
      <c r="D197" s="320"/>
      <c r="E197" s="346"/>
      <c r="F197" s="346"/>
      <c r="G197" s="506">
        <v>1.7090000000000001</v>
      </c>
      <c r="H197" s="506">
        <v>1.738</v>
      </c>
      <c r="I197" s="506">
        <v>12.154</v>
      </c>
      <c r="J197" s="506">
        <v>9.3919999999999995</v>
      </c>
      <c r="K197" s="657">
        <v>0</v>
      </c>
      <c r="L197" s="511">
        <v>0</v>
      </c>
      <c r="M197" s="511">
        <f t="shared" ref="M197:U197" si="279">L197</f>
        <v>0</v>
      </c>
      <c r="N197" s="511">
        <f t="shared" si="279"/>
        <v>0</v>
      </c>
      <c r="O197" s="511">
        <f t="shared" si="279"/>
        <v>0</v>
      </c>
      <c r="P197" s="511">
        <v>0</v>
      </c>
      <c r="Q197" s="511">
        <v>0</v>
      </c>
      <c r="R197" s="511">
        <f t="shared" si="279"/>
        <v>0</v>
      </c>
      <c r="S197" s="511">
        <f t="shared" si="279"/>
        <v>0</v>
      </c>
      <c r="T197" s="511">
        <f t="shared" si="279"/>
        <v>0</v>
      </c>
      <c r="U197" s="511">
        <f t="shared" si="279"/>
        <v>0</v>
      </c>
    </row>
    <row r="198" spans="3:27">
      <c r="C198" s="320" t="s">
        <v>579</v>
      </c>
      <c r="D198" s="320"/>
      <c r="E198" s="346"/>
      <c r="F198" s="346"/>
      <c r="G198" s="506">
        <v>51.112000000000002</v>
      </c>
      <c r="H198" s="506">
        <v>40.548000000000002</v>
      </c>
      <c r="I198" s="506">
        <v>47.857999999999997</v>
      </c>
      <c r="J198" s="506">
        <v>8.6790000000000003</v>
      </c>
      <c r="K198" s="657">
        <f>K138-K140</f>
        <v>157.76544438457029</v>
      </c>
      <c r="L198" s="511">
        <f t="shared" ref="L198:U198" si="280">L138-L140</f>
        <v>83.774776462530554</v>
      </c>
      <c r="M198" s="511">
        <f t="shared" si="280"/>
        <v>91.115787691615822</v>
      </c>
      <c r="N198" s="511">
        <f t="shared" si="280"/>
        <v>112.28984192724255</v>
      </c>
      <c r="O198" s="511">
        <f t="shared" si="280"/>
        <v>115.86156549762529</v>
      </c>
      <c r="P198" s="511">
        <f>P138-P140</f>
        <v>133.6800860980959</v>
      </c>
      <c r="Q198" s="511">
        <f t="shared" si="280"/>
        <v>103.03393638199827</v>
      </c>
      <c r="R198" s="511">
        <f t="shared" si="280"/>
        <v>126.60005500321881</v>
      </c>
      <c r="S198" s="511">
        <f>S138-S140</f>
        <v>142.20356588830475</v>
      </c>
      <c r="T198" s="511">
        <f t="shared" si="280"/>
        <v>139.69541052242744</v>
      </c>
      <c r="U198" s="511">
        <f t="shared" si="280"/>
        <v>179.02539547465085</v>
      </c>
    </row>
    <row r="199" spans="3:27">
      <c r="C199" s="320" t="s">
        <v>580</v>
      </c>
      <c r="D199" s="320"/>
      <c r="E199" s="346"/>
      <c r="F199" s="346"/>
      <c r="G199" s="506">
        <v>0.10299999999999999</v>
      </c>
      <c r="H199" s="506">
        <v>2.5000000000000001E-2</v>
      </c>
      <c r="I199" s="506">
        <v>0</v>
      </c>
      <c r="J199" s="506">
        <v>10.15</v>
      </c>
      <c r="K199" s="657">
        <v>0</v>
      </c>
      <c r="L199" s="511">
        <f>K199</f>
        <v>0</v>
      </c>
      <c r="M199" s="511">
        <f t="shared" ref="M199:U199" si="281">L199</f>
        <v>0</v>
      </c>
      <c r="N199" s="511">
        <f t="shared" si="281"/>
        <v>0</v>
      </c>
      <c r="O199" s="511">
        <f t="shared" si="281"/>
        <v>0</v>
      </c>
      <c r="P199" s="511">
        <f t="shared" si="281"/>
        <v>0</v>
      </c>
      <c r="Q199" s="511">
        <f t="shared" si="281"/>
        <v>0</v>
      </c>
      <c r="R199" s="511">
        <f t="shared" si="281"/>
        <v>0</v>
      </c>
      <c r="S199" s="511">
        <f t="shared" si="281"/>
        <v>0</v>
      </c>
      <c r="T199" s="511">
        <f t="shared" si="281"/>
        <v>0</v>
      </c>
      <c r="U199" s="511">
        <f t="shared" si="281"/>
        <v>0</v>
      </c>
    </row>
    <row r="200" spans="3:27">
      <c r="C200" s="401" t="s">
        <v>590</v>
      </c>
      <c r="D200" s="320"/>
      <c r="E200" s="346"/>
      <c r="F200" s="346"/>
      <c r="G200" s="505">
        <f t="shared" ref="G200:H200" si="282">SUM(G201,G202)</f>
        <v>7.7510000000000003</v>
      </c>
      <c r="H200" s="505">
        <f t="shared" si="282"/>
        <v>6.1470000000000002</v>
      </c>
      <c r="I200" s="505">
        <f>SUM(I201,I202)</f>
        <v>3.0500000000000003</v>
      </c>
      <c r="J200" s="505">
        <f>SUM(J201,J202)</f>
        <v>3.0760000000000001</v>
      </c>
      <c r="K200" s="656">
        <f t="shared" ref="K200:U200" si="283">SUM(K201,K202)</f>
        <v>3.0760000000000001</v>
      </c>
      <c r="L200" s="512">
        <f t="shared" si="283"/>
        <v>3.0760000000000001</v>
      </c>
      <c r="M200" s="512">
        <f t="shared" si="283"/>
        <v>3.0760000000000001</v>
      </c>
      <c r="N200" s="512">
        <f t="shared" si="283"/>
        <v>3.0760000000000001</v>
      </c>
      <c r="O200" s="512">
        <f t="shared" si="283"/>
        <v>3.0760000000000001</v>
      </c>
      <c r="P200" s="512">
        <f t="shared" si="283"/>
        <v>3.0760000000000001</v>
      </c>
      <c r="Q200" s="512">
        <f t="shared" si="283"/>
        <v>3.0760000000000001</v>
      </c>
      <c r="R200" s="512">
        <f t="shared" si="283"/>
        <v>3.0760000000000001</v>
      </c>
      <c r="S200" s="512">
        <f t="shared" si="283"/>
        <v>3.0760000000000001</v>
      </c>
      <c r="T200" s="512">
        <f t="shared" si="283"/>
        <v>3.0760000000000001</v>
      </c>
      <c r="U200" s="512">
        <f t="shared" si="283"/>
        <v>3.0760000000000001</v>
      </c>
      <c r="AA200" s="464"/>
    </row>
    <row r="201" spans="3:27">
      <c r="C201" s="320" t="s">
        <v>581</v>
      </c>
      <c r="D201" s="320"/>
      <c r="E201" s="346"/>
      <c r="F201" s="346"/>
      <c r="G201" s="506">
        <v>0.107</v>
      </c>
      <c r="H201" s="506">
        <v>0.107</v>
      </c>
      <c r="I201" s="506">
        <v>0.107</v>
      </c>
      <c r="J201" s="506">
        <v>0.107</v>
      </c>
      <c r="K201" s="657">
        <f>J201</f>
        <v>0.107</v>
      </c>
      <c r="L201" s="511">
        <f t="shared" ref="L201:U202" si="284">K201</f>
        <v>0.107</v>
      </c>
      <c r="M201" s="511">
        <f t="shared" si="284"/>
        <v>0.107</v>
      </c>
      <c r="N201" s="511">
        <f t="shared" si="284"/>
        <v>0.107</v>
      </c>
      <c r="O201" s="511">
        <f t="shared" si="284"/>
        <v>0.107</v>
      </c>
      <c r="P201" s="511">
        <f t="shared" si="284"/>
        <v>0.107</v>
      </c>
      <c r="Q201" s="511">
        <f t="shared" si="284"/>
        <v>0.107</v>
      </c>
      <c r="R201" s="511">
        <f t="shared" si="284"/>
        <v>0.107</v>
      </c>
      <c r="S201" s="511">
        <f t="shared" si="284"/>
        <v>0.107</v>
      </c>
      <c r="T201" s="511">
        <f t="shared" si="284"/>
        <v>0.107</v>
      </c>
      <c r="U201" s="511">
        <f t="shared" si="284"/>
        <v>0.107</v>
      </c>
    </row>
    <row r="202" spans="3:27">
      <c r="C202" s="37" t="s">
        <v>604</v>
      </c>
      <c r="D202" s="320"/>
      <c r="E202" s="346"/>
      <c r="F202" s="346"/>
      <c r="G202" s="506">
        <v>7.6440000000000001</v>
      </c>
      <c r="H202" s="506">
        <v>6.04</v>
      </c>
      <c r="I202" s="506">
        <v>2.9430000000000001</v>
      </c>
      <c r="J202" s="506">
        <v>2.9689999999999999</v>
      </c>
      <c r="K202" s="657">
        <f>J202</f>
        <v>2.9689999999999999</v>
      </c>
      <c r="L202" s="511">
        <f>K202</f>
        <v>2.9689999999999999</v>
      </c>
      <c r="M202" s="511">
        <f t="shared" si="284"/>
        <v>2.9689999999999999</v>
      </c>
      <c r="N202" s="511">
        <f t="shared" si="284"/>
        <v>2.9689999999999999</v>
      </c>
      <c r="O202" s="511">
        <f t="shared" si="284"/>
        <v>2.9689999999999999</v>
      </c>
      <c r="P202" s="511">
        <f t="shared" si="284"/>
        <v>2.9689999999999999</v>
      </c>
      <c r="Q202" s="511">
        <f t="shared" si="284"/>
        <v>2.9689999999999999</v>
      </c>
      <c r="R202" s="511">
        <f t="shared" si="284"/>
        <v>2.9689999999999999</v>
      </c>
      <c r="S202" s="511">
        <f t="shared" si="284"/>
        <v>2.9689999999999999</v>
      </c>
      <c r="T202" s="511">
        <f t="shared" si="284"/>
        <v>2.9689999999999999</v>
      </c>
      <c r="U202" s="511">
        <f t="shared" si="284"/>
        <v>2.9689999999999999</v>
      </c>
    </row>
    <row r="203" spans="3:27">
      <c r="C203" s="1" t="s">
        <v>537</v>
      </c>
      <c r="D203" s="320"/>
      <c r="E203" s="346"/>
      <c r="F203" s="346"/>
      <c r="G203" s="505">
        <f t="shared" ref="G203:H203" si="285">SUM(G204,G205,G206)</f>
        <v>1105.7220000000002</v>
      </c>
      <c r="H203" s="505">
        <f t="shared" si="285"/>
        <v>1328.694</v>
      </c>
      <c r="I203" s="505">
        <f>SUM(I204,I205,I206)</f>
        <v>2139.6320000000001</v>
      </c>
      <c r="J203" s="505">
        <f>SUM(J204,J205,J206)</f>
        <v>2409.0459999999998</v>
      </c>
      <c r="K203" s="656">
        <f t="shared" ref="K203:U203" si="286">SUM(K204,K205,K206)</f>
        <v>2441.9265982367165</v>
      </c>
      <c r="L203" s="512">
        <f t="shared" si="286"/>
        <v>2544.0615981221349</v>
      </c>
      <c r="M203" s="512">
        <f t="shared" si="286"/>
        <v>2657.2427388235124</v>
      </c>
      <c r="N203" s="512">
        <f t="shared" si="286"/>
        <v>2787.7784600469031</v>
      </c>
      <c r="O203" s="512">
        <f t="shared" si="286"/>
        <v>2934.5921005974483</v>
      </c>
      <c r="P203" s="512">
        <f t="shared" si="286"/>
        <v>3100.6938933277752</v>
      </c>
      <c r="Q203" s="512">
        <f t="shared" si="286"/>
        <v>3275.5651912185463</v>
      </c>
      <c r="R203" s="512">
        <f t="shared" si="286"/>
        <v>3468.0826426813264</v>
      </c>
      <c r="S203" s="512">
        <f t="shared" si="286"/>
        <v>3681.4426148779644</v>
      </c>
      <c r="T203" s="512">
        <f t="shared" si="286"/>
        <v>3910.1400531521208</v>
      </c>
      <c r="U203" s="512">
        <f t="shared" si="286"/>
        <v>4167.1495295551767</v>
      </c>
    </row>
    <row r="204" spans="3:27">
      <c r="C204" s="320" t="s">
        <v>365</v>
      </c>
      <c r="D204" s="320"/>
      <c r="E204" s="346"/>
      <c r="F204" s="346"/>
      <c r="G204" s="506">
        <v>1062.9280000000001</v>
      </c>
      <c r="H204" s="506">
        <v>1284.3589999999999</v>
      </c>
      <c r="I204" s="506">
        <v>1925.2090000000001</v>
      </c>
      <c r="J204" s="506">
        <v>2177.4079999999999</v>
      </c>
      <c r="K204" s="657">
        <f>J204+K142-K138</f>
        <v>2210.1840893106946</v>
      </c>
      <c r="L204" s="511">
        <f t="shared" ref="L204:U204" si="287">K204+L142-L138</f>
        <v>2312.3755806991385</v>
      </c>
      <c r="M204" s="511">
        <f t="shared" si="287"/>
        <v>2425.4568112747497</v>
      </c>
      <c r="N204" s="511">
        <f t="shared" si="287"/>
        <v>2556.0218995622317</v>
      </c>
      <c r="O204" s="511">
        <f t="shared" si="287"/>
        <v>2702.7501124791725</v>
      </c>
      <c r="P204" s="511">
        <f t="shared" si="287"/>
        <v>2868.8499475711951</v>
      </c>
      <c r="Q204" s="511">
        <f t="shared" si="287"/>
        <v>3043.681446150681</v>
      </c>
      <c r="R204" s="511">
        <f t="shared" si="287"/>
        <v>3236.165922673259</v>
      </c>
      <c r="S204" s="511">
        <f t="shared" si="287"/>
        <v>3449.4935210214244</v>
      </c>
      <c r="T204" s="511">
        <f t="shared" si="287"/>
        <v>3678.1419104512302</v>
      </c>
      <c r="U204" s="511">
        <f t="shared" si="287"/>
        <v>3935.1100644558792</v>
      </c>
    </row>
    <row r="205" spans="3:27">
      <c r="C205" s="320" t="s">
        <v>423</v>
      </c>
      <c r="D205" s="320"/>
      <c r="E205" s="346"/>
      <c r="F205" s="346"/>
      <c r="G205" s="506">
        <v>0.122</v>
      </c>
      <c r="H205" s="506">
        <v>0.311</v>
      </c>
      <c r="I205" s="506">
        <v>0.33300000000000002</v>
      </c>
      <c r="J205" s="506">
        <v>0.35499999999999998</v>
      </c>
      <c r="K205" s="657">
        <f>K187</f>
        <v>0.45950892602213</v>
      </c>
      <c r="L205" s="511">
        <f t="shared" ref="L205:U205" si="288">L187</f>
        <v>0.40301742299646404</v>
      </c>
      <c r="M205" s="511">
        <f t="shared" si="288"/>
        <v>0.50292754876264212</v>
      </c>
      <c r="N205" s="511">
        <f t="shared" si="288"/>
        <v>0.47356048467132517</v>
      </c>
      <c r="O205" s="511">
        <f t="shared" si="288"/>
        <v>0.55898811827579797</v>
      </c>
      <c r="P205" s="511">
        <f t="shared" si="288"/>
        <v>0.56094575658012313</v>
      </c>
      <c r="Q205" s="511">
        <f t="shared" si="288"/>
        <v>0.60074506786522652</v>
      </c>
      <c r="R205" s="511">
        <f t="shared" si="288"/>
        <v>0.63372000806761142</v>
      </c>
      <c r="S205" s="511">
        <f t="shared" si="288"/>
        <v>0.66609385654006859</v>
      </c>
      <c r="T205" s="511">
        <f t="shared" si="288"/>
        <v>0.71514270089056475</v>
      </c>
      <c r="U205" s="511">
        <f t="shared" si="288"/>
        <v>0.75646509929744254</v>
      </c>
    </row>
    <row r="206" spans="3:27">
      <c r="C206" s="320" t="s">
        <v>394</v>
      </c>
      <c r="D206" s="320"/>
      <c r="E206" s="346"/>
      <c r="F206" s="346"/>
      <c r="G206" s="506">
        <v>42.671999999999997</v>
      </c>
      <c r="H206" s="506">
        <v>44.024000000000001</v>
      </c>
      <c r="I206" s="506">
        <v>214.09</v>
      </c>
      <c r="J206" s="506">
        <v>231.28299999999999</v>
      </c>
      <c r="K206" s="657">
        <f>J206</f>
        <v>231.28299999999999</v>
      </c>
      <c r="L206" s="511">
        <f t="shared" ref="L206:U206" si="289">K206</f>
        <v>231.28299999999999</v>
      </c>
      <c r="M206" s="511">
        <f t="shared" si="289"/>
        <v>231.28299999999999</v>
      </c>
      <c r="N206" s="511">
        <f t="shared" si="289"/>
        <v>231.28299999999999</v>
      </c>
      <c r="O206" s="511">
        <f t="shared" si="289"/>
        <v>231.28299999999999</v>
      </c>
      <c r="P206" s="511">
        <f t="shared" si="289"/>
        <v>231.28299999999999</v>
      </c>
      <c r="Q206" s="511">
        <f t="shared" si="289"/>
        <v>231.28299999999999</v>
      </c>
      <c r="R206" s="511">
        <f t="shared" si="289"/>
        <v>231.28299999999999</v>
      </c>
      <c r="S206" s="511">
        <f t="shared" si="289"/>
        <v>231.28299999999999</v>
      </c>
      <c r="T206" s="511">
        <f t="shared" si="289"/>
        <v>231.28299999999999</v>
      </c>
      <c r="U206" s="511">
        <f t="shared" si="289"/>
        <v>231.28299999999999</v>
      </c>
    </row>
    <row r="207" spans="3:27">
      <c r="C207" s="448" t="s">
        <v>324</v>
      </c>
      <c r="D207" s="449"/>
      <c r="E207" s="450"/>
      <c r="F207" s="462"/>
      <c r="G207" s="515">
        <f>G203+G200+G193</f>
        <v>1221.3140000000001</v>
      </c>
      <c r="H207" s="462">
        <f t="shared" ref="H207" si="290">H203+H200+H193</f>
        <v>1390.26</v>
      </c>
      <c r="I207" s="462">
        <f>I203+I200+I193</f>
        <v>2204.3820000000001</v>
      </c>
      <c r="J207" s="462">
        <f>J203+J200+J193</f>
        <v>2453.4949999999999</v>
      </c>
      <c r="K207" s="659">
        <f t="shared" ref="K207:U207" si="291">K203+K200+K193</f>
        <v>2633.1639042388597</v>
      </c>
      <c r="L207" s="462">
        <f t="shared" si="291"/>
        <v>2766.7514586513394</v>
      </c>
      <c r="M207" s="462">
        <f t="shared" si="291"/>
        <v>2877.7931471597813</v>
      </c>
      <c r="N207" s="462">
        <f t="shared" si="291"/>
        <v>2975.7543370764124</v>
      </c>
      <c r="O207" s="462">
        <f t="shared" si="291"/>
        <v>3137.0878607811123</v>
      </c>
      <c r="P207" s="462">
        <f t="shared" si="291"/>
        <v>3322.1149112487101</v>
      </c>
      <c r="Q207" s="462">
        <f t="shared" si="291"/>
        <v>3510.4114582759144</v>
      </c>
      <c r="R207" s="462">
        <f t="shared" si="291"/>
        <v>3726.4944006388605</v>
      </c>
      <c r="S207" s="462">
        <f t="shared" si="291"/>
        <v>3966.793842817352</v>
      </c>
      <c r="T207" s="462">
        <f t="shared" si="291"/>
        <v>4217.8838648165583</v>
      </c>
      <c r="U207" s="462">
        <f t="shared" si="291"/>
        <v>4511.5328851284694</v>
      </c>
    </row>
    <row r="208" spans="3:27">
      <c r="C208" s="320"/>
      <c r="D208" s="320"/>
      <c r="E208" s="120"/>
      <c r="F208" s="120"/>
      <c r="G208" s="516"/>
      <c r="H208" s="516"/>
      <c r="I208" s="506"/>
      <c r="J208" s="506"/>
      <c r="K208" s="660"/>
      <c r="L208" s="506"/>
      <c r="M208" s="506"/>
      <c r="N208" s="506"/>
      <c r="O208" s="506"/>
      <c r="P208" s="506"/>
      <c r="Q208" s="506"/>
      <c r="R208" s="506"/>
      <c r="S208" s="506"/>
      <c r="T208" s="506"/>
      <c r="U208" s="506"/>
    </row>
    <row r="209" spans="3:21">
      <c r="C209" s="1" t="s">
        <v>325</v>
      </c>
      <c r="D209" s="320"/>
      <c r="E209" s="443"/>
      <c r="F209" s="461"/>
      <c r="G209" s="505">
        <f t="shared" ref="G209:I209" si="292">SUM(G210,G212,G213,G214,G215,G216)</f>
        <v>102.46199999999999</v>
      </c>
      <c r="H209" s="505">
        <f t="shared" si="292"/>
        <v>50.534999999999997</v>
      </c>
      <c r="I209" s="505">
        <f t="shared" si="292"/>
        <v>207.017</v>
      </c>
      <c r="J209" s="505">
        <f>SUM(J210,J212,J213,J214,J215,J216)</f>
        <v>94.632999999999996</v>
      </c>
      <c r="K209" s="656">
        <f>SUM(K210,K211,K212,K213,K214,K215,K216)</f>
        <v>252.88729732801204</v>
      </c>
      <c r="L209" s="512">
        <f t="shared" ref="L209:U209" si="293">SUM(L210,L211,L212,L213,L214,L215,L216)</f>
        <v>73.813253520906144</v>
      </c>
      <c r="M209" s="512">
        <f t="shared" si="293"/>
        <v>120.59995778986557</v>
      </c>
      <c r="N209" s="512">
        <f t="shared" si="293"/>
        <v>86.078705511197654</v>
      </c>
      <c r="O209" s="512">
        <f t="shared" si="293"/>
        <v>97.221271466801539</v>
      </c>
      <c r="P209" s="512">
        <f t="shared" si="293"/>
        <v>110.67530647845082</v>
      </c>
      <c r="Q209" s="512">
        <f t="shared" si="293"/>
        <v>117.13409567436426</v>
      </c>
      <c r="R209" s="512">
        <f t="shared" si="293"/>
        <v>130.35991624478041</v>
      </c>
      <c r="S209" s="512">
        <f t="shared" si="293"/>
        <v>144.8205015193904</v>
      </c>
      <c r="T209" s="512">
        <f t="shared" si="293"/>
        <v>154.57274503368666</v>
      </c>
      <c r="U209" s="512">
        <f t="shared" si="293"/>
        <v>174.7758511836922</v>
      </c>
    </row>
    <row r="210" spans="3:21">
      <c r="C210" s="320" t="s">
        <v>350</v>
      </c>
      <c r="D210" s="320"/>
      <c r="E210" s="120"/>
      <c r="F210" s="120"/>
      <c r="G210" s="506">
        <v>0.21099999999999999</v>
      </c>
      <c r="H210" s="506">
        <v>0.17299999999999999</v>
      </c>
      <c r="I210" s="506">
        <v>0.115</v>
      </c>
      <c r="J210" s="506">
        <v>0.09</v>
      </c>
      <c r="K210" s="657">
        <f>J210</f>
        <v>0.09</v>
      </c>
      <c r="L210" s="511">
        <f t="shared" ref="L210:U210" si="294">K210</f>
        <v>0.09</v>
      </c>
      <c r="M210" s="511">
        <f t="shared" si="294"/>
        <v>0.09</v>
      </c>
      <c r="N210" s="511">
        <f t="shared" si="294"/>
        <v>0.09</v>
      </c>
      <c r="O210" s="511">
        <f t="shared" si="294"/>
        <v>0.09</v>
      </c>
      <c r="P210" s="511">
        <f t="shared" si="294"/>
        <v>0.09</v>
      </c>
      <c r="Q210" s="511">
        <f t="shared" si="294"/>
        <v>0.09</v>
      </c>
      <c r="R210" s="511">
        <f t="shared" si="294"/>
        <v>0.09</v>
      </c>
      <c r="S210" s="511">
        <f t="shared" si="294"/>
        <v>0.09</v>
      </c>
      <c r="T210" s="511">
        <f t="shared" si="294"/>
        <v>0.09</v>
      </c>
      <c r="U210" s="511">
        <f t="shared" si="294"/>
        <v>0.09</v>
      </c>
    </row>
    <row r="211" spans="3:21">
      <c r="C211" s="501" t="s">
        <v>628</v>
      </c>
      <c r="D211" s="320"/>
      <c r="E211" s="120"/>
      <c r="F211" s="120"/>
      <c r="G211" s="506">
        <v>0</v>
      </c>
      <c r="H211" s="506">
        <v>0</v>
      </c>
      <c r="I211" s="506">
        <v>0</v>
      </c>
      <c r="J211" s="506">
        <v>0</v>
      </c>
      <c r="K211" s="661">
        <f t="shared" ref="K211:U211" si="295">MAX(0,SUM(K194,K196:K199,K200,K203)-SUM(K210,K212:K216,K217,K220))</f>
        <v>0</v>
      </c>
      <c r="L211" s="513">
        <f t="shared" si="295"/>
        <v>0</v>
      </c>
      <c r="M211" s="513">
        <f t="shared" si="295"/>
        <v>0</v>
      </c>
      <c r="N211" s="513">
        <f t="shared" si="295"/>
        <v>0</v>
      </c>
      <c r="O211" s="513">
        <f t="shared" si="295"/>
        <v>0</v>
      </c>
      <c r="P211" s="513">
        <f t="shared" si="295"/>
        <v>0</v>
      </c>
      <c r="Q211" s="513">
        <f t="shared" si="295"/>
        <v>0</v>
      </c>
      <c r="R211" s="513">
        <f t="shared" si="295"/>
        <v>0</v>
      </c>
      <c r="S211" s="513">
        <f t="shared" si="295"/>
        <v>0</v>
      </c>
      <c r="T211" s="513">
        <f t="shared" si="295"/>
        <v>0</v>
      </c>
      <c r="U211" s="513">
        <f t="shared" si="295"/>
        <v>0</v>
      </c>
    </row>
    <row r="212" spans="3:21">
      <c r="C212" s="320" t="s">
        <v>419</v>
      </c>
      <c r="D212" s="320"/>
      <c r="E212" s="120"/>
      <c r="F212" s="120"/>
      <c r="G212" s="506">
        <v>43.28</v>
      </c>
      <c r="H212" s="506">
        <v>0</v>
      </c>
      <c r="I212" s="506">
        <v>153.24799999999999</v>
      </c>
      <c r="J212" s="506">
        <v>52.463999999999999</v>
      </c>
      <c r="K212" s="657">
        <f>'DIVIDA AGConcessoes'!G27/1000</f>
        <v>179.28433333333334</v>
      </c>
      <c r="L212" s="511">
        <f>'DIVIDA AGConcessoes'!H27/1000</f>
        <v>53.409333333333336</v>
      </c>
      <c r="M212" s="511">
        <f>'DIVIDA AGConcessoes'!I27/1000</f>
        <v>47.5</v>
      </c>
      <c r="N212" s="511">
        <f>'DIVIDA AGConcessoes'!J27/1000</f>
        <v>0</v>
      </c>
      <c r="O212" s="511">
        <f>'DIVIDA AGConcessoes'!K27/1000</f>
        <v>0</v>
      </c>
      <c r="P212" s="511">
        <f>'DIVIDA AGConcessoes'!L27/1000</f>
        <v>0</v>
      </c>
      <c r="Q212" s="511">
        <f>'DIVIDA AGConcessoes'!M27/1000</f>
        <v>0</v>
      </c>
      <c r="R212" s="511">
        <f>'DIVIDA AGConcessoes'!N27/1000</f>
        <v>0</v>
      </c>
      <c r="S212" s="511">
        <f>'DIVIDA AGConcessoes'!O27/1000</f>
        <v>0</v>
      </c>
      <c r="T212" s="511">
        <f>'DIVIDA AGConcessoes'!P27/1000</f>
        <v>0</v>
      </c>
      <c r="U212" s="511">
        <f>'DIVIDA AGConcessoes'!Q27/1000</f>
        <v>0</v>
      </c>
    </row>
    <row r="213" spans="3:21">
      <c r="C213" s="320" t="s">
        <v>577</v>
      </c>
      <c r="D213" s="320"/>
      <c r="E213" s="120"/>
      <c r="F213" s="120"/>
      <c r="G213" s="506">
        <v>12.238</v>
      </c>
      <c r="H213" s="506">
        <v>22.817</v>
      </c>
      <c r="I213" s="506">
        <v>27.79</v>
      </c>
      <c r="J213" s="506">
        <v>23.613</v>
      </c>
      <c r="K213" s="657">
        <v>0</v>
      </c>
      <c r="L213" s="511">
        <v>0</v>
      </c>
      <c r="M213" s="511">
        <f t="shared" ref="M213:U213" si="296">L213</f>
        <v>0</v>
      </c>
      <c r="N213" s="511">
        <f t="shared" si="296"/>
        <v>0</v>
      </c>
      <c r="O213" s="511">
        <f t="shared" si="296"/>
        <v>0</v>
      </c>
      <c r="P213" s="511">
        <f t="shared" si="296"/>
        <v>0</v>
      </c>
      <c r="Q213" s="511">
        <f t="shared" si="296"/>
        <v>0</v>
      </c>
      <c r="R213" s="511">
        <f t="shared" si="296"/>
        <v>0</v>
      </c>
      <c r="S213" s="511">
        <f t="shared" si="296"/>
        <v>0</v>
      </c>
      <c r="T213" s="511">
        <f t="shared" si="296"/>
        <v>0</v>
      </c>
      <c r="U213" s="511">
        <f t="shared" si="296"/>
        <v>0</v>
      </c>
    </row>
    <row r="214" spans="3:21">
      <c r="C214" s="320" t="s">
        <v>582</v>
      </c>
      <c r="D214" s="320"/>
      <c r="E214" s="120"/>
      <c r="F214" s="120"/>
      <c r="G214" s="506">
        <v>1.611</v>
      </c>
      <c r="H214" s="506">
        <v>1.8680000000000001</v>
      </c>
      <c r="I214" s="506">
        <v>1.974</v>
      </c>
      <c r="J214" s="506">
        <v>2.161</v>
      </c>
      <c r="K214" s="657">
        <f t="shared" ref="K214:U215" si="297">J214</f>
        <v>2.161</v>
      </c>
      <c r="L214" s="511">
        <f t="shared" si="297"/>
        <v>2.161</v>
      </c>
      <c r="M214" s="511">
        <f t="shared" si="297"/>
        <v>2.161</v>
      </c>
      <c r="N214" s="511">
        <f t="shared" si="297"/>
        <v>2.161</v>
      </c>
      <c r="O214" s="511">
        <f t="shared" si="297"/>
        <v>2.161</v>
      </c>
      <c r="P214" s="511">
        <f t="shared" si="297"/>
        <v>2.161</v>
      </c>
      <c r="Q214" s="511">
        <f t="shared" si="297"/>
        <v>2.161</v>
      </c>
      <c r="R214" s="511">
        <f t="shared" si="297"/>
        <v>2.161</v>
      </c>
      <c r="S214" s="511">
        <f t="shared" si="297"/>
        <v>2.161</v>
      </c>
      <c r="T214" s="511">
        <f t="shared" si="297"/>
        <v>2.161</v>
      </c>
      <c r="U214" s="511">
        <f t="shared" si="297"/>
        <v>2.161</v>
      </c>
    </row>
    <row r="215" spans="3:21">
      <c r="C215" s="320" t="s">
        <v>583</v>
      </c>
      <c r="D215" s="320"/>
      <c r="E215" s="120"/>
      <c r="F215" s="120"/>
      <c r="G215" s="506">
        <v>0.122</v>
      </c>
      <c r="H215" s="506">
        <v>7.6999999999999999E-2</v>
      </c>
      <c r="I215" s="506">
        <v>7.3999999999999996E-2</v>
      </c>
      <c r="J215" s="506">
        <v>0.46700000000000003</v>
      </c>
      <c r="K215" s="657">
        <f t="shared" si="297"/>
        <v>0.46700000000000003</v>
      </c>
      <c r="L215" s="511">
        <f t="shared" si="297"/>
        <v>0.46700000000000003</v>
      </c>
      <c r="M215" s="511">
        <f t="shared" si="297"/>
        <v>0.46700000000000003</v>
      </c>
      <c r="N215" s="511">
        <f t="shared" si="297"/>
        <v>0.46700000000000003</v>
      </c>
      <c r="O215" s="511">
        <f t="shared" si="297"/>
        <v>0.46700000000000003</v>
      </c>
      <c r="P215" s="511">
        <f t="shared" si="297"/>
        <v>0.46700000000000003</v>
      </c>
      <c r="Q215" s="511">
        <f t="shared" si="297"/>
        <v>0.46700000000000003</v>
      </c>
      <c r="R215" s="511">
        <f t="shared" si="297"/>
        <v>0.46700000000000003</v>
      </c>
      <c r="S215" s="511">
        <f t="shared" si="297"/>
        <v>0.46700000000000003</v>
      </c>
      <c r="T215" s="511">
        <f t="shared" si="297"/>
        <v>0.46700000000000003</v>
      </c>
      <c r="U215" s="511">
        <f t="shared" si="297"/>
        <v>0.46700000000000003</v>
      </c>
    </row>
    <row r="216" spans="3:21">
      <c r="C216" s="320" t="s">
        <v>584</v>
      </c>
      <c r="D216" s="320"/>
      <c r="E216" s="120"/>
      <c r="F216" s="120"/>
      <c r="G216" s="506">
        <v>45</v>
      </c>
      <c r="H216" s="506">
        <v>25.6</v>
      </c>
      <c r="I216" s="506">
        <v>23.815999999999999</v>
      </c>
      <c r="J216" s="506">
        <v>15.837999999999999</v>
      </c>
      <c r="K216" s="657">
        <f>K177*15%</f>
        <v>70.884963994678671</v>
      </c>
      <c r="L216" s="511">
        <f t="shared" ref="L216:U216" si="298">L177*15%</f>
        <v>17.685920187572801</v>
      </c>
      <c r="M216" s="511">
        <f t="shared" si="298"/>
        <v>70.381957789865567</v>
      </c>
      <c r="N216" s="511">
        <f t="shared" si="298"/>
        <v>83.360705511197651</v>
      </c>
      <c r="O216" s="511">
        <f t="shared" si="298"/>
        <v>94.503271466801536</v>
      </c>
      <c r="P216" s="511">
        <f t="shared" si="298"/>
        <v>107.95730647845082</v>
      </c>
      <c r="Q216" s="511">
        <f t="shared" si="298"/>
        <v>114.41609567436426</v>
      </c>
      <c r="R216" s="511">
        <f>R177*15%</f>
        <v>127.6419162447804</v>
      </c>
      <c r="S216" s="511">
        <f t="shared" si="298"/>
        <v>142.10250151939042</v>
      </c>
      <c r="T216" s="511">
        <f t="shared" si="298"/>
        <v>151.85474503368667</v>
      </c>
      <c r="U216" s="511">
        <f t="shared" si="298"/>
        <v>172.05785118369221</v>
      </c>
    </row>
    <row r="217" spans="3:21">
      <c r="C217" s="1" t="s">
        <v>491</v>
      </c>
      <c r="D217" s="320"/>
      <c r="E217" s="120"/>
      <c r="F217" s="120"/>
      <c r="G217" s="505">
        <f t="shared" ref="G217:H217" si="299">SUM(G218,G219)</f>
        <v>190.37900000000002</v>
      </c>
      <c r="H217" s="505">
        <f t="shared" si="299"/>
        <v>163.31599999999997</v>
      </c>
      <c r="I217" s="505">
        <f>SUM(I218,I219)</f>
        <v>217.81699999999998</v>
      </c>
      <c r="J217" s="505">
        <f>SUM(J218,J219)</f>
        <v>286.67599999999999</v>
      </c>
      <c r="K217" s="656">
        <f t="shared" ref="K217:U217" si="300">SUM(K218,K219)</f>
        <v>117.40590844563</v>
      </c>
      <c r="L217" s="512">
        <f t="shared" si="300"/>
        <v>51.526758790850003</v>
      </c>
      <c r="M217" s="512">
        <f t="shared" si="300"/>
        <v>3.9260000000000002</v>
      </c>
      <c r="N217" s="512">
        <f t="shared" si="300"/>
        <v>3.9260000000000002</v>
      </c>
      <c r="O217" s="512">
        <f t="shared" si="300"/>
        <v>3.9260000000000002</v>
      </c>
      <c r="P217" s="512">
        <f t="shared" si="300"/>
        <v>3.9260000000000002</v>
      </c>
      <c r="Q217" s="512">
        <f t="shared" si="300"/>
        <v>3.9260000000000002</v>
      </c>
      <c r="R217" s="512">
        <f t="shared" si="300"/>
        <v>3.9260000000000002</v>
      </c>
      <c r="S217" s="512">
        <f t="shared" si="300"/>
        <v>3.9260000000000002</v>
      </c>
      <c r="T217" s="512">
        <f t="shared" si="300"/>
        <v>3.9260000000000002</v>
      </c>
      <c r="U217" s="512">
        <f t="shared" si="300"/>
        <v>3.9260000000000002</v>
      </c>
    </row>
    <row r="218" spans="3:21">
      <c r="C218" s="320" t="s">
        <v>419</v>
      </c>
      <c r="D218" s="320"/>
      <c r="E218" s="120"/>
      <c r="F218" s="120"/>
      <c r="G218" s="506">
        <v>148.09100000000001</v>
      </c>
      <c r="H218" s="506">
        <v>130.14699999999999</v>
      </c>
      <c r="I218" s="506">
        <v>209.83099999999999</v>
      </c>
      <c r="J218" s="506">
        <v>282.75</v>
      </c>
      <c r="K218" s="657">
        <f>'DIVIDA AGConcessoes'!G28/1000</f>
        <v>113.47990844563</v>
      </c>
      <c r="L218" s="511">
        <f>'DIVIDA AGConcessoes'!H28/1000</f>
        <v>47.600758790850001</v>
      </c>
      <c r="M218" s="511">
        <f>'DIVIDA AGConcessoes'!I28/1000</f>
        <v>0</v>
      </c>
      <c r="N218" s="511">
        <f>'DIVIDA AGConcessoes'!J28/1000</f>
        <v>0</v>
      </c>
      <c r="O218" s="511">
        <f>'DIVIDA AGConcessoes'!K28/1000</f>
        <v>0</v>
      </c>
      <c r="P218" s="511">
        <f>'DIVIDA AGConcessoes'!L28/1000</f>
        <v>0</v>
      </c>
      <c r="Q218" s="511">
        <f>'DIVIDA AGConcessoes'!M28/1000</f>
        <v>0</v>
      </c>
      <c r="R218" s="511">
        <f>'DIVIDA AGConcessoes'!N28/1000</f>
        <v>0</v>
      </c>
      <c r="S218" s="511">
        <f>'DIVIDA AGConcessoes'!O28/1000</f>
        <v>0</v>
      </c>
      <c r="T218" s="511">
        <f>'DIVIDA AGConcessoes'!P28/1000</f>
        <v>0</v>
      </c>
      <c r="U218" s="511">
        <f>'DIVIDA AGConcessoes'!Q28/1000</f>
        <v>0</v>
      </c>
    </row>
    <row r="219" spans="3:21">
      <c r="C219" s="320" t="s">
        <v>577</v>
      </c>
      <c r="D219" s="320"/>
      <c r="E219" s="120"/>
      <c r="F219" s="120"/>
      <c r="G219" s="506">
        <v>42.287999999999997</v>
      </c>
      <c r="H219" s="506">
        <v>33.168999999999997</v>
      </c>
      <c r="I219" s="506">
        <v>7.9859999999999998</v>
      </c>
      <c r="J219" s="506">
        <v>3.9260000000000002</v>
      </c>
      <c r="K219" s="657">
        <f>J219</f>
        <v>3.9260000000000002</v>
      </c>
      <c r="L219" s="511">
        <f t="shared" ref="L219:U219" si="301">K219</f>
        <v>3.9260000000000002</v>
      </c>
      <c r="M219" s="511">
        <f t="shared" si="301"/>
        <v>3.9260000000000002</v>
      </c>
      <c r="N219" s="511">
        <f t="shared" si="301"/>
        <v>3.9260000000000002</v>
      </c>
      <c r="O219" s="511">
        <f t="shared" si="301"/>
        <v>3.9260000000000002</v>
      </c>
      <c r="P219" s="511">
        <f t="shared" si="301"/>
        <v>3.9260000000000002</v>
      </c>
      <c r="Q219" s="511">
        <f t="shared" si="301"/>
        <v>3.9260000000000002</v>
      </c>
      <c r="R219" s="511">
        <f t="shared" si="301"/>
        <v>3.9260000000000002</v>
      </c>
      <c r="S219" s="511">
        <f t="shared" si="301"/>
        <v>3.9260000000000002</v>
      </c>
      <c r="T219" s="511">
        <f t="shared" si="301"/>
        <v>3.9260000000000002</v>
      </c>
      <c r="U219" s="511">
        <f t="shared" si="301"/>
        <v>3.9260000000000002</v>
      </c>
    </row>
    <row r="220" spans="3:21">
      <c r="C220" s="1" t="s">
        <v>504</v>
      </c>
      <c r="D220" s="320"/>
      <c r="E220" s="120"/>
      <c r="F220" s="120"/>
      <c r="G220" s="505">
        <f t="shared" ref="G220:H220" si="302">SUM(G221,G222,G223,G224)</f>
        <v>928.47300000000007</v>
      </c>
      <c r="H220" s="505">
        <f t="shared" si="302"/>
        <v>1176.4089999999999</v>
      </c>
      <c r="I220" s="505">
        <f t="shared" ref="I220" si="303">SUM(I221,I222,I223,I224)</f>
        <v>1779.548</v>
      </c>
      <c r="J220" s="505">
        <f t="shared" ref="J220" si="304">SUM(J221,J222,J223,J224)</f>
        <v>2072.1859999999997</v>
      </c>
      <c r="K220" s="656">
        <f t="shared" ref="K220" si="305">SUM(K221,K222,K223,K224)</f>
        <v>2262.8706984652176</v>
      </c>
      <c r="L220" s="512">
        <f t="shared" ref="L220" si="306">SUM(L221,L222,L223,L224)</f>
        <v>2641.4114463395831</v>
      </c>
      <c r="M220" s="512">
        <f t="shared" ref="M220" si="307">SUM(M221,M222,M223,M224)</f>
        <v>2753.2671893699157</v>
      </c>
      <c r="N220" s="512">
        <f t="shared" ref="N220" si="308">SUM(N221,N222,N223,N224)</f>
        <v>2885.7496315652147</v>
      </c>
      <c r="O220" s="512">
        <f t="shared" ref="O220" si="309">SUM(O221,O222,O223,O224)</f>
        <v>3035.9405893143107</v>
      </c>
      <c r="P220" s="512">
        <f t="shared" ref="P220" si="310">SUM(P221,P222,P223,P224)</f>
        <v>3207.5136047702595</v>
      </c>
      <c r="Q220" s="512">
        <f t="shared" ref="Q220" si="311">SUM(Q221,Q222,Q223,Q224)</f>
        <v>3389.3513626015501</v>
      </c>
      <c r="R220" s="512">
        <f t="shared" ref="R220" si="312">SUM(R221,R222,R223,R224)</f>
        <v>3592.2084843940802</v>
      </c>
      <c r="S220" s="512">
        <f t="shared" ref="S220" si="313">SUM(S221,S222,S223,S224)</f>
        <v>3818.0473412979618</v>
      </c>
      <c r="T220" s="512">
        <f t="shared" ref="T220" si="314">SUM(T221,T222,T223,T224)</f>
        <v>4059.3851197828712</v>
      </c>
      <c r="U220" s="512">
        <f t="shared" ref="U220" si="315">SUM(U221,U222,U223,U224)</f>
        <v>4332.8310339447771</v>
      </c>
    </row>
    <row r="221" spans="3:21">
      <c r="C221" s="320" t="s">
        <v>585</v>
      </c>
      <c r="D221" s="320"/>
      <c r="E221" s="120"/>
      <c r="F221" s="120"/>
      <c r="G221" s="506">
        <v>382.197</v>
      </c>
      <c r="H221" s="506">
        <v>432.197</v>
      </c>
      <c r="I221" s="506">
        <v>532.197</v>
      </c>
      <c r="J221" s="506">
        <v>797.197</v>
      </c>
      <c r="K221" s="657">
        <f>J221+(J223+(K172-K176)-K177)*(K227)</f>
        <v>985.42431396729523</v>
      </c>
      <c r="L221" s="511">
        <f t="shared" ref="L221:U221" si="316">K221+(K223+(L172-L176)-L177)*(L227)</f>
        <v>1164.7248622769293</v>
      </c>
      <c r="M221" s="511">
        <f t="shared" si="316"/>
        <v>1206.8354776980821</v>
      </c>
      <c r="N221" s="511">
        <f t="shared" si="316"/>
        <v>1256.9052022582116</v>
      </c>
      <c r="O221" s="511">
        <f t="shared" si="316"/>
        <v>1312.426269946206</v>
      </c>
      <c r="P221" s="511">
        <f t="shared" si="316"/>
        <v>1376.7462660308513</v>
      </c>
      <c r="Q221" s="511">
        <f t="shared" si="316"/>
        <v>1444.8440720860676</v>
      </c>
      <c r="R221" s="511">
        <f t="shared" si="316"/>
        <v>1520.540551059084</v>
      </c>
      <c r="S221" s="511">
        <f t="shared" si="316"/>
        <v>1604.6254434530465</v>
      </c>
      <c r="T221" s="511">
        <f t="shared" si="316"/>
        <v>1694.1919442695862</v>
      </c>
      <c r="U221" s="511">
        <f t="shared" si="316"/>
        <v>1795.9846426853815</v>
      </c>
    </row>
    <row r="222" spans="3:21">
      <c r="C222" s="37" t="s">
        <v>605</v>
      </c>
      <c r="D222" s="320"/>
      <c r="E222" s="120"/>
      <c r="F222" s="120"/>
      <c r="G222" s="506">
        <v>43.085999999999999</v>
      </c>
      <c r="H222" s="506">
        <v>61.100999999999999</v>
      </c>
      <c r="I222" s="506">
        <v>94.198999999999998</v>
      </c>
      <c r="J222" s="506">
        <v>94.216439649999998</v>
      </c>
      <c r="K222" s="657">
        <f>J222+K176</f>
        <v>127.37899590482043</v>
      </c>
      <c r="L222" s="511">
        <f t="shared" ref="L222:U222" si="317">K222+L176</f>
        <v>152.20134002772963</v>
      </c>
      <c r="M222" s="511">
        <f t="shared" si="317"/>
        <v>181.25477977586814</v>
      </c>
      <c r="N222" s="511">
        <f t="shared" si="317"/>
        <v>215.66580372269897</v>
      </c>
      <c r="O222" s="511">
        <f t="shared" si="317"/>
        <v>254.67644209908764</v>
      </c>
      <c r="P222" s="511">
        <f t="shared" si="317"/>
        <v>299.24086169803536</v>
      </c>
      <c r="Q222" s="511">
        <f t="shared" si="317"/>
        <v>346.47144814772133</v>
      </c>
      <c r="R222" s="511">
        <f t="shared" si="317"/>
        <v>399.16160965227465</v>
      </c>
      <c r="S222" s="511">
        <f t="shared" si="317"/>
        <v>457.82105300393221</v>
      </c>
      <c r="T222" s="511">
        <f t="shared" si="317"/>
        <v>520.5061902727399</v>
      </c>
      <c r="U222" s="511">
        <f t="shared" si="317"/>
        <v>591.53110304206587</v>
      </c>
    </row>
    <row r="223" spans="3:21">
      <c r="C223" s="37" t="s">
        <v>606</v>
      </c>
      <c r="D223" s="320"/>
      <c r="E223" s="120"/>
      <c r="F223" s="120"/>
      <c r="G223" s="506">
        <v>395.89600000000002</v>
      </c>
      <c r="H223" s="506">
        <v>611.9</v>
      </c>
      <c r="I223" s="506">
        <v>985.22500000000002</v>
      </c>
      <c r="J223" s="506">
        <v>1006.29356035</v>
      </c>
      <c r="K223" s="657">
        <f>(J223+(K172-K176)-K177)*(1-K227)</f>
        <v>975.58838859310208</v>
      </c>
      <c r="L223" s="511">
        <f t="shared" ref="L223:U223" si="318">(K223+(L172-L176)-L177)*(1-L227)</f>
        <v>1150.0062440349241</v>
      </c>
      <c r="M223" s="511">
        <f t="shared" si="318"/>
        <v>1190.6979318959659</v>
      </c>
      <c r="N223" s="511">
        <f t="shared" si="318"/>
        <v>1238.6996255843042</v>
      </c>
      <c r="O223" s="511">
        <f t="shared" si="318"/>
        <v>1294.3588772690175</v>
      </c>
      <c r="P223" s="511">
        <f t="shared" si="318"/>
        <v>1357.0474770413732</v>
      </c>
      <c r="Q223" s="511">
        <f t="shared" si="318"/>
        <v>1423.5568423677614</v>
      </c>
      <c r="R223" s="511">
        <f t="shared" si="318"/>
        <v>1498.0273236827218</v>
      </c>
      <c r="S223" s="511">
        <f t="shared" si="318"/>
        <v>1581.1218448409832</v>
      </c>
      <c r="T223" s="511">
        <f t="shared" si="318"/>
        <v>1670.2079852405454</v>
      </c>
      <c r="U223" s="511">
        <f t="shared" si="318"/>
        <v>1770.8362882173292</v>
      </c>
    </row>
    <row r="224" spans="3:21">
      <c r="C224" s="37" t="s">
        <v>607</v>
      </c>
      <c r="D224" s="320"/>
      <c r="E224" s="120"/>
      <c r="F224" s="120"/>
      <c r="G224" s="506">
        <v>107.294</v>
      </c>
      <c r="H224" s="506">
        <v>71.210999999999999</v>
      </c>
      <c r="I224" s="506">
        <v>167.92699999999999</v>
      </c>
      <c r="J224" s="506">
        <v>174.47900000000001</v>
      </c>
      <c r="K224" s="657">
        <f>J224</f>
        <v>174.47900000000001</v>
      </c>
      <c r="L224" s="511">
        <f t="shared" ref="L224:U224" si="319">K224</f>
        <v>174.47900000000001</v>
      </c>
      <c r="M224" s="511">
        <f t="shared" si="319"/>
        <v>174.47900000000001</v>
      </c>
      <c r="N224" s="511">
        <f t="shared" si="319"/>
        <v>174.47900000000001</v>
      </c>
      <c r="O224" s="511">
        <f t="shared" si="319"/>
        <v>174.47900000000001</v>
      </c>
      <c r="P224" s="511">
        <f t="shared" si="319"/>
        <v>174.47900000000001</v>
      </c>
      <c r="Q224" s="511">
        <f t="shared" si="319"/>
        <v>174.47900000000001</v>
      </c>
      <c r="R224" s="511">
        <f t="shared" si="319"/>
        <v>174.47900000000001</v>
      </c>
      <c r="S224" s="511">
        <f t="shared" si="319"/>
        <v>174.47900000000001</v>
      </c>
      <c r="T224" s="511">
        <f t="shared" si="319"/>
        <v>174.47900000000001</v>
      </c>
      <c r="U224" s="511">
        <f t="shared" si="319"/>
        <v>174.47900000000001</v>
      </c>
    </row>
    <row r="225" spans="3:21">
      <c r="C225" s="448" t="s">
        <v>586</v>
      </c>
      <c r="D225" s="449"/>
      <c r="E225" s="450"/>
      <c r="F225" s="462"/>
      <c r="G225" s="462">
        <f t="shared" ref="G225:H225" si="320">G220+G217+G209</f>
        <v>1221.3140000000001</v>
      </c>
      <c r="H225" s="462">
        <f t="shared" si="320"/>
        <v>1390.26</v>
      </c>
      <c r="I225" s="462">
        <f>I220+I217+I209</f>
        <v>2204.3820000000001</v>
      </c>
      <c r="J225" s="462">
        <f>J220+J217+J209</f>
        <v>2453.4949999999994</v>
      </c>
      <c r="K225" s="659">
        <f t="shared" ref="K225:U225" si="321">K220+K217+K209</f>
        <v>2633.1639042388597</v>
      </c>
      <c r="L225" s="462">
        <f t="shared" si="321"/>
        <v>2766.7514586513394</v>
      </c>
      <c r="M225" s="462">
        <f t="shared" si="321"/>
        <v>2877.7931471597813</v>
      </c>
      <c r="N225" s="462">
        <f t="shared" si="321"/>
        <v>2975.7543370764124</v>
      </c>
      <c r="O225" s="462">
        <f t="shared" si="321"/>
        <v>3137.0878607811123</v>
      </c>
      <c r="P225" s="462">
        <f t="shared" si="321"/>
        <v>3322.1149112487101</v>
      </c>
      <c r="Q225" s="462">
        <f t="shared" si="321"/>
        <v>3510.4114582759144</v>
      </c>
      <c r="R225" s="462">
        <f t="shared" si="321"/>
        <v>3726.4944006388605</v>
      </c>
      <c r="S225" s="462">
        <f t="shared" si="321"/>
        <v>3966.793842817352</v>
      </c>
      <c r="T225" s="462">
        <f t="shared" si="321"/>
        <v>4217.8838648165574</v>
      </c>
      <c r="U225" s="462">
        <f t="shared" si="321"/>
        <v>4511.5328851284694</v>
      </c>
    </row>
    <row r="226" spans="3:21">
      <c r="C226" s="352"/>
      <c r="D226" s="352"/>
      <c r="E226" s="368"/>
      <c r="F226" s="295"/>
      <c r="G226" s="295" t="str">
        <f t="shared" ref="G226:I226" si="322">IF(ABS(G225-G207)&lt;0.0000001,"ü","û")</f>
        <v>ü</v>
      </c>
      <c r="H226" s="295" t="str">
        <f t="shared" si="322"/>
        <v>ü</v>
      </c>
      <c r="I226" s="295" t="str">
        <f t="shared" si="322"/>
        <v>ü</v>
      </c>
      <c r="J226" s="295" t="str">
        <f>IF(ABS(J225-J207)&lt;0.0000001,"ü","û")</f>
        <v>ü</v>
      </c>
      <c r="K226" s="662" t="str">
        <f t="shared" ref="K226:U226" si="323">IF(ABS(K225-K207)&lt;0.0000001,"ü","û")</f>
        <v>ü</v>
      </c>
      <c r="L226" s="295" t="str">
        <f t="shared" si="323"/>
        <v>ü</v>
      </c>
      <c r="M226" s="295" t="str">
        <f t="shared" si="323"/>
        <v>ü</v>
      </c>
      <c r="N226" s="295" t="str">
        <f t="shared" si="323"/>
        <v>ü</v>
      </c>
      <c r="O226" s="295" t="str">
        <f t="shared" si="323"/>
        <v>ü</v>
      </c>
      <c r="P226" s="295" t="str">
        <f t="shared" si="323"/>
        <v>ü</v>
      </c>
      <c r="Q226" s="295" t="str">
        <f t="shared" si="323"/>
        <v>ü</v>
      </c>
      <c r="R226" s="295" t="str">
        <f t="shared" si="323"/>
        <v>ü</v>
      </c>
      <c r="S226" s="295" t="str">
        <f t="shared" si="323"/>
        <v>ü</v>
      </c>
      <c r="T226" s="295" t="str">
        <f t="shared" si="323"/>
        <v>ü</v>
      </c>
      <c r="U226" s="295" t="str">
        <f t="shared" si="323"/>
        <v>ü</v>
      </c>
    </row>
    <row r="227" spans="3:21" hidden="1" outlineLevel="1">
      <c r="C227" s="352"/>
      <c r="D227" s="352"/>
      <c r="E227" s="368"/>
      <c r="F227" s="295"/>
      <c r="G227" s="295"/>
      <c r="H227" s="295"/>
      <c r="I227" s="295"/>
      <c r="J227" s="603" t="s">
        <v>674</v>
      </c>
      <c r="K227" s="651">
        <v>0.16173292176174858</v>
      </c>
      <c r="L227" s="601">
        <v>0.134882744406499</v>
      </c>
      <c r="M227" s="601">
        <v>3.4158276654388371E-2</v>
      </c>
      <c r="N227" s="601">
        <v>3.885080332995048E-2</v>
      </c>
      <c r="O227" s="601">
        <v>4.113037451620373E-2</v>
      </c>
      <c r="P227" s="601">
        <v>4.5252193609852338E-2</v>
      </c>
      <c r="Q227" s="601">
        <v>4.5652528302855787E-2</v>
      </c>
      <c r="R227" s="601">
        <v>4.810023134000696E-2</v>
      </c>
      <c r="S227" s="601">
        <v>5.0495167064711924E-2</v>
      </c>
      <c r="T227" s="601">
        <v>5.0896578809493151E-2</v>
      </c>
      <c r="U227" s="601">
        <v>5.4358177269707042E-2</v>
      </c>
    </row>
    <row r="228" spans="3:21" hidden="1" outlineLevel="1">
      <c r="C228" s="352"/>
      <c r="D228" s="352"/>
      <c r="E228" s="368"/>
      <c r="F228" s="295"/>
      <c r="G228" s="295"/>
      <c r="H228" s="295"/>
      <c r="I228" s="295"/>
      <c r="J228" s="603" t="s">
        <v>675</v>
      </c>
      <c r="K228" s="663">
        <f>(K223)/(K221)</f>
        <v>0.990018588708661</v>
      </c>
      <c r="L228" s="600">
        <f t="shared" ref="L228:U228" si="324">(L223)/(L221)</f>
        <v>0.98736300845056935</v>
      </c>
      <c r="M228" s="600">
        <f t="shared" si="324"/>
        <v>0.98662821395266165</v>
      </c>
      <c r="N228" s="600">
        <f t="shared" si="324"/>
        <v>0.98551555308928751</v>
      </c>
      <c r="O228" s="600">
        <f t="shared" si="324"/>
        <v>0.98623359415235634</v>
      </c>
      <c r="P228" s="600">
        <f t="shared" si="324"/>
        <v>0.98569177961435872</v>
      </c>
      <c r="Q228" s="600">
        <f t="shared" si="324"/>
        <v>0.98526676329330698</v>
      </c>
      <c r="R228" s="600">
        <f t="shared" si="324"/>
        <v>0.98519393161814639</v>
      </c>
      <c r="S228" s="600">
        <f t="shared" si="324"/>
        <v>0.98535259508194939</v>
      </c>
      <c r="T228" s="600">
        <f t="shared" si="324"/>
        <v>0.98584342281276705</v>
      </c>
      <c r="U228" s="600">
        <f t="shared" si="324"/>
        <v>0.98599745572966035</v>
      </c>
    </row>
    <row r="229" spans="3:21" collapsed="1">
      <c r="C229" s="352"/>
      <c r="D229" s="352"/>
      <c r="E229" s="368"/>
      <c r="F229" s="368"/>
      <c r="G229" s="368"/>
      <c r="H229" s="368"/>
      <c r="I229" s="368"/>
      <c r="J229" s="465"/>
      <c r="K229" s="640"/>
      <c r="L229" s="386"/>
      <c r="M229" s="386"/>
      <c r="N229" s="386"/>
      <c r="O229" s="386"/>
      <c r="P229" s="386"/>
      <c r="Q229" s="386"/>
      <c r="R229" s="386"/>
      <c r="S229" s="386"/>
      <c r="T229" s="386"/>
      <c r="U229" s="386"/>
    </row>
    <row r="230" spans="3:21">
      <c r="C230" s="420" t="s">
        <v>562</v>
      </c>
      <c r="D230" s="420"/>
      <c r="E230" s="421"/>
      <c r="F230" s="421"/>
      <c r="G230" s="421"/>
      <c r="H230" s="421"/>
      <c r="I230" s="421"/>
      <c r="J230" s="421"/>
      <c r="K230" s="664"/>
      <c r="L230" s="621"/>
      <c r="M230" s="621"/>
      <c r="N230" s="621"/>
      <c r="O230" s="621"/>
      <c r="P230" s="621"/>
      <c r="Q230" s="621"/>
      <c r="R230" s="621"/>
      <c r="S230" s="621"/>
      <c r="T230" s="621"/>
      <c r="U230" s="621"/>
    </row>
    <row r="231" spans="3:21">
      <c r="C231" s="357" t="s">
        <v>680</v>
      </c>
      <c r="G231" s="361">
        <f t="shared" ref="G231:I231" si="325">G140</f>
        <v>180</v>
      </c>
      <c r="H231" s="361">
        <f t="shared" si="325"/>
        <v>190.74199999999999</v>
      </c>
      <c r="I231" s="361">
        <f t="shared" si="325"/>
        <v>227.108</v>
      </c>
      <c r="J231" s="361">
        <f>J140</f>
        <v>271.27499999999998</v>
      </c>
      <c r="K231" s="665">
        <f t="shared" ref="K231" si="326">K140</f>
        <v>258.60652853113783</v>
      </c>
      <c r="L231" s="615">
        <f t="shared" ref="L231:Q231" si="327">L140</f>
        <v>369.86879376223237</v>
      </c>
      <c r="M231" s="615">
        <f t="shared" si="327"/>
        <v>419.741424784277</v>
      </c>
      <c r="N231" s="615">
        <f t="shared" si="327"/>
        <v>485.72466764448103</v>
      </c>
      <c r="O231" s="615">
        <f t="shared" si="327"/>
        <v>559.79462113968941</v>
      </c>
      <c r="P231" s="615">
        <f t="shared" si="327"/>
        <v>634.03045488802684</v>
      </c>
      <c r="Q231" s="615">
        <f t="shared" si="327"/>
        <v>711.3890186163012</v>
      </c>
      <c r="R231" s="615">
        <f t="shared" ref="R231:U231" si="328">R140</f>
        <v>776.93777535437266</v>
      </c>
      <c r="S231" s="615">
        <f t="shared" si="328"/>
        <v>861.81521611441747</v>
      </c>
      <c r="T231" s="615">
        <f t="shared" si="328"/>
        <v>930.22371802208522</v>
      </c>
      <c r="U231" s="615">
        <f t="shared" si="328"/>
        <v>1029.2275304141806</v>
      </c>
    </row>
    <row r="232" spans="3:21">
      <c r="C232" s="357" t="s">
        <v>681</v>
      </c>
      <c r="G232" s="361">
        <f t="shared" ref="G232:I232" si="329">G177</f>
        <v>110</v>
      </c>
      <c r="H232" s="361">
        <f t="shared" si="329"/>
        <v>85.599999949999997</v>
      </c>
      <c r="I232" s="361">
        <f t="shared" si="329"/>
        <v>157.21639500000001</v>
      </c>
      <c r="J232" s="361">
        <f>J177</f>
        <v>82.837999999999994</v>
      </c>
      <c r="K232" s="666">
        <f>K177-K216</f>
        <v>401.68146263651244</v>
      </c>
      <c r="L232" s="607">
        <f t="shared" ref="L232:P232" si="330">L177-L216</f>
        <v>100.22021439624586</v>
      </c>
      <c r="M232" s="607">
        <f t="shared" si="330"/>
        <v>398.83109414257154</v>
      </c>
      <c r="N232" s="607">
        <f t="shared" si="330"/>
        <v>472.37733123012009</v>
      </c>
      <c r="O232" s="607">
        <f t="shared" si="330"/>
        <v>535.51853831187543</v>
      </c>
      <c r="P232" s="607">
        <f t="shared" si="330"/>
        <v>611.75807004455464</v>
      </c>
      <c r="Q232" s="607">
        <f>Q177-Q216</f>
        <v>648.35787548806422</v>
      </c>
      <c r="R232" s="607">
        <f t="shared" ref="R232:U232" si="331">R177-R216</f>
        <v>723.30419205375563</v>
      </c>
      <c r="S232" s="607">
        <f t="shared" si="331"/>
        <v>805.24750860987899</v>
      </c>
      <c r="T232" s="607">
        <f t="shared" si="331"/>
        <v>860.51022185755778</v>
      </c>
      <c r="U232" s="607">
        <f t="shared" si="331"/>
        <v>974.99449004092253</v>
      </c>
    </row>
    <row r="233" spans="3:21">
      <c r="C233" s="357" t="s">
        <v>682</v>
      </c>
      <c r="G233" s="624">
        <f t="shared" ref="G233:I233" si="332">G232/G231</f>
        <v>0.61111111111111116</v>
      </c>
      <c r="H233" s="624">
        <f t="shared" si="332"/>
        <v>0.44877373598892745</v>
      </c>
      <c r="I233" s="624">
        <f t="shared" si="332"/>
        <v>0.69225388361484408</v>
      </c>
      <c r="J233" s="624">
        <f>J232/J231</f>
        <v>0.30536540411022028</v>
      </c>
      <c r="K233" s="667">
        <f t="shared" ref="K233:N233" si="333">K232/K231</f>
        <v>1.5532533726740294</v>
      </c>
      <c r="L233" s="625">
        <f t="shared" si="333"/>
        <v>0.27096153037628729</v>
      </c>
      <c r="M233" s="625">
        <f t="shared" si="333"/>
        <v>0.95018282826754075</v>
      </c>
      <c r="N233" s="625">
        <f t="shared" si="333"/>
        <v>0.97252077709149765</v>
      </c>
      <c r="O233" s="625">
        <f>O232/O231</f>
        <v>0.95663394768175847</v>
      </c>
      <c r="P233" s="625">
        <f t="shared" ref="P233" si="334">P232/P231</f>
        <v>0.96487174287644339</v>
      </c>
      <c r="Q233" s="625">
        <f t="shared" ref="Q233" si="335">Q232/Q231</f>
        <v>0.91139708165465261</v>
      </c>
      <c r="R233" s="625">
        <f>R232/R231</f>
        <v>0.93096798096069666</v>
      </c>
      <c r="S233" s="625">
        <f t="shared" ref="S233" si="336">S232/S231</f>
        <v>0.93436213883577057</v>
      </c>
      <c r="T233" s="625">
        <f t="shared" ref="T233" si="337">T232/T231</f>
        <v>0.92505727943299731</v>
      </c>
      <c r="U233" s="625">
        <f t="shared" ref="U233" si="338">U232/U231</f>
        <v>0.94730704458378245</v>
      </c>
    </row>
    <row r="234" spans="3:21">
      <c r="C234" s="399" t="s">
        <v>563</v>
      </c>
      <c r="D234" s="399"/>
      <c r="G234" s="361">
        <f>(G193-G194-G195+G200)-(G209-G212-G211+G219)</f>
        <v>-40.794999999999995</v>
      </c>
      <c r="H234" s="361">
        <f>(H193-H194-H195+H200)-(H209-H212-H211+H219)</f>
        <v>-35.184999999999988</v>
      </c>
      <c r="I234" s="361">
        <f>(I193-I194-I195+I200)-(I209-I212-I211+I219)</f>
        <v>1.3069999999999879</v>
      </c>
      <c r="J234" s="361">
        <f>(J193-J194-J195+J200)-(J209-J212-J211+J219)</f>
        <v>-14.771000000000001</v>
      </c>
      <c r="K234" s="665">
        <f t="shared" ref="K234:T234" si="339">(K193-K194-K195+K200)-(K209-K212-K211+K219)</f>
        <v>83.339480389891563</v>
      </c>
      <c r="L234" s="615">
        <f t="shared" si="339"/>
        <v>62.547856274957724</v>
      </c>
      <c r="M234" s="615">
        <f t="shared" si="339"/>
        <v>17.19282990175023</v>
      </c>
      <c r="N234" s="615">
        <f t="shared" si="339"/>
        <v>25.388136416044873</v>
      </c>
      <c r="O234" s="615">
        <f t="shared" si="339"/>
        <v>17.817294030823732</v>
      </c>
      <c r="P234" s="615">
        <f t="shared" si="339"/>
        <v>22.181779619645056</v>
      </c>
      <c r="Q234" s="615">
        <f t="shared" si="339"/>
        <v>-14.923159292366009</v>
      </c>
      <c r="R234" s="615">
        <f t="shared" si="339"/>
        <v>-4.5828612415616021</v>
      </c>
      <c r="S234" s="615">
        <f t="shared" si="339"/>
        <v>-3.4399356310856604</v>
      </c>
      <c r="T234" s="615">
        <f t="shared" si="339"/>
        <v>-15.700334511259229</v>
      </c>
      <c r="U234" s="615">
        <f>(U193-U194-U195+U200)-(U209-U212-U211+U219)</f>
        <v>3.4265442909586454</v>
      </c>
    </row>
    <row r="235" spans="3:21" hidden="1" outlineLevel="1">
      <c r="C235" s="422" t="s">
        <v>564</v>
      </c>
      <c r="D235" s="422"/>
      <c r="G235" s="361">
        <f t="shared" ref="G235:U235" si="340">G234*365/(G151+G152)</f>
        <v>-48.385097305218956</v>
      </c>
      <c r="H235" s="361">
        <f t="shared" si="340"/>
        <v>-47.746521026274003</v>
      </c>
      <c r="I235" s="361">
        <f t="shared" si="340"/>
        <v>1.1648670690732821</v>
      </c>
      <c r="J235" s="361">
        <f t="shared" si="340"/>
        <v>-12.106479870119664</v>
      </c>
      <c r="K235" s="665">
        <f t="shared" si="340"/>
        <v>65.830301584426664</v>
      </c>
      <c r="L235" s="615">
        <f t="shared" si="340"/>
        <v>40.106096792609186</v>
      </c>
      <c r="M235" s="615">
        <f t="shared" si="340"/>
        <v>9.8314858533027571</v>
      </c>
      <c r="N235" s="615">
        <f t="shared" si="340"/>
        <v>12.458297975981285</v>
      </c>
      <c r="O235" s="615">
        <f t="shared" si="340"/>
        <v>7.7540650881904103</v>
      </c>
      <c r="P235" s="615">
        <f t="shared" si="340"/>
        <v>8.5104159673755948</v>
      </c>
      <c r="Q235" s="615">
        <f t="shared" si="340"/>
        <v>-5.4063540446706906</v>
      </c>
      <c r="R235" s="615">
        <f t="shared" si="340"/>
        <v>-1.4996747599452775</v>
      </c>
      <c r="S235" s="615">
        <f t="shared" si="340"/>
        <v>-1.0144016995292657</v>
      </c>
      <c r="T235" s="615">
        <f t="shared" si="340"/>
        <v>-4.3404742224309283</v>
      </c>
      <c r="U235" s="615">
        <f t="shared" si="340"/>
        <v>0.84032997339142335</v>
      </c>
    </row>
    <row r="236" spans="3:21" hidden="1" outlineLevel="1">
      <c r="C236" s="410" t="s">
        <v>566</v>
      </c>
      <c r="D236" s="410"/>
      <c r="G236" s="361">
        <f t="shared" ref="G236:I236" si="341">G212+G211</f>
        <v>43.28</v>
      </c>
      <c r="H236" s="361">
        <f t="shared" si="341"/>
        <v>0</v>
      </c>
      <c r="I236" s="361">
        <f t="shared" si="341"/>
        <v>153.24799999999999</v>
      </c>
      <c r="J236" s="361">
        <f>J212+J211</f>
        <v>52.463999999999999</v>
      </c>
      <c r="K236" s="665">
        <f t="shared" ref="K236:T236" si="342">K212+K211</f>
        <v>179.28433333333334</v>
      </c>
      <c r="L236" s="615">
        <f t="shared" si="342"/>
        <v>53.409333333333336</v>
      </c>
      <c r="M236" s="615">
        <f t="shared" si="342"/>
        <v>47.5</v>
      </c>
      <c r="N236" s="615">
        <f t="shared" si="342"/>
        <v>0</v>
      </c>
      <c r="O236" s="615">
        <f t="shared" si="342"/>
        <v>0</v>
      </c>
      <c r="P236" s="615">
        <f t="shared" si="342"/>
        <v>0</v>
      </c>
      <c r="Q236" s="615">
        <f t="shared" si="342"/>
        <v>0</v>
      </c>
      <c r="R236" s="615">
        <f t="shared" si="342"/>
        <v>0</v>
      </c>
      <c r="S236" s="615">
        <f t="shared" si="342"/>
        <v>0</v>
      </c>
      <c r="T236" s="615">
        <f t="shared" si="342"/>
        <v>0</v>
      </c>
      <c r="U236" s="615">
        <f>U212+U211</f>
        <v>0</v>
      </c>
    </row>
    <row r="237" spans="3:21" hidden="1" outlineLevel="1">
      <c r="C237" s="410" t="s">
        <v>567</v>
      </c>
      <c r="D237" s="410"/>
      <c r="G237" s="361">
        <f t="shared" ref="G237:I237" si="343">G218</f>
        <v>148.09100000000001</v>
      </c>
      <c r="H237" s="361">
        <f t="shared" si="343"/>
        <v>130.14699999999999</v>
      </c>
      <c r="I237" s="361">
        <f t="shared" si="343"/>
        <v>209.83099999999999</v>
      </c>
      <c r="J237" s="361">
        <f>J218</f>
        <v>282.75</v>
      </c>
      <c r="K237" s="665">
        <f t="shared" ref="K237:T237" si="344">K218</f>
        <v>113.47990844563</v>
      </c>
      <c r="L237" s="615">
        <f t="shared" si="344"/>
        <v>47.600758790850001</v>
      </c>
      <c r="M237" s="615">
        <f t="shared" si="344"/>
        <v>0</v>
      </c>
      <c r="N237" s="615">
        <f t="shared" si="344"/>
        <v>0</v>
      </c>
      <c r="O237" s="615">
        <f t="shared" si="344"/>
        <v>0</v>
      </c>
      <c r="P237" s="615">
        <f t="shared" si="344"/>
        <v>0</v>
      </c>
      <c r="Q237" s="615">
        <f t="shared" si="344"/>
        <v>0</v>
      </c>
      <c r="R237" s="615">
        <f t="shared" si="344"/>
        <v>0</v>
      </c>
      <c r="S237" s="615">
        <f t="shared" si="344"/>
        <v>0</v>
      </c>
      <c r="T237" s="615">
        <f t="shared" si="344"/>
        <v>0</v>
      </c>
      <c r="U237" s="615">
        <f>U218</f>
        <v>0</v>
      </c>
    </row>
    <row r="238" spans="3:21" collapsed="1">
      <c r="C238" s="399" t="s">
        <v>326</v>
      </c>
      <c r="D238" s="399"/>
      <c r="G238" s="361">
        <f t="shared" ref="G238:I238" si="345">SUM(G236:G237)</f>
        <v>191.37100000000001</v>
      </c>
      <c r="H238" s="361">
        <f t="shared" si="345"/>
        <v>130.14699999999999</v>
      </c>
      <c r="I238" s="361">
        <f t="shared" si="345"/>
        <v>363.07899999999995</v>
      </c>
      <c r="J238" s="361">
        <f t="shared" ref="J238:O238" si="346">SUM(J236:J237)</f>
        <v>335.214</v>
      </c>
      <c r="K238" s="665">
        <f t="shared" si="346"/>
        <v>292.76424177896331</v>
      </c>
      <c r="L238" s="615">
        <f t="shared" si="346"/>
        <v>101.01009212418333</v>
      </c>
      <c r="M238" s="615">
        <f t="shared" si="346"/>
        <v>47.5</v>
      </c>
      <c r="N238" s="615">
        <f t="shared" si="346"/>
        <v>0</v>
      </c>
      <c r="O238" s="615">
        <f t="shared" si="346"/>
        <v>0</v>
      </c>
      <c r="P238" s="615">
        <f t="shared" ref="P238:U238" si="347">SUM(P236:P237)</f>
        <v>0</v>
      </c>
      <c r="Q238" s="615">
        <f t="shared" si="347"/>
        <v>0</v>
      </c>
      <c r="R238" s="615">
        <f t="shared" si="347"/>
        <v>0</v>
      </c>
      <c r="S238" s="615">
        <f t="shared" si="347"/>
        <v>0</v>
      </c>
      <c r="T238" s="615">
        <f t="shared" si="347"/>
        <v>0</v>
      </c>
      <c r="U238" s="615">
        <f t="shared" si="347"/>
        <v>0</v>
      </c>
    </row>
    <row r="239" spans="3:21">
      <c r="C239" s="357" t="s">
        <v>493</v>
      </c>
      <c r="G239" s="361">
        <f>G194+G195</f>
        <v>54.917000000000002</v>
      </c>
      <c r="H239" s="361">
        <f>H194+H195</f>
        <v>13.047000000000001</v>
      </c>
      <c r="I239" s="361">
        <f>I194+I195</f>
        <v>1.6879999999999999</v>
      </c>
      <c r="J239" s="361">
        <f>J194+J195</f>
        <v>13.125</v>
      </c>
      <c r="K239" s="665">
        <f t="shared" ref="K239:U239" si="348">K194+K195</f>
        <v>30.368861617572747</v>
      </c>
      <c r="L239" s="615">
        <f t="shared" si="348"/>
        <v>135.81208406667383</v>
      </c>
      <c r="M239" s="615">
        <f t="shared" si="348"/>
        <v>126.33162064465296</v>
      </c>
      <c r="N239" s="615">
        <f t="shared" si="348"/>
        <v>72.583035102266876</v>
      </c>
      <c r="O239" s="615">
        <f t="shared" si="348"/>
        <v>83.531194686038816</v>
      </c>
      <c r="P239" s="615">
        <f t="shared" si="348"/>
        <v>84.637931822839164</v>
      </c>
      <c r="Q239" s="615">
        <f t="shared" si="348"/>
        <v>128.70933067536998</v>
      </c>
      <c r="R239" s="615">
        <f t="shared" si="348"/>
        <v>128.70870295431541</v>
      </c>
      <c r="S239" s="615">
        <f>S194+S195</f>
        <v>140.04466205108292</v>
      </c>
      <c r="T239" s="615">
        <f t="shared" si="348"/>
        <v>164.94540114201027</v>
      </c>
      <c r="U239" s="615">
        <f t="shared" si="348"/>
        <v>162.25496009864219</v>
      </c>
    </row>
    <row r="240" spans="3:21">
      <c r="C240" s="357" t="s">
        <v>327</v>
      </c>
      <c r="G240" s="361">
        <f t="shared" ref="G240:I240" si="349">G238-G239</f>
        <v>136.45400000000001</v>
      </c>
      <c r="H240" s="361">
        <f t="shared" si="349"/>
        <v>117.1</v>
      </c>
      <c r="I240" s="361">
        <f t="shared" si="349"/>
        <v>361.39099999999996</v>
      </c>
      <c r="J240" s="361">
        <f>J238-J239</f>
        <v>322.089</v>
      </c>
      <c r="K240" s="665">
        <f t="shared" ref="K240:O240" si="350">K238-K239</f>
        <v>262.39538016139056</v>
      </c>
      <c r="L240" s="615">
        <f t="shared" si="350"/>
        <v>-34.801991942490503</v>
      </c>
      <c r="M240" s="615">
        <f t="shared" si="350"/>
        <v>-78.831620644652958</v>
      </c>
      <c r="N240" s="615">
        <f t="shared" si="350"/>
        <v>-72.583035102266876</v>
      </c>
      <c r="O240" s="615">
        <f t="shared" si="350"/>
        <v>-83.531194686038816</v>
      </c>
      <c r="P240" s="615">
        <f t="shared" ref="P240:U240" si="351">P238-P239</f>
        <v>-84.637931822839164</v>
      </c>
      <c r="Q240" s="615">
        <f t="shared" si="351"/>
        <v>-128.70933067536998</v>
      </c>
      <c r="R240" s="615">
        <f t="shared" si="351"/>
        <v>-128.70870295431541</v>
      </c>
      <c r="S240" s="615">
        <f t="shared" si="351"/>
        <v>-140.04466205108292</v>
      </c>
      <c r="T240" s="615">
        <f t="shared" si="351"/>
        <v>-164.94540114201027</v>
      </c>
      <c r="U240" s="615">
        <f t="shared" si="351"/>
        <v>-162.25496009864219</v>
      </c>
    </row>
    <row r="241" spans="2:29">
      <c r="C241" s="357" t="s">
        <v>568</v>
      </c>
      <c r="E241" s="423"/>
      <c r="F241" s="423"/>
      <c r="G241" s="423">
        <f t="shared" ref="G241:U241" si="352">G238/G220</f>
        <v>0.20611369420543194</v>
      </c>
      <c r="H241" s="423">
        <f t="shared" si="352"/>
        <v>0.11063074151931854</v>
      </c>
      <c r="I241" s="423">
        <f t="shared" si="352"/>
        <v>0.20402877584645088</v>
      </c>
      <c r="J241" s="423">
        <f t="shared" si="352"/>
        <v>0.16176829686138217</v>
      </c>
      <c r="K241" s="668">
        <f t="shared" si="352"/>
        <v>0.12937736211685866</v>
      </c>
      <c r="L241" s="622">
        <f t="shared" si="352"/>
        <v>3.8240953435770546E-2</v>
      </c>
      <c r="M241" s="622">
        <f t="shared" si="352"/>
        <v>1.7252230434951124E-2</v>
      </c>
      <c r="N241" s="622">
        <f t="shared" si="352"/>
        <v>0</v>
      </c>
      <c r="O241" s="622">
        <f t="shared" si="352"/>
        <v>0</v>
      </c>
      <c r="P241" s="622">
        <f t="shared" si="352"/>
        <v>0</v>
      </c>
      <c r="Q241" s="622">
        <f t="shared" si="352"/>
        <v>0</v>
      </c>
      <c r="R241" s="622">
        <f t="shared" si="352"/>
        <v>0</v>
      </c>
      <c r="S241" s="622">
        <f t="shared" si="352"/>
        <v>0</v>
      </c>
      <c r="T241" s="622">
        <f t="shared" si="352"/>
        <v>0</v>
      </c>
      <c r="U241" s="622">
        <f t="shared" si="352"/>
        <v>0</v>
      </c>
    </row>
    <row r="242" spans="2:29">
      <c r="C242" s="352"/>
      <c r="D242" s="352"/>
      <c r="E242" s="368"/>
      <c r="F242" s="368"/>
      <c r="G242" s="368"/>
      <c r="H242" s="368"/>
      <c r="I242" s="368"/>
      <c r="J242" s="368"/>
      <c r="K242" s="640"/>
      <c r="L242" s="386"/>
      <c r="M242" s="386"/>
      <c r="N242" s="386"/>
      <c r="O242" s="386"/>
      <c r="P242" s="386"/>
      <c r="Q242" s="386"/>
      <c r="R242" s="386"/>
      <c r="S242" s="386"/>
      <c r="T242" s="386"/>
      <c r="U242" s="386"/>
    </row>
    <row r="243" spans="2:29">
      <c r="C243" s="352"/>
      <c r="D243" s="352"/>
      <c r="E243" s="368"/>
      <c r="F243" s="368"/>
      <c r="G243" s="368"/>
      <c r="H243" s="368"/>
      <c r="I243" s="368"/>
      <c r="J243" s="368"/>
      <c r="K243" s="640"/>
      <c r="L243" s="386"/>
      <c r="M243" s="386"/>
      <c r="N243" s="386"/>
      <c r="O243" s="386"/>
      <c r="P243" s="386"/>
      <c r="Q243" s="386"/>
      <c r="R243" s="386"/>
      <c r="S243" s="386"/>
      <c r="T243" s="386"/>
      <c r="U243" s="386"/>
    </row>
    <row r="244" spans="2:29">
      <c r="C244" s="352"/>
      <c r="D244" s="352"/>
      <c r="E244" s="368"/>
      <c r="F244" s="368"/>
      <c r="G244" s="368"/>
      <c r="H244" s="368"/>
      <c r="I244" s="368"/>
      <c r="J244" s="368"/>
      <c r="K244" s="640"/>
      <c r="L244" s="386"/>
      <c r="M244" s="386"/>
      <c r="N244" s="386"/>
      <c r="O244" s="386"/>
      <c r="P244" s="386"/>
      <c r="Q244" s="386"/>
      <c r="R244" s="386"/>
      <c r="S244" s="386"/>
      <c r="T244" s="386"/>
      <c r="U244" s="386"/>
    </row>
    <row r="245" spans="2:29">
      <c r="B245" s="452"/>
      <c r="C245" s="452"/>
      <c r="D245" s="452"/>
      <c r="E245" s="453"/>
      <c r="F245" s="453"/>
      <c r="G245" s="453"/>
      <c r="H245" s="453"/>
      <c r="I245" s="453"/>
      <c r="J245" s="453"/>
      <c r="K245" s="669"/>
      <c r="L245" s="454"/>
      <c r="M245" s="454"/>
      <c r="N245" s="454"/>
      <c r="O245" s="454"/>
      <c r="P245" s="454"/>
      <c r="Q245" s="454"/>
      <c r="R245" s="454"/>
      <c r="S245" s="454"/>
      <c r="T245" s="454"/>
      <c r="U245" s="454"/>
    </row>
    <row r="246" spans="2:29">
      <c r="B246" s="455" t="s">
        <v>705</v>
      </c>
      <c r="C246" s="452"/>
      <c r="D246" s="452"/>
      <c r="E246" s="453"/>
      <c r="F246" s="453"/>
      <c r="G246" s="453"/>
      <c r="H246" s="453"/>
      <c r="I246" s="453"/>
      <c r="J246" s="453"/>
      <c r="K246" s="669"/>
      <c r="L246" s="454"/>
      <c r="M246" s="454"/>
      <c r="N246" s="454"/>
      <c r="O246" s="454"/>
      <c r="P246" s="454"/>
      <c r="Q246" s="454"/>
      <c r="R246" s="454"/>
      <c r="S246" s="454"/>
      <c r="T246" s="454"/>
      <c r="U246" s="454"/>
    </row>
    <row r="247" spans="2:29">
      <c r="B247" s="452"/>
      <c r="C247" s="452"/>
      <c r="D247" s="452"/>
      <c r="E247" s="453"/>
      <c r="F247" s="453"/>
      <c r="G247" s="453"/>
      <c r="H247" s="453"/>
      <c r="I247" s="453"/>
      <c r="J247" s="453"/>
      <c r="K247" s="669"/>
      <c r="L247" s="454"/>
      <c r="M247" s="454"/>
      <c r="N247" s="454"/>
      <c r="O247" s="454"/>
      <c r="P247" s="454"/>
      <c r="Q247" s="454"/>
      <c r="R247" s="454"/>
      <c r="S247" s="454"/>
      <c r="T247" s="454"/>
      <c r="U247" s="454"/>
    </row>
    <row r="248" spans="2:29" s="376" customFormat="1">
      <c r="B248" s="543"/>
      <c r="C248" s="543"/>
      <c r="D248" s="543"/>
      <c r="E248" s="544"/>
      <c r="F248" s="544"/>
      <c r="G248" s="544"/>
      <c r="H248" s="544"/>
      <c r="I248" s="544"/>
      <c r="J248" s="544"/>
      <c r="K248" s="670"/>
      <c r="L248" s="604"/>
      <c r="M248" s="604"/>
      <c r="N248" s="604"/>
      <c r="O248" s="604"/>
      <c r="P248" s="604"/>
      <c r="Q248" s="604"/>
      <c r="R248" s="604"/>
      <c r="S248" s="604"/>
      <c r="T248" s="604"/>
      <c r="U248" s="604"/>
    </row>
    <row r="249" spans="2:29">
      <c r="C249" s="393" t="s">
        <v>640</v>
      </c>
      <c r="D249" s="394"/>
      <c r="E249" s="395"/>
      <c r="F249" s="546">
        <v>0.124</v>
      </c>
      <c r="G249" s="396">
        <f>F249</f>
        <v>0.124</v>
      </c>
      <c r="H249" s="396">
        <f t="shared" ref="H249:U249" si="353">G249</f>
        <v>0.124</v>
      </c>
      <c r="I249" s="396">
        <f t="shared" si="353"/>
        <v>0.124</v>
      </c>
      <c r="J249" s="396">
        <f t="shared" si="353"/>
        <v>0.124</v>
      </c>
      <c r="K249" s="671">
        <f>J249</f>
        <v>0.124</v>
      </c>
      <c r="L249" s="605">
        <f t="shared" si="353"/>
        <v>0.124</v>
      </c>
      <c r="M249" s="605">
        <f t="shared" si="353"/>
        <v>0.124</v>
      </c>
      <c r="N249" s="605">
        <f t="shared" si="353"/>
        <v>0.124</v>
      </c>
      <c r="O249" s="605">
        <f>N249</f>
        <v>0.124</v>
      </c>
      <c r="P249" s="605">
        <f t="shared" si="353"/>
        <v>0.124</v>
      </c>
      <c r="Q249" s="605">
        <f t="shared" si="353"/>
        <v>0.124</v>
      </c>
      <c r="R249" s="605">
        <f t="shared" si="353"/>
        <v>0.124</v>
      </c>
      <c r="S249" s="605">
        <f>R249</f>
        <v>0.124</v>
      </c>
      <c r="T249" s="605">
        <f t="shared" si="353"/>
        <v>0.124</v>
      </c>
      <c r="U249" s="605">
        <f t="shared" si="353"/>
        <v>0.124</v>
      </c>
      <c r="V249" s="386"/>
      <c r="W249" s="386"/>
      <c r="X249" s="386"/>
      <c r="Y249" s="386"/>
      <c r="Z249" s="386"/>
      <c r="AA249" s="386"/>
      <c r="AB249" s="386"/>
      <c r="AC249" s="386"/>
    </row>
    <row r="250" spans="2:29">
      <c r="K250" s="672"/>
      <c r="L250" s="606"/>
      <c r="M250" s="606"/>
      <c r="N250" s="606"/>
      <c r="O250" s="606"/>
      <c r="P250" s="606"/>
      <c r="Q250" s="606"/>
      <c r="R250" s="606"/>
      <c r="S250" s="607"/>
      <c r="T250" s="607"/>
      <c r="U250" s="607"/>
      <c r="V250" s="386"/>
      <c r="W250" s="386"/>
      <c r="X250" s="386"/>
      <c r="Y250" s="386"/>
      <c r="Z250" s="386"/>
      <c r="AA250" s="386"/>
      <c r="AB250" s="386"/>
      <c r="AC250" s="386"/>
    </row>
    <row r="251" spans="2:29">
      <c r="K251" s="672"/>
      <c r="L251" s="606"/>
      <c r="M251" s="606"/>
      <c r="N251" s="606"/>
      <c r="O251" s="606"/>
      <c r="P251" s="606"/>
      <c r="Q251" s="606"/>
      <c r="R251" s="606"/>
      <c r="S251" s="607"/>
      <c r="T251" s="607"/>
      <c r="U251" s="607"/>
      <c r="V251" s="386"/>
      <c r="W251" s="386"/>
      <c r="X251" s="386"/>
      <c r="Y251" s="386"/>
      <c r="Z251" s="386"/>
      <c r="AA251" s="386"/>
      <c r="AB251" s="386"/>
      <c r="AC251" s="386"/>
    </row>
    <row r="252" spans="2:29">
      <c r="C252" s="357" t="s">
        <v>641</v>
      </c>
      <c r="D252" s="547"/>
      <c r="E252" s="548"/>
      <c r="F252" s="548"/>
      <c r="G252" s="549"/>
      <c r="H252" s="549"/>
      <c r="I252" s="549"/>
      <c r="J252" s="548">
        <f>-32.158/12.4%</f>
        <v>-259.33870967741939</v>
      </c>
      <c r="K252" s="673">
        <f>J252</f>
        <v>-259.33870967741939</v>
      </c>
      <c r="L252" s="549">
        <f t="shared" ref="L252:M252" si="354">K252</f>
        <v>-259.33870967741939</v>
      </c>
      <c r="M252" s="549">
        <f t="shared" si="354"/>
        <v>-259.33870967741939</v>
      </c>
      <c r="N252" s="549">
        <f>M252*90%</f>
        <v>-233.40483870967745</v>
      </c>
      <c r="O252" s="549">
        <f t="shared" ref="O252" si="355">N252*90%</f>
        <v>-210.0643548387097</v>
      </c>
      <c r="P252" s="549">
        <f>O252*70%</f>
        <v>-147.04504838709678</v>
      </c>
      <c r="Q252" s="549">
        <f t="shared" ref="Q252:R252" si="356">P252*70%</f>
        <v>-102.93153387096774</v>
      </c>
      <c r="R252" s="549">
        <f t="shared" si="356"/>
        <v>-72.052073709677416</v>
      </c>
      <c r="S252" s="549">
        <f>R252*50%</f>
        <v>-36.026036854838708</v>
      </c>
      <c r="T252" s="549">
        <f>S252*50%</f>
        <v>-18.013018427419354</v>
      </c>
      <c r="U252" s="549">
        <v>0</v>
      </c>
      <c r="V252" s="386"/>
      <c r="W252" s="386"/>
      <c r="X252" s="386"/>
      <c r="Y252" s="386"/>
      <c r="Z252" s="386"/>
      <c r="AA252" s="386"/>
      <c r="AB252" s="386"/>
      <c r="AC252" s="386"/>
    </row>
    <row r="253" spans="2:29">
      <c r="C253" s="550"/>
      <c r="J253" s="551"/>
      <c r="K253" s="672"/>
      <c r="L253" s="606"/>
      <c r="M253" s="606"/>
      <c r="N253" s="606"/>
      <c r="O253" s="606"/>
      <c r="P253" s="606"/>
      <c r="Q253" s="606"/>
      <c r="R253" s="606"/>
      <c r="S253" s="607"/>
      <c r="T253" s="607"/>
      <c r="U253" s="607"/>
      <c r="V253" s="386"/>
      <c r="W253" s="386"/>
      <c r="X253" s="386"/>
      <c r="Y253" s="386"/>
      <c r="Z253" s="386"/>
      <c r="AA253" s="386"/>
      <c r="AB253" s="386"/>
      <c r="AC253" s="386"/>
    </row>
    <row r="254" spans="2:29">
      <c r="C254" s="411" t="s">
        <v>492</v>
      </c>
      <c r="D254" s="411"/>
      <c r="E254" s="457"/>
      <c r="F254" s="457"/>
      <c r="G254" s="457"/>
      <c r="H254" s="457"/>
      <c r="I254" s="457"/>
      <c r="J254" s="457">
        <f>J255+J256+J257</f>
        <v>1655.5725806451615</v>
      </c>
      <c r="K254" s="674">
        <f t="shared" ref="K254:U254" si="357">K255+K256+K257</f>
        <v>3477.2338709677424</v>
      </c>
      <c r="L254" s="608">
        <f t="shared" si="357"/>
        <v>4161.8951612903238</v>
      </c>
      <c r="M254" s="608">
        <f t="shared" si="357"/>
        <v>4041.5564516129039</v>
      </c>
      <c r="N254" s="608">
        <f t="shared" si="357"/>
        <v>3808.1516129032261</v>
      </c>
      <c r="O254" s="608">
        <f t="shared" si="357"/>
        <v>3598.0872580645164</v>
      </c>
      <c r="P254" s="608">
        <f t="shared" si="357"/>
        <v>3451.04220967742</v>
      </c>
      <c r="Q254" s="608">
        <f t="shared" si="357"/>
        <v>3348.110675806452</v>
      </c>
      <c r="R254" s="608">
        <f t="shared" si="357"/>
        <v>3276.0586020967748</v>
      </c>
      <c r="S254" s="608">
        <f t="shared" si="357"/>
        <v>3240.032565241936</v>
      </c>
      <c r="T254" s="608">
        <f t="shared" si="357"/>
        <v>3222.0195468145166</v>
      </c>
      <c r="U254" s="608">
        <f t="shared" si="357"/>
        <v>3222.0195468145166</v>
      </c>
      <c r="V254" s="386"/>
      <c r="W254" s="386"/>
      <c r="X254" s="386"/>
      <c r="Y254" s="386"/>
      <c r="Z254" s="386"/>
      <c r="AA254" s="386"/>
      <c r="AB254" s="386"/>
      <c r="AC254" s="386"/>
    </row>
    <row r="255" spans="2:29">
      <c r="C255" s="357" t="s">
        <v>642</v>
      </c>
      <c r="J255" s="361">
        <v>2181.0967741935488</v>
      </c>
      <c r="K255" s="675">
        <f t="shared" ref="K255:U255" si="358">J255+K259</f>
        <v>4262.0967741935492</v>
      </c>
      <c r="L255" s="609">
        <f t="shared" si="358"/>
        <v>5206.0967741935492</v>
      </c>
      <c r="M255" s="609">
        <f t="shared" si="358"/>
        <v>5345.0967741935492</v>
      </c>
      <c r="N255" s="609">
        <f t="shared" si="358"/>
        <v>5345.0967741935492</v>
      </c>
      <c r="O255" s="609">
        <f t="shared" si="358"/>
        <v>5345.0967741935492</v>
      </c>
      <c r="P255" s="609">
        <f t="shared" si="358"/>
        <v>5345.0967741935492</v>
      </c>
      <c r="Q255" s="609">
        <f t="shared" si="358"/>
        <v>5345.0967741935492</v>
      </c>
      <c r="R255" s="609">
        <f t="shared" si="358"/>
        <v>5345.0967741935492</v>
      </c>
      <c r="S255" s="609">
        <f t="shared" si="358"/>
        <v>5345.0967741935492</v>
      </c>
      <c r="T255" s="609">
        <f t="shared" si="358"/>
        <v>5345.0967741935492</v>
      </c>
      <c r="U255" s="609">
        <f t="shared" si="358"/>
        <v>5345.0967741935492</v>
      </c>
      <c r="V255" s="386"/>
      <c r="W255" s="386"/>
      <c r="X255" s="386"/>
      <c r="Y255" s="386"/>
      <c r="Z255" s="386"/>
      <c r="AA255" s="386"/>
      <c r="AB255" s="386"/>
      <c r="AC255" s="386"/>
    </row>
    <row r="256" spans="2:29">
      <c r="C256" s="357" t="s">
        <v>643</v>
      </c>
      <c r="J256" s="361">
        <v>7.032258064516129</v>
      </c>
      <c r="K256" s="675">
        <f>J256</f>
        <v>7.032258064516129</v>
      </c>
      <c r="L256" s="609">
        <f t="shared" ref="L256:U256" si="359">K256</f>
        <v>7.032258064516129</v>
      </c>
      <c r="M256" s="609">
        <f t="shared" si="359"/>
        <v>7.032258064516129</v>
      </c>
      <c r="N256" s="609">
        <f t="shared" si="359"/>
        <v>7.032258064516129</v>
      </c>
      <c r="O256" s="609">
        <f t="shared" si="359"/>
        <v>7.032258064516129</v>
      </c>
      <c r="P256" s="609">
        <f t="shared" si="359"/>
        <v>7.032258064516129</v>
      </c>
      <c r="Q256" s="609">
        <f t="shared" si="359"/>
        <v>7.032258064516129</v>
      </c>
      <c r="R256" s="609">
        <f t="shared" si="359"/>
        <v>7.032258064516129</v>
      </c>
      <c r="S256" s="609">
        <f t="shared" si="359"/>
        <v>7.032258064516129</v>
      </c>
      <c r="T256" s="609">
        <f t="shared" si="359"/>
        <v>7.032258064516129</v>
      </c>
      <c r="U256" s="609">
        <f t="shared" si="359"/>
        <v>7.032258064516129</v>
      </c>
      <c r="V256" s="386"/>
      <c r="W256" s="386"/>
      <c r="X256" s="386"/>
      <c r="Y256" s="386"/>
      <c r="Z256" s="386"/>
      <c r="AA256" s="386"/>
      <c r="AB256" s="386"/>
      <c r="AC256" s="386"/>
    </row>
    <row r="257" spans="3:29">
      <c r="C257" s="357" t="s">
        <v>644</v>
      </c>
      <c r="J257" s="361">
        <v>-532.55645161290329</v>
      </c>
      <c r="K257" s="675">
        <f t="shared" ref="K257:U257" si="360">J257+K252</f>
        <v>-791.89516129032268</v>
      </c>
      <c r="L257" s="609">
        <f t="shared" si="360"/>
        <v>-1051.233870967742</v>
      </c>
      <c r="M257" s="609">
        <f t="shared" si="360"/>
        <v>-1310.5725806451615</v>
      </c>
      <c r="N257" s="609">
        <f t="shared" si="360"/>
        <v>-1543.977419354839</v>
      </c>
      <c r="O257" s="609">
        <f t="shared" si="360"/>
        <v>-1754.0417741935487</v>
      </c>
      <c r="P257" s="609">
        <f t="shared" si="360"/>
        <v>-1901.0868225806455</v>
      </c>
      <c r="Q257" s="609">
        <f t="shared" si="360"/>
        <v>-2004.0183564516133</v>
      </c>
      <c r="R257" s="609">
        <f t="shared" si="360"/>
        <v>-2076.0704301612905</v>
      </c>
      <c r="S257" s="609">
        <f t="shared" si="360"/>
        <v>-2112.0964670161293</v>
      </c>
      <c r="T257" s="609">
        <f t="shared" si="360"/>
        <v>-2130.1094854435487</v>
      </c>
      <c r="U257" s="609">
        <f t="shared" si="360"/>
        <v>-2130.1094854435487</v>
      </c>
      <c r="V257" s="386"/>
      <c r="W257" s="386"/>
      <c r="X257" s="386"/>
      <c r="Y257" s="386"/>
      <c r="Z257" s="386"/>
      <c r="AA257" s="386"/>
      <c r="AB257" s="386"/>
      <c r="AC257" s="386"/>
    </row>
    <row r="258" spans="3:29">
      <c r="K258" s="672"/>
      <c r="L258" s="606"/>
      <c r="M258" s="606"/>
      <c r="N258" s="606"/>
      <c r="O258" s="606"/>
      <c r="P258" s="606"/>
      <c r="Q258" s="606"/>
      <c r="R258" s="606"/>
      <c r="S258" s="607"/>
      <c r="T258" s="607"/>
      <c r="U258" s="607"/>
      <c r="V258" s="386"/>
      <c r="W258" s="386"/>
      <c r="X258" s="386"/>
      <c r="Y258" s="386"/>
      <c r="Z258" s="386"/>
      <c r="AA258" s="386"/>
      <c r="AB258" s="386"/>
      <c r="AC258" s="386"/>
    </row>
    <row r="259" spans="3:29">
      <c r="C259" s="552" t="s">
        <v>645</v>
      </c>
      <c r="D259" s="553"/>
      <c r="E259" s="549"/>
      <c r="F259" s="549"/>
      <c r="G259" s="549"/>
      <c r="H259" s="549"/>
      <c r="I259" s="549"/>
      <c r="J259" s="554"/>
      <c r="K259" s="673">
        <v>2081</v>
      </c>
      <c r="L259" s="553">
        <v>944</v>
      </c>
      <c r="M259" s="554">
        <v>139</v>
      </c>
      <c r="N259" s="554"/>
      <c r="O259" s="554"/>
      <c r="P259" s="554"/>
      <c r="Q259" s="554"/>
      <c r="R259" s="554"/>
      <c r="S259" s="555"/>
      <c r="T259" s="555"/>
      <c r="U259" s="555"/>
      <c r="V259" s="386"/>
      <c r="W259" s="386"/>
      <c r="X259" s="386"/>
      <c r="Y259" s="386"/>
      <c r="Z259" s="386"/>
      <c r="AA259" s="386"/>
      <c r="AB259" s="386"/>
      <c r="AC259" s="386"/>
    </row>
    <row r="260" spans="3:29">
      <c r="C260" s="552" t="s">
        <v>646</v>
      </c>
      <c r="K260" s="666">
        <f>K259*K249</f>
        <v>258.04399999999998</v>
      </c>
      <c r="L260" s="610">
        <f>L259*L249</f>
        <v>117.056</v>
      </c>
      <c r="M260" s="610">
        <f>M259*M249</f>
        <v>17.236000000000001</v>
      </c>
      <c r="N260" s="606"/>
      <c r="O260" s="606"/>
      <c r="P260" s="606"/>
      <c r="Q260" s="606"/>
      <c r="R260" s="606"/>
      <c r="S260" s="607"/>
      <c r="T260" s="607"/>
      <c r="U260" s="607"/>
      <c r="V260" s="386"/>
      <c r="W260" s="386"/>
      <c r="X260" s="386"/>
      <c r="Y260" s="386"/>
      <c r="Z260" s="386"/>
      <c r="AA260" s="386"/>
      <c r="AB260" s="386"/>
      <c r="AC260" s="386"/>
    </row>
    <row r="261" spans="3:29">
      <c r="C261" s="352"/>
      <c r="K261" s="666"/>
      <c r="L261" s="606"/>
      <c r="M261" s="606"/>
      <c r="N261" s="606"/>
      <c r="O261" s="606"/>
      <c r="P261" s="606"/>
      <c r="Q261" s="606"/>
      <c r="R261" s="606"/>
      <c r="S261" s="607"/>
      <c r="T261" s="607"/>
      <c r="U261" s="607"/>
      <c r="V261" s="386"/>
      <c r="W261" s="386"/>
      <c r="X261" s="386"/>
      <c r="Y261" s="386"/>
      <c r="Z261" s="386"/>
      <c r="AA261" s="386"/>
      <c r="AB261" s="386"/>
      <c r="AC261" s="386"/>
    </row>
    <row r="262" spans="3:29">
      <c r="C262" s="557" t="s">
        <v>647</v>
      </c>
      <c r="D262" s="558"/>
      <c r="E262" s="559"/>
      <c r="F262" s="559"/>
      <c r="G262" s="559"/>
      <c r="H262" s="559"/>
      <c r="I262" s="559"/>
      <c r="J262" s="559">
        <v>-32.158000000000001</v>
      </c>
      <c r="K262" s="676">
        <f>(K254-J254)*K249</f>
        <v>225.88600000000002</v>
      </c>
      <c r="L262" s="560">
        <f t="shared" ref="L262:U262" si="361">(L254-K254)*L249</f>
        <v>84.898000000000096</v>
      </c>
      <c r="M262" s="560">
        <f t="shared" si="361"/>
        <v>-14.922000000000075</v>
      </c>
      <c r="N262" s="560">
        <f>(N254-M254)*N249</f>
        <v>-28.942200000000039</v>
      </c>
      <c r="O262" s="560">
        <f t="shared" si="361"/>
        <v>-26.047980000000006</v>
      </c>
      <c r="P262" s="560">
        <f t="shared" si="361"/>
        <v>-18.233585999999949</v>
      </c>
      <c r="Q262" s="560">
        <f t="shared" si="361"/>
        <v>-12.763510200000031</v>
      </c>
      <c r="R262" s="560">
        <f t="shared" si="361"/>
        <v>-8.9344571399999708</v>
      </c>
      <c r="S262" s="560">
        <f t="shared" si="361"/>
        <v>-4.4672285700000138</v>
      </c>
      <c r="T262" s="560">
        <f t="shared" si="361"/>
        <v>-2.2336142850000069</v>
      </c>
      <c r="U262" s="561">
        <f t="shared" si="361"/>
        <v>0</v>
      </c>
      <c r="V262" s="386"/>
      <c r="W262" s="386"/>
      <c r="X262" s="386"/>
      <c r="Y262" s="386"/>
      <c r="Z262" s="386"/>
      <c r="AA262" s="386"/>
      <c r="AB262" s="386"/>
      <c r="AC262" s="386"/>
    </row>
    <row r="263" spans="3:29">
      <c r="K263" s="666"/>
      <c r="L263" s="606"/>
      <c r="M263" s="606"/>
      <c r="N263" s="606"/>
      <c r="O263" s="606"/>
      <c r="P263" s="606"/>
      <c r="Q263" s="606"/>
      <c r="R263" s="606"/>
      <c r="S263" s="607"/>
      <c r="T263" s="607"/>
      <c r="U263" s="607"/>
      <c r="V263" s="386"/>
      <c r="W263" s="386"/>
      <c r="X263" s="386"/>
      <c r="Y263" s="386"/>
      <c r="Z263" s="386"/>
      <c r="AA263" s="386"/>
      <c r="AB263" s="386"/>
      <c r="AC263" s="386"/>
    </row>
    <row r="264" spans="3:29">
      <c r="K264" s="672"/>
      <c r="L264" s="606"/>
      <c r="M264" s="606"/>
      <c r="N264" s="606"/>
      <c r="O264" s="606"/>
      <c r="P264" s="606"/>
      <c r="Q264" s="606"/>
      <c r="R264" s="606"/>
      <c r="S264" s="607"/>
      <c r="T264" s="607"/>
      <c r="U264" s="607"/>
      <c r="V264" s="386"/>
      <c r="W264" s="386"/>
      <c r="X264" s="386"/>
      <c r="Y264" s="386"/>
      <c r="Z264" s="386"/>
      <c r="AA264" s="386"/>
      <c r="AB264" s="386"/>
      <c r="AC264" s="386"/>
    </row>
    <row r="265" spans="3:29">
      <c r="C265" s="393" t="s">
        <v>508</v>
      </c>
      <c r="D265" s="394"/>
      <c r="E265" s="395">
        <v>1</v>
      </c>
      <c r="F265" s="395">
        <v>1</v>
      </c>
      <c r="G265" s="396">
        <f t="shared" ref="G265:H265" si="362">1-14.87%</f>
        <v>0.85129999999999995</v>
      </c>
      <c r="H265" s="396">
        <f t="shared" si="362"/>
        <v>0.85129999999999995</v>
      </c>
      <c r="I265" s="396">
        <f>1-14.87%</f>
        <v>0.85129999999999995</v>
      </c>
      <c r="J265" s="396">
        <v>0.90349999999999997</v>
      </c>
      <c r="K265" s="677">
        <f>1-8.16%</f>
        <v>0.91839999999999999</v>
      </c>
      <c r="L265" s="611">
        <f>1-0.74%</f>
        <v>0.99260000000000004</v>
      </c>
      <c r="M265" s="611">
        <v>1</v>
      </c>
      <c r="N265" s="611">
        <v>1</v>
      </c>
      <c r="O265" s="611">
        <v>1</v>
      </c>
      <c r="P265" s="611">
        <v>1</v>
      </c>
      <c r="Q265" s="611">
        <v>1</v>
      </c>
      <c r="R265" s="611">
        <v>1</v>
      </c>
      <c r="S265" s="611">
        <v>1</v>
      </c>
      <c r="T265" s="611">
        <v>1</v>
      </c>
      <c r="U265" s="611">
        <v>1</v>
      </c>
    </row>
    <row r="267" spans="3:29">
      <c r="C267" s="397" t="s">
        <v>509</v>
      </c>
      <c r="D267" s="350"/>
      <c r="E267" s="398">
        <v>2006</v>
      </c>
      <c r="F267" s="398">
        <v>2007</v>
      </c>
      <c r="G267" s="398">
        <v>2008</v>
      </c>
      <c r="H267" s="398">
        <v>2009</v>
      </c>
      <c r="I267" s="398">
        <v>2010</v>
      </c>
      <c r="J267" s="398">
        <v>2011</v>
      </c>
      <c r="K267" s="644">
        <v>2012</v>
      </c>
      <c r="L267" s="398">
        <v>2013</v>
      </c>
      <c r="M267" s="398">
        <v>2014</v>
      </c>
      <c r="N267" s="398">
        <v>2015</v>
      </c>
      <c r="O267" s="398">
        <v>2016</v>
      </c>
      <c r="P267" s="398">
        <v>2017</v>
      </c>
      <c r="Q267" s="398">
        <v>2018</v>
      </c>
      <c r="R267" s="398">
        <v>2019</v>
      </c>
      <c r="S267" s="398">
        <v>2020</v>
      </c>
      <c r="T267" s="398">
        <v>2021</v>
      </c>
      <c r="U267" s="398">
        <v>2022</v>
      </c>
    </row>
    <row r="268" spans="3:29" hidden="1" outlineLevel="1">
      <c r="C268" s="399" t="s">
        <v>510</v>
      </c>
      <c r="D268" s="399"/>
      <c r="E268" s="537">
        <v>0</v>
      </c>
      <c r="F268" s="537">
        <v>0</v>
      </c>
      <c r="G268" s="504">
        <v>0</v>
      </c>
      <c r="H268" s="504">
        <v>0</v>
      </c>
      <c r="I268" s="504">
        <v>0</v>
      </c>
      <c r="J268" s="504">
        <v>0</v>
      </c>
      <c r="K268" s="678">
        <f>J268</f>
        <v>0</v>
      </c>
      <c r="L268" s="569">
        <f t="shared" ref="L268:U269" si="363">K268</f>
        <v>0</v>
      </c>
      <c r="M268" s="569">
        <f t="shared" si="363"/>
        <v>0</v>
      </c>
      <c r="N268" s="569">
        <f t="shared" si="363"/>
        <v>0</v>
      </c>
      <c r="O268" s="569">
        <f t="shared" si="363"/>
        <v>0</v>
      </c>
      <c r="P268" s="569">
        <f t="shared" si="363"/>
        <v>0</v>
      </c>
      <c r="Q268" s="569">
        <f t="shared" si="363"/>
        <v>0</v>
      </c>
      <c r="R268" s="569">
        <f t="shared" si="363"/>
        <v>0</v>
      </c>
      <c r="S268" s="569">
        <f t="shared" si="363"/>
        <v>0</v>
      </c>
      <c r="T268" s="569">
        <f t="shared" si="363"/>
        <v>0</v>
      </c>
      <c r="U268" s="569">
        <f t="shared" si="363"/>
        <v>0</v>
      </c>
    </row>
    <row r="269" spans="3:29" hidden="1" outlineLevel="1">
      <c r="C269" s="399" t="s">
        <v>511</v>
      </c>
      <c r="D269" s="399"/>
      <c r="E269" s="537">
        <v>0</v>
      </c>
      <c r="F269" s="537">
        <v>0</v>
      </c>
      <c r="G269" s="504">
        <v>0</v>
      </c>
      <c r="H269" s="504">
        <v>0</v>
      </c>
      <c r="I269" s="504">
        <v>0</v>
      </c>
      <c r="J269" s="504">
        <v>0</v>
      </c>
      <c r="K269" s="678">
        <f>J269</f>
        <v>0</v>
      </c>
      <c r="L269" s="569">
        <f t="shared" si="363"/>
        <v>0</v>
      </c>
      <c r="M269" s="569">
        <f t="shared" si="363"/>
        <v>0</v>
      </c>
      <c r="N269" s="569">
        <f t="shared" si="363"/>
        <v>0</v>
      </c>
      <c r="O269" s="569">
        <f t="shared" si="363"/>
        <v>0</v>
      </c>
      <c r="P269" s="569">
        <f t="shared" si="363"/>
        <v>0</v>
      </c>
      <c r="Q269" s="569">
        <f t="shared" si="363"/>
        <v>0</v>
      </c>
      <c r="R269" s="569">
        <f t="shared" si="363"/>
        <v>0</v>
      </c>
      <c r="S269" s="569">
        <f t="shared" si="363"/>
        <v>0</v>
      </c>
      <c r="T269" s="569">
        <f t="shared" si="363"/>
        <v>0</v>
      </c>
      <c r="U269" s="569">
        <f t="shared" si="363"/>
        <v>0</v>
      </c>
    </row>
    <row r="270" spans="3:29" collapsed="1">
      <c r="C270" s="401" t="s">
        <v>512</v>
      </c>
      <c r="D270" s="401"/>
      <c r="E270" s="538">
        <f>E268+E269</f>
        <v>0</v>
      </c>
      <c r="F270" s="538">
        <f t="shared" ref="F270:U270" si="364">F268+F269</f>
        <v>0</v>
      </c>
      <c r="G270" s="562">
        <f t="shared" si="364"/>
        <v>0</v>
      </c>
      <c r="H270" s="562">
        <f t="shared" si="364"/>
        <v>0</v>
      </c>
      <c r="I270" s="562">
        <f t="shared" si="364"/>
        <v>0</v>
      </c>
      <c r="J270" s="562">
        <f t="shared" si="364"/>
        <v>0</v>
      </c>
      <c r="K270" s="679">
        <f t="shared" si="364"/>
        <v>0</v>
      </c>
      <c r="L270" s="570">
        <f t="shared" si="364"/>
        <v>0</v>
      </c>
      <c r="M270" s="570">
        <f t="shared" si="364"/>
        <v>0</v>
      </c>
      <c r="N270" s="570">
        <f t="shared" si="364"/>
        <v>0</v>
      </c>
      <c r="O270" s="570">
        <f t="shared" si="364"/>
        <v>0</v>
      </c>
      <c r="P270" s="570">
        <f t="shared" si="364"/>
        <v>0</v>
      </c>
      <c r="Q270" s="570">
        <f t="shared" si="364"/>
        <v>0</v>
      </c>
      <c r="R270" s="570">
        <f t="shared" si="364"/>
        <v>0</v>
      </c>
      <c r="S270" s="570">
        <f t="shared" si="364"/>
        <v>0</v>
      </c>
      <c r="T270" s="570">
        <f t="shared" si="364"/>
        <v>0</v>
      </c>
      <c r="U270" s="570">
        <f t="shared" si="364"/>
        <v>0</v>
      </c>
    </row>
    <row r="271" spans="3:29">
      <c r="C271" s="401" t="s">
        <v>513</v>
      </c>
      <c r="D271" s="401"/>
      <c r="E271" s="538">
        <v>51.453000000000003</v>
      </c>
      <c r="F271" s="538">
        <v>206.53399999999999</v>
      </c>
      <c r="G271" s="562">
        <v>87.834000000000003</v>
      </c>
      <c r="H271" s="563">
        <v>528.80499999999995</v>
      </c>
      <c r="I271" s="563">
        <v>529.11599999999999</v>
      </c>
      <c r="J271" s="563">
        <v>263.52499999999998</v>
      </c>
      <c r="K271" s="680">
        <f t="shared" ref="K271:U271" si="365">K265*K172+K262</f>
        <v>835.01583328854167</v>
      </c>
      <c r="L271" s="571">
        <f t="shared" si="365"/>
        <v>577.67117552799346</v>
      </c>
      <c r="M271" s="571">
        <f t="shared" si="365"/>
        <v>566.1467949627704</v>
      </c>
      <c r="N271" s="571">
        <f t="shared" si="365"/>
        <v>659.27827893661629</v>
      </c>
      <c r="O271" s="571">
        <f t="shared" si="365"/>
        <v>754.16478752777323</v>
      </c>
      <c r="P271" s="571">
        <f t="shared" si="365"/>
        <v>873.05480597895416</v>
      </c>
      <c r="Q271" s="571">
        <f t="shared" si="365"/>
        <v>931.84821879371952</v>
      </c>
      <c r="R271" s="571">
        <f t="shared" si="365"/>
        <v>1044.8687729510664</v>
      </c>
      <c r="S271" s="571">
        <f t="shared" si="365"/>
        <v>1168.7216384631508</v>
      </c>
      <c r="T271" s="571">
        <f t="shared" si="365"/>
        <v>1251.4691310911542</v>
      </c>
      <c r="U271" s="571">
        <f t="shared" si="365"/>
        <v>1420.4982553865198</v>
      </c>
    </row>
    <row r="272" spans="3:29" hidden="1" outlineLevel="1">
      <c r="C272" s="403" t="s">
        <v>498</v>
      </c>
      <c r="D272" s="403"/>
      <c r="E272" s="480"/>
      <c r="F272" s="480">
        <f>F271/E271-1</f>
        <v>3.0140322235826869</v>
      </c>
      <c r="G272" s="480">
        <f t="shared" ref="G272:U272" si="366">G271/F271-1</f>
        <v>-0.57472377429382082</v>
      </c>
      <c r="H272" s="480">
        <f t="shared" si="366"/>
        <v>5.0205045882004686</v>
      </c>
      <c r="I272" s="480">
        <f t="shared" si="366"/>
        <v>5.8811849358475499E-4</v>
      </c>
      <c r="J272" s="480">
        <f t="shared" si="366"/>
        <v>-0.50195231291437037</v>
      </c>
      <c r="K272" s="681">
        <f t="shared" si="366"/>
        <v>2.1686399138166843</v>
      </c>
      <c r="L272" s="599">
        <f t="shared" si="366"/>
        <v>-0.30819135099157113</v>
      </c>
      <c r="M272" s="599">
        <f t="shared" si="366"/>
        <v>-1.9949724087738541E-2</v>
      </c>
      <c r="N272" s="599">
        <f t="shared" si="366"/>
        <v>0.16450059384328086</v>
      </c>
      <c r="O272" s="599">
        <f t="shared" si="366"/>
        <v>0.14392482146416885</v>
      </c>
      <c r="P272" s="599">
        <f t="shared" si="366"/>
        <v>0.15764461615996983</v>
      </c>
      <c r="Q272" s="599">
        <f t="shared" si="366"/>
        <v>6.7342178763726501E-2</v>
      </c>
      <c r="R272" s="599">
        <f t="shared" si="366"/>
        <v>0.1212864411584671</v>
      </c>
      <c r="S272" s="599">
        <f t="shared" si="366"/>
        <v>0.11853437361543651</v>
      </c>
      <c r="T272" s="599">
        <f t="shared" si="366"/>
        <v>7.0801711806084855E-2</v>
      </c>
      <c r="U272" s="599">
        <f t="shared" si="366"/>
        <v>0.13506455740381651</v>
      </c>
    </row>
    <row r="273" spans="3:21" collapsed="1">
      <c r="C273" s="401" t="s">
        <v>514</v>
      </c>
      <c r="D273" s="401"/>
      <c r="E273" s="538">
        <f>E274+E275+E278+E281</f>
        <v>-4.6899999999999995</v>
      </c>
      <c r="F273" s="538">
        <f t="shared" ref="F273:U273" si="367">F274+F275+F278+F281</f>
        <v>6.9099999999999993</v>
      </c>
      <c r="G273" s="562">
        <f t="shared" si="367"/>
        <v>10.989999999999998</v>
      </c>
      <c r="H273" s="562">
        <f t="shared" si="367"/>
        <v>-10.858000000000001</v>
      </c>
      <c r="I273" s="562">
        <f t="shared" si="367"/>
        <v>-205.65100000000001</v>
      </c>
      <c r="J273" s="562">
        <f t="shared" si="367"/>
        <v>-1.8500000000000003</v>
      </c>
      <c r="K273" s="679">
        <f t="shared" si="367"/>
        <v>-6.2181633485415224</v>
      </c>
      <c r="L273" s="570">
        <f t="shared" si="367"/>
        <v>-2.4753045529461448</v>
      </c>
      <c r="M273" s="570">
        <f t="shared" si="367"/>
        <v>-2.6242128412927035</v>
      </c>
      <c r="N273" s="570">
        <f t="shared" si="367"/>
        <v>-2.6746475409503536</v>
      </c>
      <c r="O273" s="570">
        <f t="shared" si="367"/>
        <v>-2.7297876942541106</v>
      </c>
      <c r="P273" s="570">
        <f t="shared" si="367"/>
        <v>-2.7502557750742049</v>
      </c>
      <c r="Q273" s="570">
        <f t="shared" si="367"/>
        <v>-2.8363947855015659</v>
      </c>
      <c r="R273" s="570">
        <f t="shared" si="367"/>
        <v>-2.8741039515160303</v>
      </c>
      <c r="S273" s="570">
        <f t="shared" si="367"/>
        <v>-2.9070099949826309</v>
      </c>
      <c r="T273" s="570">
        <f t="shared" si="367"/>
        <v>-2.987291767692458</v>
      </c>
      <c r="U273" s="570">
        <f t="shared" si="367"/>
        <v>-2.9878130793484372</v>
      </c>
    </row>
    <row r="274" spans="3:21" hidden="1" outlineLevel="1">
      <c r="C274" s="406" t="s">
        <v>515</v>
      </c>
      <c r="D274" s="406"/>
      <c r="E274" s="537">
        <v>0</v>
      </c>
      <c r="F274" s="537">
        <v>0</v>
      </c>
      <c r="G274" s="504">
        <v>0</v>
      </c>
      <c r="H274" s="504">
        <v>0</v>
      </c>
      <c r="I274" s="504">
        <v>0</v>
      </c>
      <c r="J274" s="504">
        <v>0</v>
      </c>
      <c r="K274" s="678">
        <f>J274</f>
        <v>0</v>
      </c>
      <c r="L274" s="569">
        <f t="shared" ref="L274:U274" si="368">K274</f>
        <v>0</v>
      </c>
      <c r="M274" s="569">
        <f t="shared" si="368"/>
        <v>0</v>
      </c>
      <c r="N274" s="569">
        <f t="shared" si="368"/>
        <v>0</v>
      </c>
      <c r="O274" s="569">
        <f t="shared" si="368"/>
        <v>0</v>
      </c>
      <c r="P274" s="569">
        <f t="shared" si="368"/>
        <v>0</v>
      </c>
      <c r="Q274" s="569">
        <f t="shared" si="368"/>
        <v>0</v>
      </c>
      <c r="R274" s="569">
        <f t="shared" si="368"/>
        <v>0</v>
      </c>
      <c r="S274" s="569">
        <f t="shared" si="368"/>
        <v>0</v>
      </c>
      <c r="T274" s="569">
        <f t="shared" si="368"/>
        <v>0</v>
      </c>
      <c r="U274" s="569">
        <f t="shared" si="368"/>
        <v>0</v>
      </c>
    </row>
    <row r="275" spans="3:21" hidden="1" outlineLevel="1">
      <c r="C275" s="406" t="s">
        <v>516</v>
      </c>
      <c r="D275" s="406"/>
      <c r="E275" s="537">
        <v>-0.74099999999999999</v>
      </c>
      <c r="F275" s="537">
        <v>-2.2320000000000002</v>
      </c>
      <c r="G275" s="504">
        <v>-1.7410000000000001</v>
      </c>
      <c r="H275" s="565">
        <v>-2.6520000000000001</v>
      </c>
      <c r="I275" s="565">
        <v>-2.847</v>
      </c>
      <c r="J275" s="565">
        <v>-2.74</v>
      </c>
      <c r="K275" s="682">
        <f t="shared" ref="K275:U275" si="369">J275*(1+K380)</f>
        <v>-2.8781000153873557</v>
      </c>
      <c r="L275" s="573">
        <f t="shared" si="369"/>
        <v>-3.0529757284741379</v>
      </c>
      <c r="M275" s="573">
        <f t="shared" si="369"/>
        <v>-3.190359636255474</v>
      </c>
      <c r="N275" s="573">
        <f t="shared" si="369"/>
        <v>-3.3339258198869701</v>
      </c>
      <c r="O275" s="573">
        <f t="shared" si="369"/>
        <v>-3.4839524817818837</v>
      </c>
      <c r="P275" s="573">
        <f t="shared" si="369"/>
        <v>-3.623310581053159</v>
      </c>
      <c r="Q275" s="573">
        <f t="shared" si="369"/>
        <v>-3.7682430042952855</v>
      </c>
      <c r="R275" s="573">
        <f t="shared" si="369"/>
        <v>-3.9189727244670971</v>
      </c>
      <c r="S275" s="573">
        <f t="shared" si="369"/>
        <v>-4.0757316334457814</v>
      </c>
      <c r="T275" s="573">
        <f t="shared" si="369"/>
        <v>-4.238760898783613</v>
      </c>
      <c r="U275" s="573">
        <f t="shared" si="369"/>
        <v>-4.4083113347349574</v>
      </c>
    </row>
    <row r="276" spans="3:21" hidden="1" outlineLevel="2">
      <c r="C276" s="403" t="s">
        <v>498</v>
      </c>
      <c r="D276" s="403"/>
      <c r="E276" s="539"/>
      <c r="F276" s="540">
        <f>F275/E275-1</f>
        <v>2.0121457489878547</v>
      </c>
      <c r="G276" s="566">
        <f t="shared" ref="G276:U276" si="370">G275/F275-1</f>
        <v>-0.21998207885304666</v>
      </c>
      <c r="H276" s="566">
        <f t="shared" si="370"/>
        <v>0.52326249282021831</v>
      </c>
      <c r="I276" s="566">
        <f t="shared" si="370"/>
        <v>7.3529411764705843E-2</v>
      </c>
      <c r="J276" s="566">
        <f t="shared" si="370"/>
        <v>-3.7583421145064855E-2</v>
      </c>
      <c r="K276" s="683">
        <f t="shared" si="370"/>
        <v>5.0401465469837703E-2</v>
      </c>
      <c r="L276" s="572">
        <f t="shared" si="370"/>
        <v>6.0760818648356141E-2</v>
      </c>
      <c r="M276" s="572">
        <f t="shared" si="370"/>
        <v>4.4999999999999929E-2</v>
      </c>
      <c r="N276" s="572">
        <f t="shared" si="370"/>
        <v>4.4999999999999929E-2</v>
      </c>
      <c r="O276" s="572">
        <f t="shared" si="370"/>
        <v>4.4999999999999929E-2</v>
      </c>
      <c r="P276" s="572">
        <f t="shared" si="370"/>
        <v>4.0000000000000036E-2</v>
      </c>
      <c r="Q276" s="572">
        <f t="shared" si="370"/>
        <v>4.0000000000000036E-2</v>
      </c>
      <c r="R276" s="572">
        <f t="shared" si="370"/>
        <v>4.0000000000000036E-2</v>
      </c>
      <c r="S276" s="572">
        <f t="shared" si="370"/>
        <v>4.0000000000000036E-2</v>
      </c>
      <c r="T276" s="572">
        <f t="shared" si="370"/>
        <v>4.0000000000000036E-2</v>
      </c>
      <c r="U276" s="572">
        <f t="shared" si="370"/>
        <v>4.0000000000000036E-2</v>
      </c>
    </row>
    <row r="277" spans="3:21" hidden="1" outlineLevel="2">
      <c r="C277" s="403" t="s">
        <v>517</v>
      </c>
      <c r="D277" s="403"/>
      <c r="E277" s="540">
        <f>-E275/E$271</f>
        <v>1.4401492624336772E-2</v>
      </c>
      <c r="F277" s="540">
        <f t="shared" ref="F277:U277" si="371">-F275/F$271</f>
        <v>1.0806937356561149E-2</v>
      </c>
      <c r="G277" s="566">
        <f t="shared" si="371"/>
        <v>1.9821481430880982E-2</v>
      </c>
      <c r="H277" s="566">
        <f t="shared" si="371"/>
        <v>5.0150811735895093E-3</v>
      </c>
      <c r="I277" s="566">
        <f t="shared" si="371"/>
        <v>5.3806726691311545E-3</v>
      </c>
      <c r="J277" s="566">
        <f t="shared" si="371"/>
        <v>1.039749549378617E-2</v>
      </c>
      <c r="K277" s="683">
        <f t="shared" si="371"/>
        <v>3.4467610081745856E-3</v>
      </c>
      <c r="L277" s="572">
        <f t="shared" si="371"/>
        <v>5.2849715509583938E-3</v>
      </c>
      <c r="M277" s="572">
        <f t="shared" si="371"/>
        <v>5.6352162807267519E-3</v>
      </c>
      <c r="N277" s="572">
        <f t="shared" si="371"/>
        <v>5.0569325979682358E-3</v>
      </c>
      <c r="O277" s="572">
        <f t="shared" si="371"/>
        <v>4.6196170112935454E-3</v>
      </c>
      <c r="P277" s="572">
        <f t="shared" si="371"/>
        <v>4.1501524947111998E-3</v>
      </c>
      <c r="Q277" s="572">
        <f t="shared" si="371"/>
        <v>4.0438377498572551E-3</v>
      </c>
      <c r="R277" s="572">
        <f t="shared" si="371"/>
        <v>3.75068412983439E-3</v>
      </c>
      <c r="S277" s="572">
        <f t="shared" si="371"/>
        <v>3.4873416383436689E-3</v>
      </c>
      <c r="T277" s="572">
        <f t="shared" si="371"/>
        <v>3.3870279285976822E-3</v>
      </c>
      <c r="U277" s="572">
        <f t="shared" si="371"/>
        <v>3.103355683837464E-3</v>
      </c>
    </row>
    <row r="278" spans="3:21" hidden="1" outlineLevel="1" collapsed="1">
      <c r="C278" s="399" t="s">
        <v>518</v>
      </c>
      <c r="D278" s="399"/>
      <c r="E278" s="537">
        <v>9.9749999999999996</v>
      </c>
      <c r="F278" s="537">
        <v>9.1419999999999995</v>
      </c>
      <c r="G278" s="504">
        <v>19.757999999999999</v>
      </c>
      <c r="H278" s="565">
        <v>0.39900000000000002</v>
      </c>
      <c r="I278" s="565">
        <v>34.859000000000002</v>
      </c>
      <c r="J278" s="565">
        <v>1.698</v>
      </c>
      <c r="K278" s="682">
        <v>0</v>
      </c>
      <c r="L278" s="573">
        <f t="shared" ref="L278:U278" si="372">L280*L271</f>
        <v>2.8883558776399672</v>
      </c>
      <c r="M278" s="573">
        <f t="shared" si="372"/>
        <v>2.8307339748138522</v>
      </c>
      <c r="N278" s="573">
        <f t="shared" si="372"/>
        <v>3.2963913946830816</v>
      </c>
      <c r="O278" s="573">
        <f t="shared" si="372"/>
        <v>3.7708239376388661</v>
      </c>
      <c r="P278" s="573">
        <f t="shared" si="372"/>
        <v>4.3652740298947705</v>
      </c>
      <c r="Q278" s="573">
        <f t="shared" si="372"/>
        <v>4.659241093968598</v>
      </c>
      <c r="R278" s="573">
        <f t="shared" si="372"/>
        <v>5.2243438647553324</v>
      </c>
      <c r="S278" s="573">
        <f t="shared" si="372"/>
        <v>5.8436081923157541</v>
      </c>
      <c r="T278" s="573">
        <f t="shared" si="372"/>
        <v>6.2573456554557714</v>
      </c>
      <c r="U278" s="573">
        <f t="shared" si="372"/>
        <v>7.1024912769325992</v>
      </c>
    </row>
    <row r="279" spans="3:21" hidden="1" outlineLevel="2">
      <c r="C279" s="403" t="s">
        <v>498</v>
      </c>
      <c r="D279" s="403"/>
      <c r="E279" s="539"/>
      <c r="F279" s="540">
        <f>F278/E278-1</f>
        <v>-8.3508771929824532E-2</v>
      </c>
      <c r="G279" s="566">
        <f t="shared" ref="G279:U279" si="373">G278/F278-1</f>
        <v>1.1612338656749071</v>
      </c>
      <c r="H279" s="566">
        <f t="shared" si="373"/>
        <v>-0.97980564834497419</v>
      </c>
      <c r="I279" s="566">
        <f t="shared" si="373"/>
        <v>86.365914786967423</v>
      </c>
      <c r="J279" s="566">
        <f t="shared" si="373"/>
        <v>-0.95128948047849915</v>
      </c>
      <c r="K279" s="683">
        <f t="shared" si="373"/>
        <v>-1</v>
      </c>
      <c r="L279" s="572" t="e">
        <f t="shared" si="373"/>
        <v>#DIV/0!</v>
      </c>
      <c r="M279" s="572">
        <f t="shared" si="373"/>
        <v>-1.994972408773843E-2</v>
      </c>
      <c r="N279" s="572">
        <f t="shared" si="373"/>
        <v>0.16450059384328086</v>
      </c>
      <c r="O279" s="572">
        <f t="shared" si="373"/>
        <v>0.14392482146416863</v>
      </c>
      <c r="P279" s="572">
        <f t="shared" si="373"/>
        <v>0.15764461615996961</v>
      </c>
      <c r="Q279" s="572">
        <f t="shared" si="373"/>
        <v>6.7342178763726723E-2</v>
      </c>
      <c r="R279" s="572">
        <f t="shared" si="373"/>
        <v>0.1212864411584671</v>
      </c>
      <c r="S279" s="572">
        <f t="shared" si="373"/>
        <v>0.11853437361543651</v>
      </c>
      <c r="T279" s="572">
        <f t="shared" si="373"/>
        <v>7.0801711806085077E-2</v>
      </c>
      <c r="U279" s="572">
        <f t="shared" si="373"/>
        <v>0.13506455740381651</v>
      </c>
    </row>
    <row r="280" spans="3:21" hidden="1" outlineLevel="2">
      <c r="C280" s="403" t="s">
        <v>517</v>
      </c>
      <c r="D280" s="403"/>
      <c r="E280" s="540">
        <f>E278/E$271</f>
        <v>0.19386624686607193</v>
      </c>
      <c r="F280" s="540">
        <f t="shared" ref="F280:J280" si="374">F278/F$271</f>
        <v>4.4263898438029574E-2</v>
      </c>
      <c r="G280" s="566">
        <f t="shared" si="374"/>
        <v>0.2249470592253569</v>
      </c>
      <c r="H280" s="566">
        <f t="shared" si="374"/>
        <v>7.5453144353778811E-4</v>
      </c>
      <c r="I280" s="566">
        <f t="shared" si="374"/>
        <v>6.5881583622494883E-2</v>
      </c>
      <c r="J280" s="566">
        <f t="shared" si="374"/>
        <v>6.4434114410397503E-3</v>
      </c>
      <c r="K280" s="684">
        <v>5.0000000000000001E-3</v>
      </c>
      <c r="L280" s="574">
        <f>K280</f>
        <v>5.0000000000000001E-3</v>
      </c>
      <c r="M280" s="574">
        <f t="shared" ref="M280:U280" si="375">L280</f>
        <v>5.0000000000000001E-3</v>
      </c>
      <c r="N280" s="574">
        <f t="shared" si="375"/>
        <v>5.0000000000000001E-3</v>
      </c>
      <c r="O280" s="574">
        <f t="shared" si="375"/>
        <v>5.0000000000000001E-3</v>
      </c>
      <c r="P280" s="574">
        <f t="shared" si="375"/>
        <v>5.0000000000000001E-3</v>
      </c>
      <c r="Q280" s="574">
        <f t="shared" si="375"/>
        <v>5.0000000000000001E-3</v>
      </c>
      <c r="R280" s="574">
        <f t="shared" si="375"/>
        <v>5.0000000000000001E-3</v>
      </c>
      <c r="S280" s="574">
        <f t="shared" si="375"/>
        <v>5.0000000000000001E-3</v>
      </c>
      <c r="T280" s="574">
        <f t="shared" si="375"/>
        <v>5.0000000000000001E-3</v>
      </c>
      <c r="U280" s="574">
        <f t="shared" si="375"/>
        <v>5.0000000000000001E-3</v>
      </c>
    </row>
    <row r="281" spans="3:21" hidden="1" outlineLevel="1" collapsed="1">
      <c r="C281" s="399" t="s">
        <v>519</v>
      </c>
      <c r="D281" s="399"/>
      <c r="E281" s="537">
        <v>-13.923999999999999</v>
      </c>
      <c r="F281" s="537">
        <v>0</v>
      </c>
      <c r="G281" s="504">
        <v>-7.0270000000000001</v>
      </c>
      <c r="H281" s="565">
        <v>-8.6050000000000004</v>
      </c>
      <c r="I281" s="565">
        <v>-237.66300000000001</v>
      </c>
      <c r="J281" s="565">
        <v>-0.80800000000000005</v>
      </c>
      <c r="K281" s="682">
        <f t="shared" ref="K281:U281" si="376">-K283*K271</f>
        <v>-3.3400633331541667</v>
      </c>
      <c r="L281" s="573">
        <f t="shared" si="376"/>
        <v>-2.3106847021119741</v>
      </c>
      <c r="M281" s="573">
        <f t="shared" si="376"/>
        <v>-2.2645871798510817</v>
      </c>
      <c r="N281" s="573">
        <f t="shared" si="376"/>
        <v>-2.6371131157464651</v>
      </c>
      <c r="O281" s="573">
        <f t="shared" si="376"/>
        <v>-3.0166591501110931</v>
      </c>
      <c r="P281" s="573">
        <f t="shared" si="376"/>
        <v>-3.4922192239158165</v>
      </c>
      <c r="Q281" s="573">
        <f t="shared" si="376"/>
        <v>-3.7273928751748784</v>
      </c>
      <c r="R281" s="573">
        <f t="shared" si="376"/>
        <v>-4.1794750918042656</v>
      </c>
      <c r="S281" s="573">
        <f t="shared" si="376"/>
        <v>-4.6748865538526037</v>
      </c>
      <c r="T281" s="573">
        <f t="shared" si="376"/>
        <v>-5.0058765243646164</v>
      </c>
      <c r="U281" s="573">
        <f t="shared" si="376"/>
        <v>-5.681993021546079</v>
      </c>
    </row>
    <row r="282" spans="3:21" hidden="1" outlineLevel="1">
      <c r="C282" s="403" t="s">
        <v>498</v>
      </c>
      <c r="D282" s="403"/>
      <c r="E282" s="480"/>
      <c r="F282" s="480">
        <f>F281/E281-1</f>
        <v>-1</v>
      </c>
      <c r="G282" s="480">
        <v>1</v>
      </c>
      <c r="H282" s="480">
        <f t="shared" ref="H282:U282" si="377">H281/G281-1</f>
        <v>0.22456240216308521</v>
      </c>
      <c r="I282" s="480">
        <f t="shared" si="377"/>
        <v>26.619174898314935</v>
      </c>
      <c r="J282" s="480">
        <f t="shared" si="377"/>
        <v>-0.99660022805400927</v>
      </c>
      <c r="K282" s="681">
        <f t="shared" si="377"/>
        <v>3.1337417489531765</v>
      </c>
      <c r="L282" s="599">
        <f t="shared" si="377"/>
        <v>-0.30819135099157113</v>
      </c>
      <c r="M282" s="599">
        <f t="shared" si="377"/>
        <v>-1.9949724087738652E-2</v>
      </c>
      <c r="N282" s="599">
        <f t="shared" si="377"/>
        <v>0.16450059384328086</v>
      </c>
      <c r="O282" s="599">
        <f t="shared" si="377"/>
        <v>0.14392482146416885</v>
      </c>
      <c r="P282" s="599">
        <f t="shared" si="377"/>
        <v>0.15764461615996961</v>
      </c>
      <c r="Q282" s="599">
        <f t="shared" si="377"/>
        <v>6.7342178763726723E-2</v>
      </c>
      <c r="R282" s="599">
        <f t="shared" si="377"/>
        <v>0.1212864411584671</v>
      </c>
      <c r="S282" s="599">
        <f t="shared" si="377"/>
        <v>0.11853437361543673</v>
      </c>
      <c r="T282" s="599">
        <f t="shared" si="377"/>
        <v>7.0801711806084855E-2</v>
      </c>
      <c r="U282" s="599">
        <f t="shared" si="377"/>
        <v>0.13506455740381651</v>
      </c>
    </row>
    <row r="283" spans="3:21" hidden="1" outlineLevel="1">
      <c r="C283" s="403" t="s">
        <v>517</v>
      </c>
      <c r="D283" s="403"/>
      <c r="E283" s="480">
        <f>-E281/E$271</f>
        <v>0.27061590189104617</v>
      </c>
      <c r="F283" s="480">
        <f t="shared" ref="F283:J283" si="378">-F281/F$271</f>
        <v>0</v>
      </c>
      <c r="G283" s="480">
        <f t="shared" si="378"/>
        <v>8.000318783159141E-2</v>
      </c>
      <c r="H283" s="480">
        <f t="shared" si="378"/>
        <v>1.627253902667335E-2</v>
      </c>
      <c r="I283" s="480">
        <f t="shared" si="378"/>
        <v>0.44916993627106344</v>
      </c>
      <c r="J283" s="480">
        <f t="shared" si="378"/>
        <v>3.0661227587515422E-3</v>
      </c>
      <c r="K283" s="685">
        <v>4.0000000000000001E-3</v>
      </c>
      <c r="L283" s="598">
        <f>K283</f>
        <v>4.0000000000000001E-3</v>
      </c>
      <c r="M283" s="598">
        <f t="shared" ref="M283:U283" si="379">L283</f>
        <v>4.0000000000000001E-3</v>
      </c>
      <c r="N283" s="598">
        <f t="shared" si="379"/>
        <v>4.0000000000000001E-3</v>
      </c>
      <c r="O283" s="598">
        <f t="shared" si="379"/>
        <v>4.0000000000000001E-3</v>
      </c>
      <c r="P283" s="598">
        <f t="shared" si="379"/>
        <v>4.0000000000000001E-3</v>
      </c>
      <c r="Q283" s="598">
        <f t="shared" si="379"/>
        <v>4.0000000000000001E-3</v>
      </c>
      <c r="R283" s="598">
        <f t="shared" si="379"/>
        <v>4.0000000000000001E-3</v>
      </c>
      <c r="S283" s="598">
        <f t="shared" si="379"/>
        <v>4.0000000000000001E-3</v>
      </c>
      <c r="T283" s="598">
        <f t="shared" si="379"/>
        <v>4.0000000000000001E-3</v>
      </c>
      <c r="U283" s="598">
        <f t="shared" si="379"/>
        <v>4.0000000000000001E-3</v>
      </c>
    </row>
    <row r="284" spans="3:21" collapsed="1">
      <c r="C284" s="401" t="s">
        <v>520</v>
      </c>
      <c r="D284" s="401"/>
      <c r="E284" s="541">
        <f>E271+E273</f>
        <v>46.763000000000005</v>
      </c>
      <c r="F284" s="541">
        <f t="shared" ref="F284:U284" si="380">F271+F273</f>
        <v>213.44399999999999</v>
      </c>
      <c r="G284" s="567">
        <f t="shared" si="380"/>
        <v>98.823999999999998</v>
      </c>
      <c r="H284" s="567">
        <f t="shared" si="380"/>
        <v>517.947</v>
      </c>
      <c r="I284" s="567">
        <f t="shared" si="380"/>
        <v>323.46499999999997</v>
      </c>
      <c r="J284" s="567">
        <f t="shared" si="380"/>
        <v>261.67499999999995</v>
      </c>
      <c r="K284" s="686">
        <f t="shared" si="380"/>
        <v>828.79766994000011</v>
      </c>
      <c r="L284" s="575">
        <f t="shared" si="380"/>
        <v>575.19587097504734</v>
      </c>
      <c r="M284" s="575">
        <f t="shared" si="380"/>
        <v>563.52258212147774</v>
      </c>
      <c r="N284" s="575">
        <f t="shared" si="380"/>
        <v>656.60363139566596</v>
      </c>
      <c r="O284" s="575">
        <f t="shared" si="380"/>
        <v>751.4349998335191</v>
      </c>
      <c r="P284" s="575">
        <f t="shared" si="380"/>
        <v>870.30455020388001</v>
      </c>
      <c r="Q284" s="575">
        <f t="shared" si="380"/>
        <v>929.01182400821801</v>
      </c>
      <c r="R284" s="575">
        <f t="shared" si="380"/>
        <v>1041.9946689995504</v>
      </c>
      <c r="S284" s="575">
        <f t="shared" si="380"/>
        <v>1165.8146284681682</v>
      </c>
      <c r="T284" s="575">
        <f t="shared" si="380"/>
        <v>1248.4818393234616</v>
      </c>
      <c r="U284" s="575">
        <f t="shared" si="380"/>
        <v>1417.5104423071714</v>
      </c>
    </row>
    <row r="285" spans="3:21">
      <c r="C285" s="406" t="s">
        <v>517</v>
      </c>
      <c r="D285" s="406"/>
      <c r="E285" s="542">
        <f>E284/E271</f>
        <v>0.90884885235068902</v>
      </c>
      <c r="F285" s="542">
        <f t="shared" ref="F285:U285" si="381">F284/F271</f>
        <v>1.0334569610814683</v>
      </c>
      <c r="G285" s="551">
        <f t="shared" si="381"/>
        <v>1.1251223899628844</v>
      </c>
      <c r="H285" s="551">
        <f t="shared" si="381"/>
        <v>0.97946691124327501</v>
      </c>
      <c r="I285" s="551">
        <f t="shared" si="381"/>
        <v>0.61133097468230024</v>
      </c>
      <c r="J285" s="551">
        <f t="shared" si="381"/>
        <v>0.99297979318850194</v>
      </c>
      <c r="K285" s="687">
        <f t="shared" si="381"/>
        <v>0.99255323899182535</v>
      </c>
      <c r="L285" s="597">
        <f t="shared" si="381"/>
        <v>0.99571502844904169</v>
      </c>
      <c r="M285" s="597">
        <f t="shared" si="381"/>
        <v>0.99536478371927328</v>
      </c>
      <c r="N285" s="597">
        <f t="shared" si="381"/>
        <v>0.99594306740203176</v>
      </c>
      <c r="O285" s="597">
        <f t="shared" si="381"/>
        <v>0.99638038298870646</v>
      </c>
      <c r="P285" s="597">
        <f t="shared" si="381"/>
        <v>0.99684984750528882</v>
      </c>
      <c r="Q285" s="597">
        <f t="shared" si="381"/>
        <v>0.99695616225014283</v>
      </c>
      <c r="R285" s="597">
        <f t="shared" si="381"/>
        <v>0.99724931587016563</v>
      </c>
      <c r="S285" s="597">
        <f t="shared" si="381"/>
        <v>0.99751265836165626</v>
      </c>
      <c r="T285" s="597">
        <f t="shared" si="381"/>
        <v>0.9976129720714022</v>
      </c>
      <c r="U285" s="597">
        <f t="shared" si="381"/>
        <v>0.99789664431616254</v>
      </c>
    </row>
    <row r="286" spans="3:21">
      <c r="C286" s="401" t="s">
        <v>521</v>
      </c>
      <c r="D286" s="401"/>
      <c r="E286" s="538">
        <f>E287+E288</f>
        <v>-0.24600000000000005</v>
      </c>
      <c r="F286" s="538">
        <f t="shared" ref="F286:U286" si="382">F287+F288</f>
        <v>-5.8819999999999997</v>
      </c>
      <c r="G286" s="562">
        <f t="shared" si="382"/>
        <v>-27.619</v>
      </c>
      <c r="H286" s="562">
        <f t="shared" si="382"/>
        <v>-20.863</v>
      </c>
      <c r="I286" s="562">
        <f t="shared" si="382"/>
        <v>-12.48</v>
      </c>
      <c r="J286" s="562">
        <f t="shared" si="382"/>
        <v>-23.229000000000003</v>
      </c>
      <c r="K286" s="679">
        <f t="shared" si="382"/>
        <v>-43.869093193062184</v>
      </c>
      <c r="L286" s="570">
        <f t="shared" si="382"/>
        <v>-47.223330040950572</v>
      </c>
      <c r="M286" s="570">
        <f t="shared" si="382"/>
        <v>-25.292328615122287</v>
      </c>
      <c r="N286" s="570">
        <f t="shared" si="382"/>
        <v>-1.5018112110520292</v>
      </c>
      <c r="O286" s="570">
        <f t="shared" si="382"/>
        <v>29.869657094705943</v>
      </c>
      <c r="P286" s="570">
        <f t="shared" si="382"/>
        <v>58.190185451856301</v>
      </c>
      <c r="Q286" s="570">
        <f t="shared" si="382"/>
        <v>87.59392793494419</v>
      </c>
      <c r="R286" s="570">
        <f t="shared" si="382"/>
        <v>122.32246072491279</v>
      </c>
      <c r="S286" s="570">
        <f t="shared" si="382"/>
        <v>159.10217007926047</v>
      </c>
      <c r="T286" s="570">
        <f t="shared" si="382"/>
        <v>199.24650264770582</v>
      </c>
      <c r="U286" s="570">
        <f t="shared" si="382"/>
        <v>237.38542050708452</v>
      </c>
    </row>
    <row r="287" spans="3:21" hidden="1" outlineLevel="1">
      <c r="C287" s="406" t="s">
        <v>522</v>
      </c>
      <c r="D287" s="406"/>
      <c r="E287" s="537">
        <v>0.30599999999999999</v>
      </c>
      <c r="F287" s="537">
        <v>9.5069999999999997</v>
      </c>
      <c r="G287" s="504">
        <v>20.692</v>
      </c>
      <c r="H287" s="565">
        <v>4.5330000000000004</v>
      </c>
      <c r="I287" s="565">
        <v>4.3049999999999997</v>
      </c>
      <c r="J287" s="565">
        <v>1.458</v>
      </c>
      <c r="K287" s="678">
        <f>'DIVIDA AGPar'!G45</f>
        <v>1.1771624290172094</v>
      </c>
      <c r="L287" s="569">
        <f>'DIVIDA AGPar'!H45</f>
        <v>25.602470493014437</v>
      </c>
      <c r="M287" s="569">
        <f>'DIVIDA AGPar'!I45</f>
        <v>55.994074794845417</v>
      </c>
      <c r="N287" s="569">
        <f>'DIVIDA AGPar'!J45</f>
        <v>80.068508493288448</v>
      </c>
      <c r="O287" s="569">
        <f>'DIVIDA AGPar'!K45</f>
        <v>106.01140134436106</v>
      </c>
      <c r="P287" s="569">
        <f>'DIVIDA AGPar'!L45</f>
        <v>120.54893497437065</v>
      </c>
      <c r="Q287" s="569">
        <f>'DIVIDA AGPar'!M45</f>
        <v>135.47539077521574</v>
      </c>
      <c r="R287" s="569">
        <f>'DIVIDA AGPar'!N45</f>
        <v>156.38979805829985</v>
      </c>
      <c r="S287" s="569">
        <f>'DIVIDA AGPar'!O45</f>
        <v>182.25806669782074</v>
      </c>
      <c r="T287" s="569">
        <f>'DIVIDA AGPar'!P45</f>
        <v>214.1659079271252</v>
      </c>
      <c r="U287" s="569">
        <f>'DIVIDA AGPar'!Q45</f>
        <v>243.3568883461318</v>
      </c>
    </row>
    <row r="288" spans="3:21" hidden="1" outlineLevel="1">
      <c r="C288" s="406" t="s">
        <v>523</v>
      </c>
      <c r="D288" s="406"/>
      <c r="E288" s="537">
        <v>-0.55200000000000005</v>
      </c>
      <c r="F288" s="537">
        <v>-15.388999999999999</v>
      </c>
      <c r="G288" s="504">
        <v>-48.311</v>
      </c>
      <c r="H288" s="565">
        <v>-25.396000000000001</v>
      </c>
      <c r="I288" s="565">
        <v>-16.785</v>
      </c>
      <c r="J288" s="565">
        <v>-24.687000000000001</v>
      </c>
      <c r="K288" s="678">
        <f>-'DIVIDA AGPar'!G23/1000+'DIVIDA AGPar'!G37</f>
        <v>-45.046255622079393</v>
      </c>
      <c r="L288" s="569">
        <f>-'DIVIDA AGPar'!H23/1000+'DIVIDA AGPar'!H37</f>
        <v>-72.825800533965008</v>
      </c>
      <c r="M288" s="569">
        <f>-'DIVIDA AGPar'!I23/1000+'DIVIDA AGPar'!I37</f>
        <v>-81.286403409967704</v>
      </c>
      <c r="N288" s="569">
        <f>-'DIVIDA AGPar'!J23/1000+'DIVIDA AGPar'!J37</f>
        <v>-81.570319704340477</v>
      </c>
      <c r="O288" s="569">
        <f>-'DIVIDA AGPar'!K23/1000+'DIVIDA AGPar'!K37</f>
        <v>-76.141744249655119</v>
      </c>
      <c r="P288" s="569">
        <f>-'DIVIDA AGPar'!L23/1000+'DIVIDA AGPar'!L37</f>
        <v>-62.358749522514351</v>
      </c>
      <c r="Q288" s="569">
        <f>-'DIVIDA AGPar'!M23/1000+'DIVIDA AGPar'!M37</f>
        <v>-47.881462840271546</v>
      </c>
      <c r="R288" s="569">
        <f>-'DIVIDA AGPar'!N23/1000+'DIVIDA AGPar'!N37</f>
        <v>-34.067337333387052</v>
      </c>
      <c r="S288" s="569">
        <f>-'DIVIDA AGPar'!O23/1000+'DIVIDA AGPar'!O37</f>
        <v>-23.155896618560273</v>
      </c>
      <c r="T288" s="569">
        <f>-'DIVIDA AGPar'!P23/1000+'DIVIDA AGPar'!P37</f>
        <v>-14.919405279419365</v>
      </c>
      <c r="U288" s="569">
        <f>-'DIVIDA AGPar'!Q23/1000+'DIVIDA AGPar'!Q37</f>
        <v>-5.9714678390472731</v>
      </c>
    </row>
    <row r="289" spans="2:21" collapsed="1">
      <c r="C289" s="401" t="s">
        <v>524</v>
      </c>
      <c r="D289" s="401"/>
      <c r="E289" s="538">
        <f>E284+E286</f>
        <v>46.517000000000003</v>
      </c>
      <c r="F289" s="538">
        <f t="shared" ref="F289:U289" si="383">F284+F286</f>
        <v>207.56199999999998</v>
      </c>
      <c r="G289" s="562">
        <f t="shared" si="383"/>
        <v>71.204999999999998</v>
      </c>
      <c r="H289" s="562">
        <f t="shared" si="383"/>
        <v>497.084</v>
      </c>
      <c r="I289" s="562">
        <f t="shared" si="383"/>
        <v>310.98499999999996</v>
      </c>
      <c r="J289" s="562">
        <f t="shared" si="383"/>
        <v>238.44599999999994</v>
      </c>
      <c r="K289" s="679">
        <f t="shared" si="383"/>
        <v>784.92857674693789</v>
      </c>
      <c r="L289" s="570">
        <f t="shared" si="383"/>
        <v>527.97254093409674</v>
      </c>
      <c r="M289" s="570">
        <f t="shared" si="383"/>
        <v>538.23025350635544</v>
      </c>
      <c r="N289" s="570">
        <f t="shared" si="383"/>
        <v>655.10182018461387</v>
      </c>
      <c r="O289" s="570">
        <f t="shared" si="383"/>
        <v>781.30465692822509</v>
      </c>
      <c r="P289" s="570">
        <f t="shared" si="383"/>
        <v>928.49473565573635</v>
      </c>
      <c r="Q289" s="570">
        <f t="shared" si="383"/>
        <v>1016.6057519431622</v>
      </c>
      <c r="R289" s="570">
        <f t="shared" si="383"/>
        <v>1164.3171297244633</v>
      </c>
      <c r="S289" s="570">
        <f t="shared" si="383"/>
        <v>1324.9167985474287</v>
      </c>
      <c r="T289" s="570">
        <f t="shared" si="383"/>
        <v>1447.7283419711675</v>
      </c>
      <c r="U289" s="570">
        <f t="shared" si="383"/>
        <v>1654.8958628142559</v>
      </c>
    </row>
    <row r="290" spans="2:21">
      <c r="C290" s="401" t="s">
        <v>525</v>
      </c>
      <c r="D290" s="401"/>
      <c r="E290" s="538">
        <f>E291+E292</f>
        <v>0</v>
      </c>
      <c r="F290" s="538">
        <f t="shared" ref="F290:U290" si="384">F291+F292</f>
        <v>0</v>
      </c>
      <c r="G290" s="562">
        <f t="shared" si="384"/>
        <v>0</v>
      </c>
      <c r="H290" s="562">
        <f t="shared" si="384"/>
        <v>0</v>
      </c>
      <c r="I290" s="562">
        <f t="shared" si="384"/>
        <v>0</v>
      </c>
      <c r="J290" s="562">
        <f t="shared" si="384"/>
        <v>0</v>
      </c>
      <c r="K290" s="679">
        <f t="shared" si="384"/>
        <v>0</v>
      </c>
      <c r="L290" s="570">
        <f t="shared" si="384"/>
        <v>0</v>
      </c>
      <c r="M290" s="570">
        <f t="shared" si="384"/>
        <v>0</v>
      </c>
      <c r="N290" s="570">
        <f t="shared" si="384"/>
        <v>0</v>
      </c>
      <c r="O290" s="570">
        <f t="shared" si="384"/>
        <v>0</v>
      </c>
      <c r="P290" s="570">
        <f t="shared" si="384"/>
        <v>0</v>
      </c>
      <c r="Q290" s="570">
        <f t="shared" si="384"/>
        <v>0</v>
      </c>
      <c r="R290" s="570">
        <f t="shared" si="384"/>
        <v>0</v>
      </c>
      <c r="S290" s="570">
        <f t="shared" si="384"/>
        <v>0</v>
      </c>
      <c r="T290" s="570">
        <f t="shared" si="384"/>
        <v>0</v>
      </c>
      <c r="U290" s="570">
        <f t="shared" si="384"/>
        <v>0</v>
      </c>
    </row>
    <row r="291" spans="2:21" hidden="1" outlineLevel="1">
      <c r="C291" s="406" t="s">
        <v>526</v>
      </c>
      <c r="D291" s="406"/>
      <c r="E291" s="537">
        <v>0</v>
      </c>
      <c r="F291" s="537">
        <v>0</v>
      </c>
      <c r="G291" s="504">
        <v>0</v>
      </c>
      <c r="H291" s="504">
        <v>0</v>
      </c>
      <c r="I291" s="504">
        <v>0</v>
      </c>
      <c r="J291" s="504">
        <v>0</v>
      </c>
      <c r="K291" s="688">
        <v>0</v>
      </c>
      <c r="L291" s="577">
        <v>0</v>
      </c>
      <c r="M291" s="577">
        <v>0</v>
      </c>
      <c r="N291" s="577">
        <v>0</v>
      </c>
      <c r="O291" s="577">
        <v>0</v>
      </c>
      <c r="P291" s="577">
        <v>0</v>
      </c>
      <c r="Q291" s="577">
        <v>0</v>
      </c>
      <c r="R291" s="577">
        <v>0</v>
      </c>
      <c r="S291" s="577">
        <v>0</v>
      </c>
      <c r="T291" s="577">
        <v>0</v>
      </c>
      <c r="U291" s="577">
        <v>0</v>
      </c>
    </row>
    <row r="292" spans="2:21" hidden="1" outlineLevel="1">
      <c r="C292" s="406" t="s">
        <v>527</v>
      </c>
      <c r="D292" s="406"/>
      <c r="E292" s="537">
        <v>0</v>
      </c>
      <c r="F292" s="537">
        <v>0</v>
      </c>
      <c r="G292" s="504">
        <v>0</v>
      </c>
      <c r="H292" s="504">
        <v>0</v>
      </c>
      <c r="I292" s="504">
        <v>0</v>
      </c>
      <c r="J292" s="504">
        <v>0</v>
      </c>
      <c r="K292" s="688">
        <v>0</v>
      </c>
      <c r="L292" s="577">
        <v>0</v>
      </c>
      <c r="M292" s="577">
        <v>0</v>
      </c>
      <c r="N292" s="577">
        <v>0</v>
      </c>
      <c r="O292" s="577">
        <v>0</v>
      </c>
      <c r="P292" s="577">
        <v>0</v>
      </c>
      <c r="Q292" s="577">
        <v>0</v>
      </c>
      <c r="R292" s="577">
        <v>0</v>
      </c>
      <c r="S292" s="577">
        <v>0</v>
      </c>
      <c r="T292" s="577">
        <v>0</v>
      </c>
      <c r="U292" s="577">
        <v>0</v>
      </c>
    </row>
    <row r="293" spans="2:21" collapsed="1">
      <c r="C293" s="401" t="s">
        <v>528</v>
      </c>
      <c r="D293" s="401"/>
      <c r="E293" s="538">
        <f>E289+E290</f>
        <v>46.517000000000003</v>
      </c>
      <c r="F293" s="538">
        <f t="shared" ref="F293:U293" si="385">F289+F290</f>
        <v>207.56199999999998</v>
      </c>
      <c r="G293" s="562">
        <f t="shared" si="385"/>
        <v>71.204999999999998</v>
      </c>
      <c r="H293" s="562">
        <f t="shared" si="385"/>
        <v>497.084</v>
      </c>
      <c r="I293" s="562">
        <f t="shared" si="385"/>
        <v>310.98499999999996</v>
      </c>
      <c r="J293" s="562">
        <f t="shared" si="385"/>
        <v>238.44599999999994</v>
      </c>
      <c r="K293" s="679">
        <f t="shared" si="385"/>
        <v>784.92857674693789</v>
      </c>
      <c r="L293" s="570">
        <f t="shared" si="385"/>
        <v>527.97254093409674</v>
      </c>
      <c r="M293" s="570">
        <f t="shared" si="385"/>
        <v>538.23025350635544</v>
      </c>
      <c r="N293" s="570">
        <f t="shared" si="385"/>
        <v>655.10182018461387</v>
      </c>
      <c r="O293" s="570">
        <f t="shared" si="385"/>
        <v>781.30465692822509</v>
      </c>
      <c r="P293" s="570">
        <f t="shared" si="385"/>
        <v>928.49473565573635</v>
      </c>
      <c r="Q293" s="570">
        <f t="shared" si="385"/>
        <v>1016.6057519431622</v>
      </c>
      <c r="R293" s="570">
        <f t="shared" si="385"/>
        <v>1164.3171297244633</v>
      </c>
      <c r="S293" s="570">
        <f t="shared" si="385"/>
        <v>1324.9167985474287</v>
      </c>
      <c r="T293" s="570">
        <f t="shared" si="385"/>
        <v>1447.7283419711675</v>
      </c>
      <c r="U293" s="570">
        <f t="shared" si="385"/>
        <v>1654.8958628142559</v>
      </c>
    </row>
    <row r="294" spans="2:21">
      <c r="C294" s="406" t="s">
        <v>517</v>
      </c>
      <c r="D294" s="406"/>
      <c r="E294" s="362">
        <f>E293/E271</f>
        <v>0.9040677900219618</v>
      </c>
      <c r="F294" s="362">
        <f t="shared" ref="F294:U294" si="386">F293/F271</f>
        <v>1.0049773887108175</v>
      </c>
      <c r="G294" s="362">
        <f t="shared" si="386"/>
        <v>0.81067695880866175</v>
      </c>
      <c r="H294" s="362">
        <f t="shared" si="386"/>
        <v>0.94001380471062124</v>
      </c>
      <c r="I294" s="362">
        <f t="shared" si="386"/>
        <v>0.58774446435186234</v>
      </c>
      <c r="J294" s="362">
        <f t="shared" si="386"/>
        <v>0.90483255858077971</v>
      </c>
      <c r="K294" s="631">
        <f t="shared" si="386"/>
        <v>0.94001639903719525</v>
      </c>
      <c r="L294" s="363">
        <f t="shared" si="386"/>
        <v>0.9139672590579373</v>
      </c>
      <c r="M294" s="363">
        <f t="shared" si="386"/>
        <v>0.95069027731888733</v>
      </c>
      <c r="N294" s="363">
        <f t="shared" si="386"/>
        <v>0.99366510487993198</v>
      </c>
      <c r="O294" s="363">
        <f t="shared" si="386"/>
        <v>1.035986656827905</v>
      </c>
      <c r="P294" s="363">
        <f t="shared" si="386"/>
        <v>1.0635010875572897</v>
      </c>
      <c r="Q294" s="363">
        <f t="shared" si="386"/>
        <v>1.090956371906963</v>
      </c>
      <c r="R294" s="363">
        <f t="shared" si="386"/>
        <v>1.1143190033673165</v>
      </c>
      <c r="S294" s="363">
        <f t="shared" si="386"/>
        <v>1.1336461608511603</v>
      </c>
      <c r="T294" s="363">
        <f t="shared" si="386"/>
        <v>1.1568230538046873</v>
      </c>
      <c r="U294" s="363">
        <f t="shared" si="386"/>
        <v>1.1650108379499249</v>
      </c>
    </row>
    <row r="295" spans="2:21">
      <c r="C295" s="406"/>
      <c r="D295" s="406"/>
      <c r="E295" s="362"/>
      <c r="F295" s="362"/>
      <c r="G295" s="362"/>
      <c r="H295" s="362"/>
      <c r="I295" s="362"/>
      <c r="J295" s="362"/>
      <c r="K295" s="631"/>
      <c r="L295" s="363"/>
      <c r="M295" s="363"/>
      <c r="N295" s="363"/>
      <c r="O295" s="363"/>
      <c r="P295" s="363"/>
      <c r="Q295" s="363"/>
      <c r="R295" s="363"/>
      <c r="S295" s="363"/>
      <c r="T295" s="363"/>
      <c r="U295" s="363"/>
    </row>
    <row r="296" spans="2:21">
      <c r="B296" s="475" t="s">
        <v>609</v>
      </c>
      <c r="C296" s="356"/>
      <c r="D296" s="476"/>
      <c r="E296" s="356"/>
      <c r="F296" s="356"/>
      <c r="G296" s="421"/>
      <c r="H296" s="421"/>
      <c r="I296" s="477"/>
      <c r="J296" s="477"/>
      <c r="K296" s="648"/>
      <c r="L296" s="483"/>
      <c r="M296" s="483"/>
      <c r="N296" s="483"/>
      <c r="O296" s="483"/>
      <c r="P296" s="483"/>
      <c r="Q296" s="483"/>
      <c r="R296" s="483"/>
      <c r="S296" s="483"/>
      <c r="T296" s="483"/>
      <c r="U296" s="483"/>
    </row>
    <row r="297" spans="2:21" hidden="1" outlineLevel="1">
      <c r="C297" s="399" t="s">
        <v>608</v>
      </c>
      <c r="D297" s="474">
        <v>0.05</v>
      </c>
      <c r="E297" s="352"/>
      <c r="F297" s="400">
        <f>F293*$D$176</f>
        <v>10.3781</v>
      </c>
      <c r="G297" s="400">
        <f>G293*$D$176</f>
        <v>3.5602499999999999</v>
      </c>
      <c r="H297" s="400">
        <f>H293*$D$176</f>
        <v>24.854200000000002</v>
      </c>
      <c r="I297" s="400">
        <f>I293*$D$176</f>
        <v>15.549249999999999</v>
      </c>
      <c r="J297" s="400">
        <f>J293*$D$176</f>
        <v>11.922299999999998</v>
      </c>
      <c r="K297" s="869">
        <f>MAX(0,K293*$D$176)</f>
        <v>39.246428837346897</v>
      </c>
      <c r="L297" s="826">
        <f t="shared" ref="L297:P297" si="387">MAX(0,L293*$D$176)</f>
        <v>26.398627046704839</v>
      </c>
      <c r="M297" s="826">
        <f t="shared" si="387"/>
        <v>26.911512675317773</v>
      </c>
      <c r="N297" s="826">
        <f t="shared" si="387"/>
        <v>32.755091009230696</v>
      </c>
      <c r="O297" s="826">
        <f t="shared" si="387"/>
        <v>39.065232846411256</v>
      </c>
      <c r="P297" s="826">
        <f t="shared" si="387"/>
        <v>46.424736782786823</v>
      </c>
      <c r="Q297" s="826">
        <f>MAX(0,Q293*$D$176)</f>
        <v>50.830287597158112</v>
      </c>
      <c r="R297" s="826">
        <f t="shared" ref="R297:U297" si="388">MAX(0,R293*$D$176)</f>
        <v>58.215856486223167</v>
      </c>
      <c r="S297" s="826">
        <f t="shared" si="388"/>
        <v>66.245839927371435</v>
      </c>
      <c r="T297" s="826">
        <f t="shared" si="388"/>
        <v>72.386417098558383</v>
      </c>
      <c r="U297" s="826">
        <f t="shared" si="388"/>
        <v>82.744793140712801</v>
      </c>
    </row>
    <row r="298" spans="2:21" hidden="1" outlineLevel="1">
      <c r="C298" s="399" t="s">
        <v>602</v>
      </c>
      <c r="D298" s="406"/>
      <c r="E298" s="352"/>
      <c r="F298" s="352"/>
      <c r="G298" s="368"/>
      <c r="H298" s="368">
        <v>92</v>
      </c>
      <c r="I298" s="400">
        <v>60</v>
      </c>
      <c r="J298" s="400">
        <v>96</v>
      </c>
      <c r="K298" s="869">
        <f>MAX(0,(K293-K297)*K299)</f>
        <v>186.42053697739775</v>
      </c>
      <c r="L298" s="826">
        <f t="shared" ref="L298:P298" si="389">MAX(0,(L293-L297)*L299)</f>
        <v>125.39347847184797</v>
      </c>
      <c r="M298" s="826">
        <f t="shared" si="389"/>
        <v>127.82968520775941</v>
      </c>
      <c r="N298" s="826">
        <f t="shared" si="389"/>
        <v>311.17336458769159</v>
      </c>
      <c r="O298" s="826">
        <f t="shared" si="389"/>
        <v>371.1197120409069</v>
      </c>
      <c r="P298" s="826">
        <f t="shared" si="389"/>
        <v>441.03499943647478</v>
      </c>
      <c r="Q298" s="826">
        <f>MAX(0,(Q293-Q297)*Q299)</f>
        <v>482.88773217300206</v>
      </c>
      <c r="R298" s="826">
        <f t="shared" ref="R298" si="390">MAX(0,(R293-R297)*R299)</f>
        <v>553.05063661912004</v>
      </c>
      <c r="S298" s="826">
        <f t="shared" ref="S298" si="391">MAX(0,(S293-S297)*S299)</f>
        <v>629.33547931002863</v>
      </c>
      <c r="T298" s="826">
        <f t="shared" ref="T298" si="392">MAX(0,(T293-T297)*T299)</f>
        <v>687.67096243630454</v>
      </c>
      <c r="U298" s="826">
        <f t="shared" ref="U298" si="393">MAX(0,(U293-U297)*U299)</f>
        <v>786.07553483677157</v>
      </c>
    </row>
    <row r="299" spans="2:21" hidden="1" outlineLevel="1">
      <c r="C299" s="459" t="s">
        <v>594</v>
      </c>
      <c r="D299" s="459"/>
      <c r="E299" s="460"/>
      <c r="F299" s="460"/>
      <c r="G299" s="466">
        <f>G298/(G293+F293-F297-G297)</f>
        <v>0</v>
      </c>
      <c r="H299" s="466">
        <f>H298/(H293-H297)</f>
        <v>0.19482040311729584</v>
      </c>
      <c r="I299" s="466">
        <f t="shared" ref="I299" si="394">I298/(I293-I297)</f>
        <v>0.20308984271537892</v>
      </c>
      <c r="J299" s="466">
        <f t="shared" ref="J299" si="395">J298/(J293-J297)</f>
        <v>0.42379671531058349</v>
      </c>
      <c r="K299" s="649">
        <v>0.25</v>
      </c>
      <c r="L299" s="500">
        <v>0.25</v>
      </c>
      <c r="M299" s="500">
        <f t="shared" ref="M299" si="396">L299</f>
        <v>0.25</v>
      </c>
      <c r="N299" s="500">
        <v>0.5</v>
      </c>
      <c r="O299" s="500">
        <f>N299</f>
        <v>0.5</v>
      </c>
      <c r="P299" s="500">
        <f t="shared" ref="P299:U299" si="397">O299</f>
        <v>0.5</v>
      </c>
      <c r="Q299" s="500">
        <f t="shared" si="397"/>
        <v>0.5</v>
      </c>
      <c r="R299" s="500">
        <f t="shared" si="397"/>
        <v>0.5</v>
      </c>
      <c r="S299" s="500">
        <f t="shared" si="397"/>
        <v>0.5</v>
      </c>
      <c r="T299" s="500">
        <f t="shared" si="397"/>
        <v>0.5</v>
      </c>
      <c r="U299" s="500">
        <f t="shared" si="397"/>
        <v>0.5</v>
      </c>
    </row>
    <row r="300" spans="2:21" collapsed="1">
      <c r="C300" s="406"/>
      <c r="D300" s="406"/>
      <c r="E300" s="362"/>
      <c r="F300" s="362"/>
      <c r="G300" s="362"/>
      <c r="H300" s="362"/>
      <c r="I300" s="362"/>
      <c r="J300" s="362"/>
      <c r="K300" s="631"/>
      <c r="L300" s="363"/>
      <c r="M300" s="363"/>
      <c r="N300" s="363"/>
      <c r="O300" s="363"/>
      <c r="P300" s="363"/>
      <c r="Q300" s="363"/>
      <c r="R300" s="363"/>
      <c r="S300" s="363"/>
      <c r="T300" s="363"/>
      <c r="U300" s="363"/>
    </row>
    <row r="301" spans="2:21">
      <c r="C301" s="406"/>
      <c r="D301" s="406"/>
      <c r="E301" s="362"/>
      <c r="F301" s="362"/>
      <c r="G301" s="362"/>
      <c r="H301" s="362"/>
      <c r="I301" s="362"/>
      <c r="J301" s="362"/>
      <c r="K301" s="682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</row>
    <row r="302" spans="2:21">
      <c r="C302" s="397" t="s">
        <v>529</v>
      </c>
      <c r="D302" s="350"/>
      <c r="E302" s="398">
        <v>2006</v>
      </c>
      <c r="F302" s="398">
        <v>2007</v>
      </c>
      <c r="G302" s="398">
        <v>2008</v>
      </c>
      <c r="H302" s="398">
        <v>2009</v>
      </c>
      <c r="I302" s="398">
        <v>2010</v>
      </c>
      <c r="J302" s="398">
        <v>2011</v>
      </c>
      <c r="K302" s="644">
        <v>2012</v>
      </c>
      <c r="L302" s="398">
        <v>2013</v>
      </c>
      <c r="M302" s="398">
        <v>2014</v>
      </c>
      <c r="N302" s="398">
        <v>2015</v>
      </c>
      <c r="O302" s="398">
        <v>2016</v>
      </c>
      <c r="P302" s="398">
        <v>2017</v>
      </c>
      <c r="Q302" s="398">
        <v>2018</v>
      </c>
      <c r="R302" s="398">
        <v>2019</v>
      </c>
      <c r="S302" s="398">
        <v>2020</v>
      </c>
      <c r="T302" s="398">
        <v>2021</v>
      </c>
      <c r="U302" s="398">
        <v>2022</v>
      </c>
    </row>
    <row r="303" spans="2:21" s="376" customFormat="1">
      <c r="C303" s="445"/>
      <c r="D303" s="446"/>
      <c r="E303" s="447"/>
      <c r="F303" s="447"/>
      <c r="G303" s="447"/>
      <c r="H303" s="447"/>
      <c r="I303" s="447"/>
      <c r="J303" s="447"/>
      <c r="K303" s="655"/>
      <c r="L303" s="447"/>
      <c r="M303" s="447"/>
      <c r="N303" s="447"/>
      <c r="O303" s="447"/>
      <c r="P303" s="447"/>
      <c r="Q303" s="447"/>
      <c r="R303" s="447"/>
      <c r="S303" s="447"/>
      <c r="T303" s="447"/>
      <c r="U303" s="447"/>
    </row>
    <row r="304" spans="2:21">
      <c r="C304" s="401" t="s">
        <v>530</v>
      </c>
      <c r="D304" s="407"/>
      <c r="E304" s="563">
        <f>SUM(E305:E307,E309)</f>
        <v>38.032000000000004</v>
      </c>
      <c r="F304" s="563">
        <f t="shared" ref="F304:I304" si="398">SUM(F305:F307,F309)</f>
        <v>188.24199999999999</v>
      </c>
      <c r="G304" s="563">
        <f t="shared" si="398"/>
        <v>203.49300000000002</v>
      </c>
      <c r="H304" s="563">
        <f t="shared" si="398"/>
        <v>88.08</v>
      </c>
      <c r="I304" s="563">
        <f t="shared" si="398"/>
        <v>54.587000000000003</v>
      </c>
      <c r="J304" s="563">
        <f>SUM(J305:J307,J309)</f>
        <v>28.46</v>
      </c>
      <c r="K304" s="689">
        <f>SUM(K305:K307,K309)</f>
        <v>672.97306792092957</v>
      </c>
      <c r="L304" s="578">
        <f t="shared" ref="L304" si="399">SUM(L305:L307,L309)</f>
        <v>604.70671855678449</v>
      </c>
      <c r="M304" s="578">
        <f t="shared" ref="M304" si="400">SUM(M305:M307,M309)</f>
        <v>918.36375606679371</v>
      </c>
      <c r="N304" s="578">
        <f t="shared" ref="N304" si="401">SUM(N305:N307,N309)</f>
        <v>1185.2521293662405</v>
      </c>
      <c r="O304" s="578">
        <f t="shared" ref="O304" si="402">SUM(O305:O307,O309)</f>
        <v>1339.9921490488728</v>
      </c>
      <c r="P304" s="578">
        <f t="shared" ref="P304:S304" si="403">SUM(P305:P307,P309)</f>
        <v>1543.4620719338575</v>
      </c>
      <c r="Q304" s="578">
        <f t="shared" si="403"/>
        <v>1773.4687574317647</v>
      </c>
      <c r="R304" s="578">
        <f t="shared" si="403"/>
        <v>2061.3061973938029</v>
      </c>
      <c r="S304" s="578">
        <f t="shared" si="403"/>
        <v>2414.4928227189557</v>
      </c>
      <c r="T304" s="578">
        <f t="shared" ref="T304" si="404">SUM(T305:T307,T309)</f>
        <v>2801.6697989609606</v>
      </c>
      <c r="U304" s="578">
        <f t="shared" ref="U304" si="405">SUM(U305:U307,U309)</f>
        <v>3258.5573501930758</v>
      </c>
    </row>
    <row r="305" spans="3:26">
      <c r="C305" s="410" t="s">
        <v>531</v>
      </c>
      <c r="D305" s="407"/>
      <c r="E305" s="565">
        <v>2.2349999999999999</v>
      </c>
      <c r="F305" s="565">
        <v>152.77799999999999</v>
      </c>
      <c r="G305" s="565">
        <v>167.54300000000001</v>
      </c>
      <c r="H305" s="565">
        <v>8.1000000000000003E-2</v>
      </c>
      <c r="I305" s="565">
        <v>2.6819999999999999</v>
      </c>
      <c r="J305" s="565">
        <v>0.17199999999999999</v>
      </c>
      <c r="K305" s="682">
        <v>1</v>
      </c>
      <c r="L305" s="573">
        <v>1</v>
      </c>
      <c r="M305" s="573">
        <v>1</v>
      </c>
      <c r="N305" s="573">
        <v>1</v>
      </c>
      <c r="O305" s="573">
        <v>1</v>
      </c>
      <c r="P305" s="573">
        <v>1</v>
      </c>
      <c r="Q305" s="573">
        <v>1</v>
      </c>
      <c r="R305" s="573">
        <v>1</v>
      </c>
      <c r="S305" s="573">
        <v>1</v>
      </c>
      <c r="T305" s="573">
        <v>1</v>
      </c>
      <c r="U305" s="573">
        <v>1</v>
      </c>
    </row>
    <row r="306" spans="3:26">
      <c r="C306" s="442" t="s">
        <v>532</v>
      </c>
      <c r="D306" s="407"/>
      <c r="E306" s="586">
        <v>0</v>
      </c>
      <c r="F306" s="586">
        <v>0</v>
      </c>
      <c r="G306" s="586">
        <v>0</v>
      </c>
      <c r="H306" s="579">
        <v>63.390999999999998</v>
      </c>
      <c r="I306" s="579">
        <v>28.245000000000001</v>
      </c>
      <c r="J306" s="579">
        <v>11.42</v>
      </c>
      <c r="K306" s="690">
        <f t="shared" ref="K306:U306" si="406">MAX(0,SUM(K321:K324,K325,K329)-SUM(K305,K307:K307,K309:K310,K313))</f>
        <v>603.48731698821666</v>
      </c>
      <c r="L306" s="579">
        <f t="shared" si="406"/>
        <v>578.73144107296548</v>
      </c>
      <c r="M306" s="579">
        <f t="shared" si="406"/>
        <v>839.70959677441806</v>
      </c>
      <c r="N306" s="579">
        <f t="shared" si="406"/>
        <v>1092.4229408868218</v>
      </c>
      <c r="O306" s="579">
        <f t="shared" si="406"/>
        <v>1244.4441259298528</v>
      </c>
      <c r="P306" s="579">
        <f t="shared" si="406"/>
        <v>1434.4582237370996</v>
      </c>
      <c r="Q306" s="579">
        <f t="shared" si="406"/>
        <v>1658.0042583703612</v>
      </c>
      <c r="R306" s="579">
        <f t="shared" si="406"/>
        <v>1932.6139416265014</v>
      </c>
      <c r="S306" s="579">
        <f t="shared" si="406"/>
        <v>2271.3379680961434</v>
      </c>
      <c r="T306" s="579">
        <f t="shared" si="406"/>
        <v>2648.760606699715</v>
      </c>
      <c r="U306" s="579">
        <f t="shared" si="406"/>
        <v>3085.4428738927227</v>
      </c>
    </row>
    <row r="307" spans="3:26">
      <c r="C307" s="410" t="s">
        <v>637</v>
      </c>
      <c r="D307" s="407"/>
      <c r="E307" s="587">
        <v>0.22800000000000001</v>
      </c>
      <c r="F307" s="587">
        <v>0.47</v>
      </c>
      <c r="G307" s="587">
        <v>2.2759999999999998</v>
      </c>
      <c r="H307" s="565">
        <v>2.9710000000000001</v>
      </c>
      <c r="I307" s="565">
        <v>3.7759999999999998</v>
      </c>
      <c r="J307" s="565">
        <v>3.3849999999999998</v>
      </c>
      <c r="K307" s="682">
        <f>J307</f>
        <v>3.3849999999999998</v>
      </c>
      <c r="L307" s="573">
        <f>L308*L271</f>
        <v>7.4202331056342201</v>
      </c>
      <c r="M307" s="573">
        <f>M308*M271</f>
        <v>7.2722015025101143</v>
      </c>
      <c r="N307" s="573">
        <f>N308*N271</f>
        <v>8.4684829682210268</v>
      </c>
      <c r="O307" s="573">
        <f t="shared" ref="O307:U307" si="407">-O308*O275</f>
        <v>4.475165221831582E-2</v>
      </c>
      <c r="P307" s="573">
        <f t="shared" si="407"/>
        <v>4.6541718307048452E-2</v>
      </c>
      <c r="Q307" s="573">
        <f t="shared" si="407"/>
        <v>4.8403387039330392E-2</v>
      </c>
      <c r="R307" s="573">
        <f t="shared" si="407"/>
        <v>5.033952252090361E-2</v>
      </c>
      <c r="S307" s="573">
        <f t="shared" si="407"/>
        <v>5.2353103421739759E-2</v>
      </c>
      <c r="T307" s="573">
        <f t="shared" si="407"/>
        <v>5.4447227558609354E-2</v>
      </c>
      <c r="U307" s="573">
        <f t="shared" si="407"/>
        <v>5.6625116660953725E-2</v>
      </c>
    </row>
    <row r="308" spans="3:26">
      <c r="C308" s="412" t="s">
        <v>517</v>
      </c>
      <c r="D308" s="407"/>
      <c r="E308" s="588">
        <f t="shared" ref="E308:J308" si="408">E307/E271</f>
        <v>4.4312284997959301E-3</v>
      </c>
      <c r="F308" s="588">
        <f t="shared" si="408"/>
        <v>2.2756543716773024E-3</v>
      </c>
      <c r="G308" s="588">
        <f t="shared" si="408"/>
        <v>2.5912516793041417E-2</v>
      </c>
      <c r="H308" s="588">
        <f t="shared" si="408"/>
        <v>5.6183281171698456E-3</v>
      </c>
      <c r="I308" s="588">
        <f t="shared" si="408"/>
        <v>7.1364313307478887E-3</v>
      </c>
      <c r="J308" s="588">
        <f t="shared" si="408"/>
        <v>1.2845081111848971E-2</v>
      </c>
      <c r="K308" s="691">
        <f>J308</f>
        <v>1.2845081111848971E-2</v>
      </c>
      <c r="L308" s="535">
        <f>K308</f>
        <v>1.2845081111848971E-2</v>
      </c>
      <c r="M308" s="535">
        <f t="shared" ref="M308:U308" si="409">L308</f>
        <v>1.2845081111848971E-2</v>
      </c>
      <c r="N308" s="535">
        <f t="shared" si="409"/>
        <v>1.2845081111848971E-2</v>
      </c>
      <c r="O308" s="535">
        <f t="shared" si="409"/>
        <v>1.2845081111848971E-2</v>
      </c>
      <c r="P308" s="535">
        <f t="shared" si="409"/>
        <v>1.2845081111848971E-2</v>
      </c>
      <c r="Q308" s="535">
        <f t="shared" si="409"/>
        <v>1.2845081111848971E-2</v>
      </c>
      <c r="R308" s="535">
        <f>Q308</f>
        <v>1.2845081111848971E-2</v>
      </c>
      <c r="S308" s="535">
        <f t="shared" si="409"/>
        <v>1.2845081111848971E-2</v>
      </c>
      <c r="T308" s="535">
        <f t="shared" si="409"/>
        <v>1.2845081111848971E-2</v>
      </c>
      <c r="U308" s="535">
        <f t="shared" si="409"/>
        <v>1.2845081111848971E-2</v>
      </c>
    </row>
    <row r="309" spans="3:26">
      <c r="C309" s="410" t="s">
        <v>533</v>
      </c>
      <c r="D309" s="407"/>
      <c r="E309" s="565">
        <v>35.569000000000003</v>
      </c>
      <c r="F309" s="565">
        <v>34.994</v>
      </c>
      <c r="G309" s="565">
        <v>33.673999999999999</v>
      </c>
      <c r="H309" s="565">
        <v>21.637</v>
      </c>
      <c r="I309" s="565">
        <v>19.884</v>
      </c>
      <c r="J309" s="565">
        <v>13.483000000000001</v>
      </c>
      <c r="K309" s="682">
        <f t="shared" ref="K309:U309" si="410">K216*K265</f>
        <v>65.100750932712884</v>
      </c>
      <c r="L309" s="573">
        <f t="shared" si="410"/>
        <v>17.555044378184764</v>
      </c>
      <c r="M309" s="573">
        <f t="shared" si="410"/>
        <v>70.381957789865567</v>
      </c>
      <c r="N309" s="573">
        <f t="shared" si="410"/>
        <v>83.360705511197651</v>
      </c>
      <c r="O309" s="573">
        <f t="shared" si="410"/>
        <v>94.503271466801536</v>
      </c>
      <c r="P309" s="573">
        <f t="shared" si="410"/>
        <v>107.95730647845082</v>
      </c>
      <c r="Q309" s="573">
        <f t="shared" si="410"/>
        <v>114.41609567436426</v>
      </c>
      <c r="R309" s="573">
        <f t="shared" si="410"/>
        <v>127.6419162447804</v>
      </c>
      <c r="S309" s="573">
        <f t="shared" si="410"/>
        <v>142.10250151939042</v>
      </c>
      <c r="T309" s="573">
        <f t="shared" si="410"/>
        <v>151.85474503368667</v>
      </c>
      <c r="U309" s="573">
        <f t="shared" si="410"/>
        <v>172.05785118369221</v>
      </c>
    </row>
    <row r="310" spans="3:26">
      <c r="C310" s="401" t="s">
        <v>534</v>
      </c>
      <c r="D310" s="407"/>
      <c r="E310" s="563">
        <f>SUM(E311:E312)</f>
        <v>94.43</v>
      </c>
      <c r="F310" s="563">
        <f t="shared" ref="F310:L310" si="411">SUM(F311:F312)</f>
        <v>100.426</v>
      </c>
      <c r="G310" s="563">
        <f t="shared" si="411"/>
        <v>123.39699999999999</v>
      </c>
      <c r="H310" s="563">
        <f t="shared" si="411"/>
        <v>510.56</v>
      </c>
      <c r="I310" s="563">
        <f t="shared" si="411"/>
        <v>19.704000000000001</v>
      </c>
      <c r="J310" s="563">
        <f t="shared" si="411"/>
        <v>1.175</v>
      </c>
      <c r="K310" s="689">
        <f t="shared" si="411"/>
        <v>1.175</v>
      </c>
      <c r="L310" s="578">
        <f t="shared" si="411"/>
        <v>1.175</v>
      </c>
      <c r="M310" s="578">
        <f t="shared" ref="M310" si="412">SUM(M311:M312)</f>
        <v>1.175</v>
      </c>
      <c r="N310" s="578">
        <f t="shared" ref="N310" si="413">SUM(N311:N312)</f>
        <v>1.175</v>
      </c>
      <c r="O310" s="578">
        <f t="shared" ref="O310" si="414">SUM(O311:O312)</f>
        <v>1.175</v>
      </c>
      <c r="P310" s="578">
        <f t="shared" ref="P310" si="415">SUM(P311:P312)</f>
        <v>1.175</v>
      </c>
      <c r="Q310" s="578">
        <f t="shared" ref="Q310" si="416">SUM(Q311:Q312)</f>
        <v>1.175</v>
      </c>
      <c r="R310" s="578">
        <f t="shared" ref="R310:S310" si="417">SUM(R311:R312)</f>
        <v>1.175</v>
      </c>
      <c r="S310" s="578">
        <f t="shared" si="417"/>
        <v>1.175</v>
      </c>
      <c r="T310" s="578">
        <f t="shared" ref="T310" si="418">SUM(T311:T312)</f>
        <v>1.175</v>
      </c>
      <c r="U310" s="578">
        <f t="shared" ref="U310" si="419">SUM(U311:U312)</f>
        <v>1.175</v>
      </c>
      <c r="V310" s="357"/>
      <c r="W310" s="357"/>
      <c r="X310" s="357"/>
      <c r="Y310" s="357"/>
      <c r="Z310" s="357"/>
    </row>
    <row r="311" spans="3:26">
      <c r="C311" s="410" t="s">
        <v>535</v>
      </c>
      <c r="D311" s="407"/>
      <c r="E311" s="565">
        <v>0</v>
      </c>
      <c r="F311" s="565">
        <v>0</v>
      </c>
      <c r="G311" s="565">
        <v>17.739999999999998</v>
      </c>
      <c r="H311" s="565">
        <v>0</v>
      </c>
      <c r="I311" s="565">
        <v>0</v>
      </c>
      <c r="J311" s="565">
        <v>0</v>
      </c>
      <c r="K311" s="682">
        <f>J311</f>
        <v>0</v>
      </c>
      <c r="L311" s="573">
        <f t="shared" ref="L311:U311" si="420">K311</f>
        <v>0</v>
      </c>
      <c r="M311" s="573">
        <f t="shared" si="420"/>
        <v>0</v>
      </c>
      <c r="N311" s="573">
        <f t="shared" si="420"/>
        <v>0</v>
      </c>
      <c r="O311" s="573">
        <f t="shared" si="420"/>
        <v>0</v>
      </c>
      <c r="P311" s="573">
        <f t="shared" si="420"/>
        <v>0</v>
      </c>
      <c r="Q311" s="573">
        <f t="shared" si="420"/>
        <v>0</v>
      </c>
      <c r="R311" s="573">
        <f t="shared" si="420"/>
        <v>0</v>
      </c>
      <c r="S311" s="573">
        <f t="shared" si="420"/>
        <v>0</v>
      </c>
      <c r="T311" s="573">
        <f t="shared" si="420"/>
        <v>0</v>
      </c>
      <c r="U311" s="573">
        <f t="shared" si="420"/>
        <v>0</v>
      </c>
      <c r="V311" s="357"/>
      <c r="W311" s="357"/>
      <c r="X311" s="357"/>
      <c r="Y311" s="357"/>
      <c r="Z311" s="357"/>
    </row>
    <row r="312" spans="3:26">
      <c r="C312" s="410" t="s">
        <v>536</v>
      </c>
      <c r="D312" s="407"/>
      <c r="E312" s="565">
        <v>94.43</v>
      </c>
      <c r="F312" s="565">
        <v>100.426</v>
      </c>
      <c r="G312" s="565">
        <v>105.657</v>
      </c>
      <c r="H312" s="565">
        <v>510.56</v>
      </c>
      <c r="I312" s="565">
        <v>19.704000000000001</v>
      </c>
      <c r="J312" s="565">
        <v>1.175</v>
      </c>
      <c r="K312" s="682">
        <f>J312</f>
        <v>1.175</v>
      </c>
      <c r="L312" s="573">
        <f t="shared" ref="L312:U312" si="421">K312</f>
        <v>1.175</v>
      </c>
      <c r="M312" s="573">
        <f t="shared" si="421"/>
        <v>1.175</v>
      </c>
      <c r="N312" s="573">
        <f t="shared" si="421"/>
        <v>1.175</v>
      </c>
      <c r="O312" s="573">
        <f t="shared" si="421"/>
        <v>1.175</v>
      </c>
      <c r="P312" s="573">
        <f t="shared" si="421"/>
        <v>1.175</v>
      </c>
      <c r="Q312" s="573">
        <f t="shared" si="421"/>
        <v>1.175</v>
      </c>
      <c r="R312" s="573">
        <f t="shared" si="421"/>
        <v>1.175</v>
      </c>
      <c r="S312" s="573">
        <f t="shared" si="421"/>
        <v>1.175</v>
      </c>
      <c r="T312" s="573">
        <f t="shared" si="421"/>
        <v>1.175</v>
      </c>
      <c r="U312" s="573">
        <f t="shared" si="421"/>
        <v>1.175</v>
      </c>
      <c r="V312" s="357"/>
      <c r="W312" s="357"/>
      <c r="X312" s="357"/>
      <c r="Y312" s="357"/>
      <c r="Z312" s="357"/>
    </row>
    <row r="313" spans="3:26">
      <c r="C313" s="401" t="s">
        <v>537</v>
      </c>
      <c r="D313" s="407"/>
      <c r="E313" s="583">
        <f>E314+E316</f>
        <v>743.99300000000005</v>
      </c>
      <c r="F313" s="583">
        <f t="shared" ref="F313:J313" si="422">F314+F316</f>
        <v>843.91399999999999</v>
      </c>
      <c r="G313" s="583">
        <f t="shared" si="422"/>
        <v>863.54300000000001</v>
      </c>
      <c r="H313" s="583">
        <f t="shared" si="422"/>
        <v>1456.4110000000001</v>
      </c>
      <c r="I313" s="583">
        <f t="shared" si="422"/>
        <v>1498.731</v>
      </c>
      <c r="J313" s="583">
        <f t="shared" si="422"/>
        <v>1969.4179999999999</v>
      </c>
      <c r="K313" s="680">
        <f>K314+K315+K316</f>
        <v>2751.8674066573508</v>
      </c>
      <c r="L313" s="580">
        <f t="shared" ref="L313:U313" si="423">L314+L315+L316</f>
        <v>3211.6324476015257</v>
      </c>
      <c r="M313" s="580">
        <f t="shared" si="423"/>
        <v>3308.5661906318587</v>
      </c>
      <c r="N313" s="580">
        <f t="shared" si="423"/>
        <v>3412.1064328271577</v>
      </c>
      <c r="O313" s="580">
        <f t="shared" si="423"/>
        <v>3536.2494105762544</v>
      </c>
      <c r="P313" s="580">
        <f t="shared" si="423"/>
        <v>3689.5888400322028</v>
      </c>
      <c r="Q313" s="580">
        <f t="shared" si="423"/>
        <v>3858.663087663494</v>
      </c>
      <c r="R313" s="580">
        <f t="shared" si="423"/>
        <v>4052.5857523160248</v>
      </c>
      <c r="S313" s="580">
        <f t="shared" si="423"/>
        <v>4273.9573806499066</v>
      </c>
      <c r="T313" s="580">
        <f t="shared" si="423"/>
        <v>4513.0615448498165</v>
      </c>
      <c r="U313" s="580">
        <f t="shared" si="423"/>
        <v>4786.507459011721</v>
      </c>
      <c r="V313" s="414"/>
      <c r="W313" s="414"/>
      <c r="X313" s="357"/>
      <c r="Y313" s="357"/>
      <c r="Z313" s="357"/>
    </row>
    <row r="314" spans="3:26">
      <c r="C314" s="410" t="s">
        <v>587</v>
      </c>
      <c r="D314" s="407"/>
      <c r="E314" s="565">
        <v>743.99300000000005</v>
      </c>
      <c r="F314" s="565">
        <v>843.91399999999999</v>
      </c>
      <c r="G314" s="565">
        <v>863.54300000000001</v>
      </c>
      <c r="H314" s="565">
        <v>1456.4110000000001</v>
      </c>
      <c r="I314" s="565">
        <v>1498.731</v>
      </c>
      <c r="J314" s="565">
        <v>1764.126</v>
      </c>
      <c r="K314" s="682">
        <f t="shared" ref="K314:U314" si="424">J314+K172*K265-K177</f>
        <v>1900.6894066573509</v>
      </c>
      <c r="L314" s="573">
        <f t="shared" si="424"/>
        <v>2275.5564476015256</v>
      </c>
      <c r="M314" s="573">
        <f t="shared" si="424"/>
        <v>2387.4121906318587</v>
      </c>
      <c r="N314" s="573">
        <f t="shared" si="424"/>
        <v>2519.8946328271577</v>
      </c>
      <c r="O314" s="573">
        <f t="shared" si="424"/>
        <v>2670.0855905762542</v>
      </c>
      <c r="P314" s="573">
        <f t="shared" si="424"/>
        <v>2841.6586060322029</v>
      </c>
      <c r="Q314" s="573">
        <f t="shared" si="424"/>
        <v>3023.496363863494</v>
      </c>
      <c r="R314" s="573">
        <f t="shared" si="424"/>
        <v>3226.3534856560245</v>
      </c>
      <c r="S314" s="573">
        <f t="shared" si="424"/>
        <v>3452.1923425599061</v>
      </c>
      <c r="T314" s="573">
        <f t="shared" si="424"/>
        <v>3693.5301210448156</v>
      </c>
      <c r="U314" s="573">
        <f t="shared" si="424"/>
        <v>3966.9760352067206</v>
      </c>
      <c r="V314" s="414"/>
      <c r="W314" s="414"/>
      <c r="X314" s="357"/>
      <c r="Y314" s="357"/>
      <c r="Z314" s="357"/>
    </row>
    <row r="315" spans="3:26">
      <c r="C315" s="410" t="s">
        <v>651</v>
      </c>
      <c r="D315" s="407"/>
      <c r="E315" s="565"/>
      <c r="F315" s="565"/>
      <c r="G315" s="565"/>
      <c r="H315" s="565"/>
      <c r="I315" s="565"/>
      <c r="J315" s="565"/>
      <c r="K315" s="682">
        <v>420</v>
      </c>
      <c r="L315" s="573">
        <f>K315</f>
        <v>420</v>
      </c>
      <c r="M315" s="573">
        <f t="shared" ref="M315:U315" si="425">L315</f>
        <v>420</v>
      </c>
      <c r="N315" s="573">
        <f t="shared" si="425"/>
        <v>420</v>
      </c>
      <c r="O315" s="573">
        <f t="shared" si="425"/>
        <v>420</v>
      </c>
      <c r="P315" s="573">
        <f t="shared" si="425"/>
        <v>420</v>
      </c>
      <c r="Q315" s="573">
        <f t="shared" si="425"/>
        <v>420</v>
      </c>
      <c r="R315" s="573">
        <f t="shared" si="425"/>
        <v>420</v>
      </c>
      <c r="S315" s="573">
        <f t="shared" si="425"/>
        <v>420</v>
      </c>
      <c r="T315" s="573">
        <f t="shared" si="425"/>
        <v>420</v>
      </c>
      <c r="U315" s="573">
        <f t="shared" si="425"/>
        <v>420</v>
      </c>
      <c r="V315" s="414"/>
      <c r="W315" s="414"/>
      <c r="X315" s="357"/>
      <c r="Y315" s="357"/>
      <c r="Z315" s="357"/>
    </row>
    <row r="316" spans="3:26">
      <c r="C316" s="410" t="s">
        <v>588</v>
      </c>
      <c r="D316" s="407"/>
      <c r="E316" s="565">
        <v>0</v>
      </c>
      <c r="F316" s="565">
        <v>0</v>
      </c>
      <c r="G316" s="565">
        <v>0</v>
      </c>
      <c r="H316" s="565">
        <v>0</v>
      </c>
      <c r="I316" s="565">
        <v>0</v>
      </c>
      <c r="J316" s="565">
        <v>205.292</v>
      </c>
      <c r="K316" s="682">
        <f t="shared" ref="K316:U316" si="426">J316+K262</f>
        <v>431.178</v>
      </c>
      <c r="L316" s="573">
        <f t="shared" si="426"/>
        <v>516.07600000000014</v>
      </c>
      <c r="M316" s="573">
        <f t="shared" si="426"/>
        <v>501.15400000000005</v>
      </c>
      <c r="N316" s="573">
        <f t="shared" si="426"/>
        <v>472.21180000000004</v>
      </c>
      <c r="O316" s="573">
        <f t="shared" si="426"/>
        <v>446.16382000000004</v>
      </c>
      <c r="P316" s="573">
        <f t="shared" si="426"/>
        <v>427.9302340000001</v>
      </c>
      <c r="Q316" s="573">
        <f t="shared" si="426"/>
        <v>415.16672380000006</v>
      </c>
      <c r="R316" s="573">
        <f t="shared" si="426"/>
        <v>406.23226666000011</v>
      </c>
      <c r="S316" s="573">
        <f t="shared" si="426"/>
        <v>401.76503809000008</v>
      </c>
      <c r="T316" s="573">
        <f t="shared" si="426"/>
        <v>399.53142380500009</v>
      </c>
      <c r="U316" s="573">
        <f t="shared" si="426"/>
        <v>399.53142380500009</v>
      </c>
      <c r="V316" s="357"/>
      <c r="W316" s="357"/>
      <c r="X316" s="357"/>
      <c r="Y316" s="357"/>
      <c r="Z316" s="357"/>
    </row>
    <row r="317" spans="3:26">
      <c r="C317" s="415" t="s">
        <v>545</v>
      </c>
      <c r="D317" s="415"/>
      <c r="E317" s="416">
        <f t="shared" ref="E317:I317" si="427">E313+E310+E304</f>
        <v>876.45500000000004</v>
      </c>
      <c r="F317" s="416">
        <f t="shared" si="427"/>
        <v>1132.5820000000001</v>
      </c>
      <c r="G317" s="416">
        <f t="shared" si="427"/>
        <v>1190.433</v>
      </c>
      <c r="H317" s="416">
        <f t="shared" si="427"/>
        <v>2055.0509999999999</v>
      </c>
      <c r="I317" s="416">
        <f t="shared" si="427"/>
        <v>1573.0219999999999</v>
      </c>
      <c r="J317" s="416">
        <f>J313+J310+J304</f>
        <v>1999.0529999999999</v>
      </c>
      <c r="K317" s="692">
        <f t="shared" ref="K317:U317" si="428">K313+K310+K304</f>
        <v>3426.0154745782806</v>
      </c>
      <c r="L317" s="416">
        <f t="shared" si="428"/>
        <v>3817.5141661583102</v>
      </c>
      <c r="M317" s="416">
        <f t="shared" si="428"/>
        <v>4228.1049466986524</v>
      </c>
      <c r="N317" s="416">
        <f t="shared" si="428"/>
        <v>4598.5335621933982</v>
      </c>
      <c r="O317" s="416">
        <f t="shared" si="428"/>
        <v>4877.4165596251278</v>
      </c>
      <c r="P317" s="416">
        <f t="shared" si="428"/>
        <v>5234.2259119660603</v>
      </c>
      <c r="Q317" s="416">
        <f t="shared" si="428"/>
        <v>5633.3068450952587</v>
      </c>
      <c r="R317" s="416">
        <f t="shared" si="428"/>
        <v>6115.0669497098279</v>
      </c>
      <c r="S317" s="416">
        <f t="shared" si="428"/>
        <v>6689.6252033688625</v>
      </c>
      <c r="T317" s="416">
        <f t="shared" si="428"/>
        <v>7315.9063438107769</v>
      </c>
      <c r="U317" s="416">
        <f t="shared" si="428"/>
        <v>8046.239809204797</v>
      </c>
      <c r="V317" s="357"/>
      <c r="W317" s="357"/>
      <c r="X317" s="357"/>
      <c r="Y317" s="357"/>
      <c r="Z317" s="357"/>
    </row>
    <row r="318" spans="3:26" ht="6" customHeight="1">
      <c r="C318" s="399"/>
      <c r="D318" s="399"/>
      <c r="E318" s="407"/>
      <c r="F318" s="407"/>
      <c r="G318" s="407"/>
      <c r="I318" s="407"/>
      <c r="J318" s="407"/>
      <c r="K318" s="693"/>
      <c r="L318" s="408"/>
      <c r="M318" s="408"/>
      <c r="N318" s="408"/>
      <c r="O318" s="408"/>
      <c r="P318" s="408"/>
      <c r="Q318" s="408"/>
      <c r="R318" s="408"/>
      <c r="S318" s="408"/>
      <c r="T318" s="408"/>
      <c r="U318" s="408"/>
      <c r="V318" s="357"/>
      <c r="W318" s="357"/>
      <c r="X318" s="357"/>
      <c r="Y318" s="357"/>
      <c r="Z318" s="357"/>
    </row>
    <row r="319" spans="3:26">
      <c r="C319" s="401" t="s">
        <v>538</v>
      </c>
      <c r="D319" s="407"/>
      <c r="E319" s="563">
        <f>SUM(E320:E324)</f>
        <v>21.701999999999998</v>
      </c>
      <c r="F319" s="563">
        <f t="shared" ref="F319:J319" si="429">SUM(F320:F324)</f>
        <v>68.510000000000005</v>
      </c>
      <c r="G319" s="563">
        <f t="shared" si="429"/>
        <v>231.15700000000004</v>
      </c>
      <c r="H319" s="563">
        <f t="shared" si="429"/>
        <v>263.41099999999994</v>
      </c>
      <c r="I319" s="563">
        <f t="shared" si="429"/>
        <v>114.324</v>
      </c>
      <c r="J319" s="563">
        <f t="shared" si="429"/>
        <v>117.24300000000001</v>
      </c>
      <c r="K319" s="689">
        <f>SUM(K320:K324)</f>
        <v>70.410080546609663</v>
      </c>
      <c r="L319" s="578">
        <f t="shared" ref="L319:U319" si="430">SUM(L320:L324)</f>
        <v>35.043700104110535</v>
      </c>
      <c r="M319" s="578">
        <f t="shared" si="430"/>
        <v>33.809131114497248</v>
      </c>
      <c r="N319" s="578">
        <f t="shared" si="430"/>
        <v>194.64401635482042</v>
      </c>
      <c r="O319" s="578">
        <f t="shared" si="430"/>
        <v>640.89469244571069</v>
      </c>
      <c r="P319" s="578">
        <f t="shared" si="430"/>
        <v>649.80419542020354</v>
      </c>
      <c r="Q319" s="578">
        <f t="shared" si="430"/>
        <v>659.8156487644419</v>
      </c>
      <c r="R319" s="578">
        <f t="shared" si="430"/>
        <v>537.00675109802648</v>
      </c>
      <c r="S319" s="578">
        <f t="shared" si="430"/>
        <v>421.76145519542138</v>
      </c>
      <c r="T319" s="578">
        <f t="shared" si="430"/>
        <v>298.75623446587178</v>
      </c>
      <c r="U319" s="578">
        <f t="shared" si="430"/>
        <v>176.45004355884907</v>
      </c>
      <c r="V319" s="357"/>
      <c r="W319" s="357"/>
      <c r="X319" s="357"/>
      <c r="Y319" s="357"/>
      <c r="Z319" s="357"/>
    </row>
    <row r="320" spans="3:26">
      <c r="C320" s="442" t="s">
        <v>539</v>
      </c>
      <c r="D320" s="407"/>
      <c r="E320" s="579">
        <v>0</v>
      </c>
      <c r="F320" s="579">
        <v>68.031000000000006</v>
      </c>
      <c r="G320" s="579">
        <v>138.346</v>
      </c>
      <c r="H320" s="579">
        <v>104.895</v>
      </c>
      <c r="I320" s="579">
        <v>0</v>
      </c>
      <c r="J320" s="579">
        <v>0</v>
      </c>
      <c r="K320" s="690">
        <f t="shared" ref="K320:U320" si="431">MAX(0,SUM(K305,K307:K307,K309:K310,K313)-SUM(K321:K324,K325,K329))</f>
        <v>0</v>
      </c>
      <c r="L320" s="579">
        <f t="shared" si="431"/>
        <v>0</v>
      </c>
      <c r="M320" s="579">
        <f t="shared" si="431"/>
        <v>0</v>
      </c>
      <c r="N320" s="579">
        <f t="shared" si="431"/>
        <v>0</v>
      </c>
      <c r="O320" s="579">
        <f t="shared" si="431"/>
        <v>0</v>
      </c>
      <c r="P320" s="579">
        <f t="shared" si="431"/>
        <v>0</v>
      </c>
      <c r="Q320" s="579">
        <f t="shared" si="431"/>
        <v>0</v>
      </c>
      <c r="R320" s="579">
        <f t="shared" si="431"/>
        <v>0</v>
      </c>
      <c r="S320" s="579">
        <f t="shared" si="431"/>
        <v>0</v>
      </c>
      <c r="T320" s="579">
        <f t="shared" si="431"/>
        <v>0</v>
      </c>
      <c r="U320" s="579">
        <f t="shared" si="431"/>
        <v>0</v>
      </c>
      <c r="V320" s="417"/>
    </row>
    <row r="321" spans="3:72">
      <c r="C321" s="410" t="s">
        <v>540</v>
      </c>
      <c r="D321" s="407"/>
      <c r="E321" s="565">
        <v>0.55200000000000005</v>
      </c>
      <c r="F321" s="565">
        <v>0.47099999999999997</v>
      </c>
      <c r="G321" s="565">
        <v>0.69299999999999995</v>
      </c>
      <c r="H321" s="565">
        <v>40.451999999999998</v>
      </c>
      <c r="I321" s="565">
        <v>40.402000000000001</v>
      </c>
      <c r="J321" s="565">
        <v>40.195999999999998</v>
      </c>
      <c r="K321" s="682">
        <f>'DIVIDA AGPar'!G27/1000</f>
        <v>0</v>
      </c>
      <c r="L321" s="573">
        <f>'DIVIDA AGPar'!H27/1000</f>
        <v>14.634678333333333</v>
      </c>
      <c r="M321" s="573">
        <f>'DIVIDA AGPar'!I27/1000</f>
        <v>14.634678333333333</v>
      </c>
      <c r="N321" s="573">
        <f>'DIVIDA AGPar'!J27/1000</f>
        <v>147.96801166666668</v>
      </c>
      <c r="O321" s="573">
        <f>'DIVIDA AGPar'!K27/1000</f>
        <v>585.22673563957471</v>
      </c>
      <c r="P321" s="573">
        <f>'DIVIDA AGPar'!L27/1000</f>
        <v>583.6489455047323</v>
      </c>
      <c r="Q321" s="573">
        <f>'DIVIDA AGPar'!M27/1000</f>
        <v>587.38248893849163</v>
      </c>
      <c r="R321" s="573">
        <f>'DIVIDA AGPar'!N27/1000</f>
        <v>454.04915560515843</v>
      </c>
      <c r="S321" s="573">
        <f>'DIVIDA AGPar'!O27/1000</f>
        <v>327.36113329891708</v>
      </c>
      <c r="T321" s="573">
        <f>'DIVIDA AGPar'!P27/1000</f>
        <v>195.6055901004261</v>
      </c>
      <c r="U321" s="573">
        <f>'DIVIDA AGPar'!Q27/1000</f>
        <v>58.538713333333334</v>
      </c>
      <c r="V321" s="417"/>
    </row>
    <row r="322" spans="3:72">
      <c r="C322" s="410" t="s">
        <v>541</v>
      </c>
      <c r="D322" s="407"/>
      <c r="E322" s="565">
        <v>11.048</v>
      </c>
      <c r="F322" s="565">
        <v>0</v>
      </c>
      <c r="G322" s="565">
        <v>92.111000000000004</v>
      </c>
      <c r="H322" s="565">
        <v>118.05800000000001</v>
      </c>
      <c r="I322" s="565">
        <v>73.858999999999995</v>
      </c>
      <c r="J322" s="565">
        <v>34.414000000000001</v>
      </c>
      <c r="K322" s="682">
        <f>K298*15%</f>
        <v>27.96308054660966</v>
      </c>
      <c r="L322" s="573">
        <f t="shared" ref="L322:U322" si="432">L298*15%</f>
        <v>18.809021770777196</v>
      </c>
      <c r="M322" s="573">
        <f t="shared" si="432"/>
        <v>19.174452781163911</v>
      </c>
      <c r="N322" s="573">
        <f t="shared" si="432"/>
        <v>46.676004688153739</v>
      </c>
      <c r="O322" s="573">
        <f t="shared" si="432"/>
        <v>55.667956806136033</v>
      </c>
      <c r="P322" s="573">
        <f t="shared" si="432"/>
        <v>66.155249915471217</v>
      </c>
      <c r="Q322" s="573">
        <f t="shared" si="432"/>
        <v>72.433159825950312</v>
      </c>
      <c r="R322" s="573">
        <f>R298*15%</f>
        <v>82.957595492868009</v>
      </c>
      <c r="S322" s="573">
        <f t="shared" si="432"/>
        <v>94.400321896504295</v>
      </c>
      <c r="T322" s="573">
        <f t="shared" si="432"/>
        <v>103.15064436544567</v>
      </c>
      <c r="U322" s="573">
        <f t="shared" si="432"/>
        <v>117.91133022551573</v>
      </c>
    </row>
    <row r="323" spans="3:72">
      <c r="C323" s="410" t="s">
        <v>542</v>
      </c>
      <c r="D323" s="407"/>
      <c r="E323" s="565">
        <v>0</v>
      </c>
      <c r="F323" s="565">
        <v>0</v>
      </c>
      <c r="G323" s="565">
        <v>0</v>
      </c>
      <c r="H323" s="565">
        <v>0</v>
      </c>
      <c r="I323" s="565">
        <v>0</v>
      </c>
      <c r="J323" s="565">
        <v>42.447000000000003</v>
      </c>
      <c r="K323" s="682">
        <f>J323</f>
        <v>42.447000000000003</v>
      </c>
      <c r="L323" s="573">
        <v>1.6</v>
      </c>
      <c r="M323" s="573">
        <v>0</v>
      </c>
      <c r="N323" s="573">
        <f t="shared" ref="N323:U323" si="433">M323</f>
        <v>0</v>
      </c>
      <c r="O323" s="573">
        <f t="shared" si="433"/>
        <v>0</v>
      </c>
      <c r="P323" s="573">
        <f t="shared" si="433"/>
        <v>0</v>
      </c>
      <c r="Q323" s="573">
        <f t="shared" si="433"/>
        <v>0</v>
      </c>
      <c r="R323" s="573">
        <f t="shared" si="433"/>
        <v>0</v>
      </c>
      <c r="S323" s="573">
        <f t="shared" si="433"/>
        <v>0</v>
      </c>
      <c r="T323" s="573">
        <f t="shared" si="433"/>
        <v>0</v>
      </c>
      <c r="U323" s="573">
        <f t="shared" si="433"/>
        <v>0</v>
      </c>
    </row>
    <row r="324" spans="3:72">
      <c r="C324" s="410" t="s">
        <v>546</v>
      </c>
      <c r="D324" s="407"/>
      <c r="E324" s="565">
        <v>10.102</v>
      </c>
      <c r="F324" s="565">
        <v>8.0000000000000002E-3</v>
      </c>
      <c r="G324" s="565">
        <v>7.0000000000000001E-3</v>
      </c>
      <c r="H324" s="565">
        <v>6.0000000000000001E-3</v>
      </c>
      <c r="I324" s="565">
        <v>6.3E-2</v>
      </c>
      <c r="J324" s="565">
        <v>0.186</v>
      </c>
      <c r="K324" s="682">
        <v>0</v>
      </c>
      <c r="L324" s="573">
        <v>0</v>
      </c>
      <c r="M324" s="573">
        <v>0</v>
      </c>
      <c r="N324" s="573">
        <v>0</v>
      </c>
      <c r="O324" s="573">
        <v>0</v>
      </c>
      <c r="P324" s="573">
        <v>0</v>
      </c>
      <c r="Q324" s="573">
        <v>0</v>
      </c>
      <c r="R324" s="573">
        <v>0</v>
      </c>
      <c r="S324" s="573">
        <v>0</v>
      </c>
      <c r="T324" s="573">
        <v>0</v>
      </c>
      <c r="U324" s="573">
        <v>0</v>
      </c>
    </row>
    <row r="325" spans="3:72">
      <c r="C325" s="401" t="s">
        <v>543</v>
      </c>
      <c r="D325" s="407"/>
      <c r="E325" s="563">
        <f t="shared" ref="E325:U325" si="434">SUM(E326:E328)</f>
        <v>120</v>
      </c>
      <c r="F325" s="563">
        <f t="shared" si="434"/>
        <v>121.75700000000001</v>
      </c>
      <c r="G325" s="563">
        <f t="shared" si="434"/>
        <v>121.724</v>
      </c>
      <c r="H325" s="563">
        <f t="shared" si="434"/>
        <v>571.803</v>
      </c>
      <c r="I325" s="563">
        <f t="shared" si="434"/>
        <v>43.532999999999994</v>
      </c>
      <c r="J325" s="563">
        <f t="shared" si="434"/>
        <v>205.69100000000003</v>
      </c>
      <c r="K325" s="689">
        <f t="shared" si="434"/>
        <v>1080.9783542621301</v>
      </c>
      <c r="L325" s="578">
        <f t="shared" si="434"/>
        <v>1105.2643638224101</v>
      </c>
      <c r="M325" s="578">
        <f t="shared" si="434"/>
        <v>1106.6891450537698</v>
      </c>
      <c r="N325" s="578">
        <f t="shared" si="434"/>
        <v>972.35441971127</v>
      </c>
      <c r="O325" s="578">
        <f t="shared" si="434"/>
        <v>394.80179616479001</v>
      </c>
      <c r="P325" s="578">
        <f t="shared" si="434"/>
        <v>255.24190931197001</v>
      </c>
      <c r="Q325" s="578">
        <f t="shared" si="434"/>
        <v>110.59336932677</v>
      </c>
      <c r="R325" s="578">
        <f t="shared" si="434"/>
        <v>103.89587850241001</v>
      </c>
      <c r="S325" s="578">
        <f t="shared" si="434"/>
        <v>98.118108826650001</v>
      </c>
      <c r="T325" s="578">
        <f t="shared" si="434"/>
        <v>87.347090463249998</v>
      </c>
      <c r="U325" s="578">
        <f t="shared" si="434"/>
        <v>71.166418786809999</v>
      </c>
    </row>
    <row r="326" spans="3:72">
      <c r="C326" s="410" t="s">
        <v>540</v>
      </c>
      <c r="D326" s="407"/>
      <c r="E326" s="565">
        <v>120</v>
      </c>
      <c r="F326" s="565">
        <v>120</v>
      </c>
      <c r="G326" s="565">
        <v>120</v>
      </c>
      <c r="H326" s="565">
        <v>80</v>
      </c>
      <c r="I326" s="565">
        <v>40.003999999999998</v>
      </c>
      <c r="J326" s="565">
        <v>159.91200000000001</v>
      </c>
      <c r="K326" s="682">
        <f>'DIVIDA AGPar'!G28/1000</f>
        <v>1078.4983542621301</v>
      </c>
      <c r="L326" s="573">
        <f>'DIVIDA AGPar'!H28/1000</f>
        <v>1104.8383638224102</v>
      </c>
      <c r="M326" s="573">
        <f>'DIVIDA AGPar'!I28/1000</f>
        <v>1106.4761450537699</v>
      </c>
      <c r="N326" s="573">
        <f>'DIVIDA AGPar'!J28/1000</f>
        <v>972.24791971127001</v>
      </c>
      <c r="O326" s="573">
        <f>'DIVIDA AGPar'!K28/1000</f>
        <v>394.74854616479001</v>
      </c>
      <c r="P326" s="573">
        <f>'DIVIDA AGPar'!L28/1000</f>
        <v>255.21528431197001</v>
      </c>
      <c r="Q326" s="573">
        <f>'DIVIDA AGPar'!M28/1000</f>
        <v>110.58005682677</v>
      </c>
      <c r="R326" s="573">
        <f>'DIVIDA AGPar'!N28/1000</f>
        <v>103.88922225241001</v>
      </c>
      <c r="S326" s="573">
        <f>'DIVIDA AGPar'!O28/1000</f>
        <v>98.114780701650005</v>
      </c>
      <c r="T326" s="573">
        <f>'DIVIDA AGPar'!P28/1000</f>
        <v>87.34542640075</v>
      </c>
      <c r="U326" s="573">
        <f>'DIVIDA AGPar'!Q28/1000</f>
        <v>71.16558675556</v>
      </c>
      <c r="AX326" s="418"/>
      <c r="AY326" s="418"/>
      <c r="BG326" s="418"/>
      <c r="BH326" s="418"/>
      <c r="BI326" s="418"/>
      <c r="BJ326" s="418"/>
      <c r="BL326" s="418"/>
      <c r="BM326" s="418"/>
      <c r="BR326" s="418"/>
      <c r="BS326" s="418"/>
      <c r="BT326" s="418"/>
    </row>
    <row r="327" spans="3:72">
      <c r="C327" s="410" t="s">
        <v>542</v>
      </c>
      <c r="D327" s="407"/>
      <c r="E327" s="565">
        <v>0</v>
      </c>
      <c r="F327" s="565">
        <v>1.7569999999999999</v>
      </c>
      <c r="G327" s="565">
        <v>1.724</v>
      </c>
      <c r="H327" s="565">
        <v>477.46</v>
      </c>
      <c r="I327" s="565">
        <v>1.607</v>
      </c>
      <c r="J327" s="565">
        <v>44.075000000000003</v>
      </c>
      <c r="K327" s="682">
        <f>J327-K323</f>
        <v>1.6280000000000001</v>
      </c>
      <c r="L327" s="573">
        <v>0</v>
      </c>
      <c r="M327" s="573">
        <f t="shared" ref="M327:U327" si="435">L327</f>
        <v>0</v>
      </c>
      <c r="N327" s="573">
        <f t="shared" si="435"/>
        <v>0</v>
      </c>
      <c r="O327" s="573">
        <f t="shared" si="435"/>
        <v>0</v>
      </c>
      <c r="P327" s="573">
        <f t="shared" si="435"/>
        <v>0</v>
      </c>
      <c r="Q327" s="573">
        <f t="shared" si="435"/>
        <v>0</v>
      </c>
      <c r="R327" s="573">
        <f t="shared" si="435"/>
        <v>0</v>
      </c>
      <c r="S327" s="573">
        <f t="shared" si="435"/>
        <v>0</v>
      </c>
      <c r="T327" s="573">
        <f t="shared" si="435"/>
        <v>0</v>
      </c>
      <c r="U327" s="573">
        <f t="shared" si="435"/>
        <v>0</v>
      </c>
    </row>
    <row r="328" spans="3:72">
      <c r="C328" s="410" t="s">
        <v>547</v>
      </c>
      <c r="D328" s="407"/>
      <c r="E328" s="565">
        <v>0</v>
      </c>
      <c r="F328" s="565">
        <v>0</v>
      </c>
      <c r="G328" s="565">
        <v>0</v>
      </c>
      <c r="H328" s="565">
        <f>1.922+12.421</f>
        <v>14.343</v>
      </c>
      <c r="I328" s="565">
        <v>1.9219999999999999</v>
      </c>
      <c r="J328" s="565">
        <v>1.704</v>
      </c>
      <c r="K328" s="682">
        <f>+J328/2</f>
        <v>0.85199999999999998</v>
      </c>
      <c r="L328" s="573">
        <f t="shared" ref="L328:R328" si="436">+K328/2</f>
        <v>0.42599999999999999</v>
      </c>
      <c r="M328" s="573">
        <f t="shared" si="436"/>
        <v>0.21299999999999999</v>
      </c>
      <c r="N328" s="573">
        <f>+M328/2</f>
        <v>0.1065</v>
      </c>
      <c r="O328" s="573">
        <f t="shared" si="436"/>
        <v>5.3249999999999999E-2</v>
      </c>
      <c r="P328" s="573">
        <f t="shared" si="436"/>
        <v>2.6624999999999999E-2</v>
      </c>
      <c r="Q328" s="573">
        <f>+P328/2</f>
        <v>1.33125E-2</v>
      </c>
      <c r="R328" s="573">
        <f t="shared" si="436"/>
        <v>6.6562499999999998E-3</v>
      </c>
      <c r="S328" s="573">
        <f>+R328/2</f>
        <v>3.3281249999999999E-3</v>
      </c>
      <c r="T328" s="573">
        <f>+S328/2</f>
        <v>1.6640625E-3</v>
      </c>
      <c r="U328" s="573">
        <f t="shared" ref="U328" si="437">+T328/2</f>
        <v>8.3203124999999998E-4</v>
      </c>
    </row>
    <row r="329" spans="3:72">
      <c r="C329" s="401" t="s">
        <v>544</v>
      </c>
      <c r="D329" s="407"/>
      <c r="E329" s="563">
        <f t="shared" ref="E329:K329" si="438">SUM(E330:E333)</f>
        <v>734.75300000000004</v>
      </c>
      <c r="F329" s="563">
        <f t="shared" si="438"/>
        <v>942.31500000000005</v>
      </c>
      <c r="G329" s="563">
        <f t="shared" si="438"/>
        <v>837.55200000000002</v>
      </c>
      <c r="H329" s="563">
        <f t="shared" si="438"/>
        <v>1219.837</v>
      </c>
      <c r="I329" s="563">
        <f t="shared" si="438"/>
        <v>1415.1650000000002</v>
      </c>
      <c r="J329" s="563">
        <f t="shared" si="438"/>
        <v>1676.1190000000001</v>
      </c>
      <c r="K329" s="689">
        <f t="shared" si="438"/>
        <v>2274.6270397695403</v>
      </c>
      <c r="L329" s="578">
        <f t="shared" ref="L329:U329" si="439">SUM(L330:L333)</f>
        <v>2677.2061022317894</v>
      </c>
      <c r="M329" s="578">
        <f t="shared" si="439"/>
        <v>3087.6066705303851</v>
      </c>
      <c r="N329" s="578">
        <f t="shared" si="439"/>
        <v>3431.5351261273076</v>
      </c>
      <c r="O329" s="578">
        <f t="shared" si="439"/>
        <v>3841.7200710146262</v>
      </c>
      <c r="P329" s="578">
        <f t="shared" si="439"/>
        <v>4329.179807233887</v>
      </c>
      <c r="Q329" s="578">
        <f t="shared" si="439"/>
        <v>4862.897827004047</v>
      </c>
      <c r="R329" s="578">
        <f t="shared" si="439"/>
        <v>5474.1643201093912</v>
      </c>
      <c r="S329" s="578">
        <f t="shared" si="439"/>
        <v>6169.745639346791</v>
      </c>
      <c r="T329" s="578">
        <f t="shared" si="439"/>
        <v>6929.8030188816547</v>
      </c>
      <c r="U329" s="578">
        <f t="shared" si="439"/>
        <v>7798.6233468591381</v>
      </c>
    </row>
    <row r="330" spans="3:72">
      <c r="C330" s="410" t="s">
        <v>548</v>
      </c>
      <c r="D330" s="407"/>
      <c r="E330" s="565">
        <v>699.28399999999999</v>
      </c>
      <c r="F330" s="565">
        <v>699.28399999999999</v>
      </c>
      <c r="G330" s="565">
        <v>699.28399999999999</v>
      </c>
      <c r="H330" s="565">
        <v>699.28399999999999</v>
      </c>
      <c r="I330" s="565">
        <v>457.20600000000002</v>
      </c>
      <c r="J330" s="565">
        <v>779.23599999999999</v>
      </c>
      <c r="K330" s="682">
        <f t="shared" ref="K330:U330" si="440">J330+(J332+(K293-K297)-K298)*K336</f>
        <v>1103.8946467322326</v>
      </c>
      <c r="L330" s="573">
        <f t="shared" si="440"/>
        <v>1293.1343872751363</v>
      </c>
      <c r="M330" s="573">
        <f t="shared" si="440"/>
        <v>1482.6261003576124</v>
      </c>
      <c r="N330" s="573">
        <f t="shared" si="440"/>
        <v>1636.5908135094992</v>
      </c>
      <c r="O330" s="573">
        <f t="shared" si="440"/>
        <v>1820.2401738440722</v>
      </c>
      <c r="P330" s="573">
        <f t="shared" si="440"/>
        <v>2038.8171993198418</v>
      </c>
      <c r="Q330" s="573">
        <f t="shared" si="440"/>
        <v>2279.2467386886765</v>
      </c>
      <c r="R330" s="573">
        <f t="shared" si="440"/>
        <v>2554.9410662814571</v>
      </c>
      <c r="S330" s="573">
        <f t="shared" si="440"/>
        <v>2868.7105986496063</v>
      </c>
      <c r="T330" s="573">
        <f t="shared" si="440"/>
        <v>3212.1826513091205</v>
      </c>
      <c r="U330" s="573">
        <f t="shared" si="440"/>
        <v>3604.7596503534169</v>
      </c>
    </row>
    <row r="331" spans="3:72">
      <c r="C331" s="410" t="s">
        <v>549</v>
      </c>
      <c r="D331" s="407"/>
      <c r="E331" s="565">
        <v>0</v>
      </c>
      <c r="F331" s="565">
        <v>0</v>
      </c>
      <c r="G331" s="565">
        <v>0</v>
      </c>
      <c r="H331" s="565">
        <v>8.0679999999999996</v>
      </c>
      <c r="I331" s="565">
        <v>0</v>
      </c>
      <c r="J331" s="565">
        <v>0</v>
      </c>
      <c r="K331" s="682">
        <f t="shared" ref="K331:U331" si="441">J331+K297</f>
        <v>39.246428837346897</v>
      </c>
      <c r="L331" s="573">
        <f t="shared" si="441"/>
        <v>65.645055884051743</v>
      </c>
      <c r="M331" s="573">
        <f t="shared" si="441"/>
        <v>92.556568559369509</v>
      </c>
      <c r="N331" s="573">
        <f t="shared" si="441"/>
        <v>125.31165956860021</v>
      </c>
      <c r="O331" s="573">
        <f t="shared" si="441"/>
        <v>164.37689241501147</v>
      </c>
      <c r="P331" s="573">
        <f t="shared" si="441"/>
        <v>210.80162919779829</v>
      </c>
      <c r="Q331" s="573">
        <f t="shared" si="441"/>
        <v>261.6319167949564</v>
      </c>
      <c r="R331" s="573">
        <f t="shared" si="441"/>
        <v>319.84777328117957</v>
      </c>
      <c r="S331" s="573">
        <f t="shared" si="441"/>
        <v>386.09361320855101</v>
      </c>
      <c r="T331" s="573">
        <f t="shared" si="441"/>
        <v>458.48003030710936</v>
      </c>
      <c r="U331" s="573">
        <f t="shared" si="441"/>
        <v>541.22482344782213</v>
      </c>
    </row>
    <row r="332" spans="3:72">
      <c r="C332" s="410" t="s">
        <v>550</v>
      </c>
      <c r="D332" s="407"/>
      <c r="E332" s="565">
        <v>35.469000000000001</v>
      </c>
      <c r="F332" s="565">
        <v>243.03100000000001</v>
      </c>
      <c r="G332" s="565">
        <v>222.125</v>
      </c>
      <c r="H332" s="565">
        <v>519.59299999999996</v>
      </c>
      <c r="I332" s="565">
        <v>816.029</v>
      </c>
      <c r="J332" s="565">
        <v>834.02200000000005</v>
      </c>
      <c r="K332" s="682">
        <f t="shared" ref="K332:U332" si="442">(J332+(K293-K297)-K298)*(1-K336)</f>
        <v>1068.6249641999609</v>
      </c>
      <c r="L332" s="573">
        <f t="shared" si="442"/>
        <v>1255.5656590726012</v>
      </c>
      <c r="M332" s="573">
        <f t="shared" si="442"/>
        <v>1449.5630016134035</v>
      </c>
      <c r="N332" s="573">
        <f t="shared" si="442"/>
        <v>1606.7716530492085</v>
      </c>
      <c r="O332" s="573">
        <f t="shared" si="442"/>
        <v>1794.2420047555424</v>
      </c>
      <c r="P332" s="573">
        <f t="shared" si="442"/>
        <v>2016.6999787162474</v>
      </c>
      <c r="Q332" s="573">
        <f t="shared" si="442"/>
        <v>2259.1581715204147</v>
      </c>
      <c r="R332" s="573">
        <f t="shared" si="442"/>
        <v>2536.5144805467544</v>
      </c>
      <c r="S332" s="573">
        <f t="shared" si="442"/>
        <v>2852.0804274886341</v>
      </c>
      <c r="T332" s="573">
        <f t="shared" si="442"/>
        <v>3196.2793372654246</v>
      </c>
      <c r="U332" s="573">
        <f t="shared" si="442"/>
        <v>3589.7778730578993</v>
      </c>
    </row>
    <row r="333" spans="3:72">
      <c r="C333" s="410" t="s">
        <v>551</v>
      </c>
      <c r="D333" s="407"/>
      <c r="E333" s="565">
        <v>0</v>
      </c>
      <c r="F333" s="565">
        <v>0</v>
      </c>
      <c r="G333" s="565">
        <v>-83.856999999999999</v>
      </c>
      <c r="H333" s="565">
        <v>-7.1079999999999997</v>
      </c>
      <c r="I333" s="565">
        <v>141.93</v>
      </c>
      <c r="J333" s="565">
        <v>62.860999999999997</v>
      </c>
      <c r="K333" s="682">
        <f>J333</f>
        <v>62.860999999999997</v>
      </c>
      <c r="L333" s="573">
        <f t="shared" ref="L333:U333" si="443">K333</f>
        <v>62.860999999999997</v>
      </c>
      <c r="M333" s="573">
        <f t="shared" si="443"/>
        <v>62.860999999999997</v>
      </c>
      <c r="N333" s="573">
        <f t="shared" si="443"/>
        <v>62.860999999999997</v>
      </c>
      <c r="O333" s="573">
        <f t="shared" si="443"/>
        <v>62.860999999999997</v>
      </c>
      <c r="P333" s="573">
        <f t="shared" si="443"/>
        <v>62.860999999999997</v>
      </c>
      <c r="Q333" s="573">
        <f t="shared" si="443"/>
        <v>62.860999999999997</v>
      </c>
      <c r="R333" s="573">
        <f t="shared" si="443"/>
        <v>62.860999999999997</v>
      </c>
      <c r="S333" s="573">
        <f t="shared" si="443"/>
        <v>62.860999999999997</v>
      </c>
      <c r="T333" s="573">
        <f t="shared" si="443"/>
        <v>62.860999999999997</v>
      </c>
      <c r="U333" s="573">
        <f t="shared" si="443"/>
        <v>62.860999999999997</v>
      </c>
    </row>
    <row r="334" spans="3:72">
      <c r="C334" s="415" t="s">
        <v>552</v>
      </c>
      <c r="D334" s="415"/>
      <c r="E334" s="416">
        <f t="shared" ref="E334:I334" si="444">E329+E325+E319</f>
        <v>876.45500000000004</v>
      </c>
      <c r="F334" s="416">
        <f t="shared" si="444"/>
        <v>1132.5820000000001</v>
      </c>
      <c r="G334" s="416">
        <f t="shared" si="444"/>
        <v>1190.433</v>
      </c>
      <c r="H334" s="416">
        <f t="shared" si="444"/>
        <v>2055.0509999999999</v>
      </c>
      <c r="I334" s="416">
        <f t="shared" si="444"/>
        <v>1573.0220000000002</v>
      </c>
      <c r="J334" s="416">
        <f>J329+J325+J319</f>
        <v>1999.0530000000001</v>
      </c>
      <c r="K334" s="692">
        <f t="shared" ref="K334:U334" si="445">K329+K325+K319</f>
        <v>3426.0154745782802</v>
      </c>
      <c r="L334" s="416">
        <f t="shared" si="445"/>
        <v>3817.5141661583098</v>
      </c>
      <c r="M334" s="416">
        <f t="shared" si="445"/>
        <v>4228.1049466986524</v>
      </c>
      <c r="N334" s="416">
        <f t="shared" si="445"/>
        <v>4598.5335621933982</v>
      </c>
      <c r="O334" s="416">
        <f t="shared" si="445"/>
        <v>4877.4165596251269</v>
      </c>
      <c r="P334" s="416">
        <f t="shared" si="445"/>
        <v>5234.2259119660603</v>
      </c>
      <c r="Q334" s="416">
        <f t="shared" si="445"/>
        <v>5633.3068450952587</v>
      </c>
      <c r="R334" s="416">
        <f t="shared" si="445"/>
        <v>6115.066949709827</v>
      </c>
      <c r="S334" s="416">
        <f t="shared" si="445"/>
        <v>6689.6252033688625</v>
      </c>
      <c r="T334" s="416">
        <f t="shared" si="445"/>
        <v>7315.9063438107769</v>
      </c>
      <c r="U334" s="416">
        <f t="shared" si="445"/>
        <v>8046.239809204797</v>
      </c>
    </row>
    <row r="335" spans="3:72">
      <c r="C335" s="352"/>
      <c r="D335" s="352"/>
      <c r="E335" s="295" t="str">
        <f t="shared" ref="E335:I335" si="446">IF(ABS(E334-E317)&lt;0.0000001,"ü","û")</f>
        <v>ü</v>
      </c>
      <c r="F335" s="295" t="str">
        <f t="shared" si="446"/>
        <v>ü</v>
      </c>
      <c r="G335" s="295" t="str">
        <f t="shared" si="446"/>
        <v>ü</v>
      </c>
      <c r="H335" s="295" t="str">
        <f t="shared" si="446"/>
        <v>ü</v>
      </c>
      <c r="I335" s="295" t="str">
        <f t="shared" si="446"/>
        <v>ü</v>
      </c>
      <c r="J335" s="295" t="str">
        <f>IF(ABS(J334-J317)&lt;0.0000001,"ü","û")</f>
        <v>ü</v>
      </c>
      <c r="K335" s="662" t="str">
        <f t="shared" ref="K335:U335" si="447">IF(ABS(K334-K317)&lt;0.0000001,"ü","û")</f>
        <v>ü</v>
      </c>
      <c r="L335" s="295" t="str">
        <f t="shared" si="447"/>
        <v>ü</v>
      </c>
      <c r="M335" s="295" t="str">
        <f t="shared" si="447"/>
        <v>ü</v>
      </c>
      <c r="N335" s="295" t="str">
        <f t="shared" si="447"/>
        <v>ü</v>
      </c>
      <c r="O335" s="295" t="str">
        <f t="shared" si="447"/>
        <v>ü</v>
      </c>
      <c r="P335" s="295" t="str">
        <f t="shared" si="447"/>
        <v>ü</v>
      </c>
      <c r="Q335" s="295" t="str">
        <f t="shared" si="447"/>
        <v>ü</v>
      </c>
      <c r="R335" s="295" t="str">
        <f t="shared" si="447"/>
        <v>ü</v>
      </c>
      <c r="S335" s="295" t="str">
        <f t="shared" si="447"/>
        <v>ü</v>
      </c>
      <c r="T335" s="295" t="str">
        <f t="shared" si="447"/>
        <v>ü</v>
      </c>
      <c r="U335" s="295" t="str">
        <f t="shared" si="447"/>
        <v>ü</v>
      </c>
    </row>
    <row r="336" spans="3:72" hidden="1" outlineLevel="1">
      <c r="C336" s="352"/>
      <c r="D336" s="352"/>
      <c r="E336" s="507"/>
      <c r="F336" s="507"/>
      <c r="G336" s="507"/>
      <c r="H336" s="507"/>
      <c r="I336" s="507"/>
      <c r="J336" s="603" t="s">
        <v>674</v>
      </c>
      <c r="K336" s="651">
        <v>0.23301691355934043</v>
      </c>
      <c r="L336" s="601">
        <v>0.13097939735916322</v>
      </c>
      <c r="M336" s="601">
        <v>0.11561036454944432</v>
      </c>
      <c r="N336" s="601">
        <v>8.7443365234782938E-2</v>
      </c>
      <c r="O336" s="601">
        <v>9.2851085542913839E-2</v>
      </c>
      <c r="P336" s="601">
        <v>9.7785207410917035E-2</v>
      </c>
      <c r="Q336" s="601">
        <v>9.6187678600524032E-2</v>
      </c>
      <c r="R336" s="601">
        <v>9.8034799832367625E-2</v>
      </c>
      <c r="S336" s="601">
        <v>9.9110676863013239E-2</v>
      </c>
      <c r="T336" s="601">
        <v>9.7032818077881305E-2</v>
      </c>
      <c r="U336" s="601">
        <v>9.8579110012128018E-2</v>
      </c>
    </row>
    <row r="337" spans="3:29" hidden="1" outlineLevel="1">
      <c r="C337" s="352"/>
      <c r="D337" s="352"/>
      <c r="E337" s="507"/>
      <c r="F337" s="507"/>
      <c r="G337" s="507"/>
      <c r="H337" s="507"/>
      <c r="I337" s="507"/>
      <c r="J337" s="603" t="s">
        <v>675</v>
      </c>
      <c r="K337" s="663">
        <f>(K332)/(K330)</f>
        <v>0.96804977482527199</v>
      </c>
      <c r="L337" s="600">
        <f t="shared" ref="L337:U337" si="448">(L332)/(L330)</f>
        <v>0.97094754530370264</v>
      </c>
      <c r="M337" s="600">
        <f t="shared" si="448"/>
        <v>0.97769963800297732</v>
      </c>
      <c r="N337" s="600">
        <f t="shared" si="448"/>
        <v>0.98177970925038582</v>
      </c>
      <c r="O337" s="600">
        <f t="shared" si="448"/>
        <v>0.98571717652312574</v>
      </c>
      <c r="P337" s="600">
        <f t="shared" si="448"/>
        <v>0.98915193544032642</v>
      </c>
      <c r="Q337" s="600">
        <f t="shared" si="448"/>
        <v>0.99118631307998739</v>
      </c>
      <c r="R337" s="600">
        <f t="shared" si="448"/>
        <v>0.99278786271124397</v>
      </c>
      <c r="S337" s="600">
        <f t="shared" si="448"/>
        <v>0.99420291082383827</v>
      </c>
      <c r="T337" s="600">
        <f t="shared" si="448"/>
        <v>0.99504906296744533</v>
      </c>
      <c r="U337" s="600">
        <f t="shared" si="448"/>
        <v>0.99584389009290852</v>
      </c>
    </row>
    <row r="338" spans="3:29" collapsed="1">
      <c r="C338" s="352"/>
      <c r="D338" s="352"/>
      <c r="E338" s="507"/>
      <c r="F338" s="507"/>
      <c r="G338" s="507"/>
      <c r="H338" s="507"/>
      <c r="I338" s="507"/>
      <c r="J338" s="507"/>
      <c r="K338" s="663"/>
      <c r="L338" s="600"/>
      <c r="M338" s="600"/>
      <c r="N338" s="600"/>
      <c r="O338" s="600"/>
      <c r="P338" s="600"/>
      <c r="Q338" s="600"/>
      <c r="R338" s="600"/>
      <c r="S338" s="600"/>
      <c r="T338" s="600"/>
      <c r="U338" s="600"/>
    </row>
    <row r="339" spans="3:29">
      <c r="C339" s="397" t="s">
        <v>553</v>
      </c>
      <c r="D339" s="350"/>
      <c r="E339" s="398">
        <v>2006</v>
      </c>
      <c r="F339" s="398">
        <v>2007</v>
      </c>
      <c r="G339" s="398">
        <v>2008</v>
      </c>
      <c r="H339" s="398">
        <v>2009</v>
      </c>
      <c r="I339" s="398">
        <v>2010</v>
      </c>
      <c r="J339" s="398">
        <v>2011</v>
      </c>
      <c r="K339" s="644">
        <v>2012</v>
      </c>
      <c r="L339" s="398">
        <v>2013</v>
      </c>
      <c r="M339" s="398">
        <v>2014</v>
      </c>
      <c r="N339" s="398">
        <v>2015</v>
      </c>
      <c r="O339" s="398">
        <v>2016</v>
      </c>
      <c r="P339" s="398">
        <v>2017</v>
      </c>
      <c r="Q339" s="398">
        <v>2018</v>
      </c>
      <c r="R339" s="398">
        <v>2019</v>
      </c>
      <c r="S339" s="398">
        <v>2020</v>
      </c>
      <c r="T339" s="398">
        <v>2021</v>
      </c>
      <c r="U339" s="398">
        <v>2022</v>
      </c>
      <c r="V339" s="417"/>
      <c r="W339" s="417"/>
      <c r="X339" s="417"/>
      <c r="Y339" s="417"/>
      <c r="Z339" s="417"/>
      <c r="AA339" s="417"/>
      <c r="AB339" s="417"/>
      <c r="AC339" s="417"/>
    </row>
    <row r="340" spans="3:29">
      <c r="K340" s="694"/>
      <c r="L340" s="361"/>
      <c r="M340" s="361"/>
      <c r="N340" s="361"/>
      <c r="O340" s="361"/>
      <c r="P340" s="361"/>
      <c r="Q340" s="361"/>
      <c r="R340" s="361"/>
      <c r="S340" s="361"/>
      <c r="T340" s="361"/>
      <c r="U340" s="361"/>
      <c r="V340" s="417"/>
      <c r="W340" s="417"/>
      <c r="X340" s="417"/>
      <c r="Y340" s="417"/>
      <c r="Z340" s="417"/>
      <c r="AA340" s="417"/>
      <c r="AB340" s="417"/>
      <c r="AC340" s="417"/>
    </row>
    <row r="341" spans="3:29">
      <c r="C341" s="410" t="s">
        <v>338</v>
      </c>
      <c r="E341" s="361">
        <f t="shared" ref="E341:J341" si="449">E293</f>
        <v>46.517000000000003</v>
      </c>
      <c r="F341" s="361">
        <f t="shared" si="449"/>
        <v>207.56199999999998</v>
      </c>
      <c r="G341" s="587">
        <f t="shared" si="449"/>
        <v>71.204999999999998</v>
      </c>
      <c r="H341" s="587">
        <f t="shared" si="449"/>
        <v>497.084</v>
      </c>
      <c r="I341" s="587">
        <f t="shared" si="449"/>
        <v>310.98499999999996</v>
      </c>
      <c r="J341" s="587">
        <f t="shared" si="449"/>
        <v>238.44599999999994</v>
      </c>
      <c r="K341" s="695">
        <f>K293</f>
        <v>784.92857674693789</v>
      </c>
      <c r="L341" s="612">
        <f t="shared" ref="L341:R341" si="450">L293</f>
        <v>527.97254093409674</v>
      </c>
      <c r="M341" s="612">
        <f t="shared" si="450"/>
        <v>538.23025350635544</v>
      </c>
      <c r="N341" s="612">
        <f t="shared" si="450"/>
        <v>655.10182018461387</v>
      </c>
      <c r="O341" s="612">
        <f t="shared" si="450"/>
        <v>781.30465692822509</v>
      </c>
      <c r="P341" s="612">
        <f t="shared" si="450"/>
        <v>928.49473565573635</v>
      </c>
      <c r="Q341" s="612">
        <f t="shared" si="450"/>
        <v>1016.6057519431622</v>
      </c>
      <c r="R341" s="612">
        <f t="shared" si="450"/>
        <v>1164.3171297244633</v>
      </c>
      <c r="S341" s="612">
        <f t="shared" ref="S341:U341" si="451">S293</f>
        <v>1324.9167985474287</v>
      </c>
      <c r="T341" s="612">
        <f t="shared" si="451"/>
        <v>1447.7283419711675</v>
      </c>
      <c r="U341" s="612">
        <f t="shared" si="451"/>
        <v>1654.8958628142559</v>
      </c>
      <c r="V341" s="417"/>
      <c r="W341" s="417"/>
      <c r="X341" s="417"/>
      <c r="Y341" s="417"/>
      <c r="Z341" s="417"/>
      <c r="AA341" s="417"/>
      <c r="AB341" s="417"/>
      <c r="AC341" s="417"/>
    </row>
    <row r="342" spans="3:29">
      <c r="C342" s="419" t="s">
        <v>596</v>
      </c>
      <c r="D342" s="419"/>
      <c r="E342" s="582">
        <f t="shared" ref="E342:J342" si="452">-E271</f>
        <v>-51.453000000000003</v>
      </c>
      <c r="F342" s="582">
        <f t="shared" si="452"/>
        <v>-206.53399999999999</v>
      </c>
      <c r="G342" s="582">
        <f t="shared" si="452"/>
        <v>-87.834000000000003</v>
      </c>
      <c r="H342" s="582">
        <f t="shared" si="452"/>
        <v>-528.80499999999995</v>
      </c>
      <c r="I342" s="582">
        <f t="shared" si="452"/>
        <v>-529.11599999999999</v>
      </c>
      <c r="J342" s="582">
        <f t="shared" si="452"/>
        <v>-263.52499999999998</v>
      </c>
      <c r="K342" s="696">
        <f>-K271</f>
        <v>-835.01583328854167</v>
      </c>
      <c r="L342" s="613">
        <f t="shared" ref="L342:R342" si="453">-L271</f>
        <v>-577.67117552799346</v>
      </c>
      <c r="M342" s="613">
        <f t="shared" si="453"/>
        <v>-566.1467949627704</v>
      </c>
      <c r="N342" s="613">
        <f t="shared" si="453"/>
        <v>-659.27827893661629</v>
      </c>
      <c r="O342" s="613">
        <f t="shared" si="453"/>
        <v>-754.16478752777323</v>
      </c>
      <c r="P342" s="613">
        <f t="shared" si="453"/>
        <v>-873.05480597895416</v>
      </c>
      <c r="Q342" s="613">
        <f t="shared" si="453"/>
        <v>-931.84821879371952</v>
      </c>
      <c r="R342" s="613">
        <f t="shared" si="453"/>
        <v>-1044.8687729510664</v>
      </c>
      <c r="S342" s="613">
        <f t="shared" ref="S342:U342" si="454">-S271</f>
        <v>-1168.7216384631508</v>
      </c>
      <c r="T342" s="613">
        <f t="shared" si="454"/>
        <v>-1251.4691310911542</v>
      </c>
      <c r="U342" s="613">
        <f t="shared" si="454"/>
        <v>-1420.4982553865198</v>
      </c>
    </row>
    <row r="343" spans="3:29">
      <c r="C343" s="419" t="s">
        <v>556</v>
      </c>
      <c r="D343" s="419"/>
      <c r="E343" s="507">
        <f t="shared" ref="E343:J343" si="455">E177-E216</f>
        <v>0</v>
      </c>
      <c r="F343" s="507">
        <f t="shared" si="455"/>
        <v>0</v>
      </c>
      <c r="G343" s="507">
        <f t="shared" si="455"/>
        <v>65</v>
      </c>
      <c r="H343" s="507">
        <f t="shared" si="455"/>
        <v>59.999999949999996</v>
      </c>
      <c r="I343" s="507">
        <f t="shared" si="455"/>
        <v>133.400395</v>
      </c>
      <c r="J343" s="507">
        <f t="shared" si="455"/>
        <v>67</v>
      </c>
      <c r="K343" s="678">
        <f>K177-K216</f>
        <v>401.68146263651244</v>
      </c>
      <c r="L343" s="614">
        <f t="shared" ref="L343:R343" si="456">L177-L216</f>
        <v>100.22021439624586</v>
      </c>
      <c r="M343" s="614">
        <f t="shared" si="456"/>
        <v>398.83109414257154</v>
      </c>
      <c r="N343" s="614">
        <f t="shared" si="456"/>
        <v>472.37733123012009</v>
      </c>
      <c r="O343" s="614">
        <f t="shared" si="456"/>
        <v>535.51853831187543</v>
      </c>
      <c r="P343" s="614">
        <f t="shared" si="456"/>
        <v>611.75807004455464</v>
      </c>
      <c r="Q343" s="614">
        <f t="shared" si="456"/>
        <v>648.35787548806422</v>
      </c>
      <c r="R343" s="614">
        <f t="shared" si="456"/>
        <v>723.30419205375563</v>
      </c>
      <c r="S343" s="614">
        <f t="shared" ref="S343:U343" si="457">S177-S216</f>
        <v>805.24750860987899</v>
      </c>
      <c r="T343" s="614">
        <f t="shared" si="457"/>
        <v>860.51022185755778</v>
      </c>
      <c r="U343" s="614">
        <f t="shared" si="457"/>
        <v>974.99449004092253</v>
      </c>
    </row>
    <row r="344" spans="3:29">
      <c r="C344" s="419" t="s">
        <v>554</v>
      </c>
      <c r="D344" s="419"/>
      <c r="E344" s="582">
        <f t="shared" ref="E344:J344" si="458">E364</f>
        <v>-109.077</v>
      </c>
      <c r="F344" s="582">
        <f t="shared" si="458"/>
        <v>-25.048000000000002</v>
      </c>
      <c r="G344" s="582">
        <f t="shared" si="458"/>
        <v>68.620000000000033</v>
      </c>
      <c r="H344" s="582">
        <f t="shared" si="458"/>
        <v>140.20399999999981</v>
      </c>
      <c r="I344" s="582">
        <f t="shared" si="458"/>
        <v>-40.611999999999853</v>
      </c>
      <c r="J344" s="582">
        <f t="shared" si="458"/>
        <v>70.696000000000012</v>
      </c>
      <c r="K344" s="696">
        <f>K364</f>
        <v>-101.55367038610324</v>
      </c>
      <c r="L344" s="613">
        <f t="shared" ref="L344:R344" si="459">L364</f>
        <v>-8.5445853269385807</v>
      </c>
      <c r="M344" s="613">
        <f t="shared" si="459"/>
        <v>-54.12645079816992</v>
      </c>
      <c r="N344" s="613">
        <f t="shared" si="459"/>
        <v>13.220022719946783</v>
      </c>
      <c r="O344" s="613">
        <f t="shared" si="459"/>
        <v>6.2198674783809835</v>
      </c>
      <c r="P344" s="613">
        <f t="shared" si="459"/>
        <v>-2.9951569684026609</v>
      </c>
      <c r="Q344" s="613">
        <f t="shared" si="459"/>
        <v>-0.19605345416665898</v>
      </c>
      <c r="R344" s="613">
        <f t="shared" si="459"/>
        <v>-2.7099772889801699</v>
      </c>
      <c r="S344" s="613">
        <f t="shared" ref="S344:U344" si="460">S364</f>
        <v>-3.0232005768745722</v>
      </c>
      <c r="T344" s="613">
        <f t="shared" si="460"/>
        <v>-1.0056792319919055</v>
      </c>
      <c r="U344" s="613">
        <f t="shared" si="460"/>
        <v>-5.4454302102874266</v>
      </c>
    </row>
    <row r="345" spans="3:29">
      <c r="C345" s="371" t="s">
        <v>555</v>
      </c>
      <c r="D345" s="371"/>
      <c r="E345" s="583">
        <f t="shared" ref="E345:J345" si="461">SUM(E341:E344)</f>
        <v>-114.01300000000001</v>
      </c>
      <c r="F345" s="583">
        <f t="shared" si="461"/>
        <v>-24.02000000000001</v>
      </c>
      <c r="G345" s="583">
        <f t="shared" si="461"/>
        <v>116.99100000000003</v>
      </c>
      <c r="H345" s="583">
        <f t="shared" si="461"/>
        <v>168.48299994999985</v>
      </c>
      <c r="I345" s="583">
        <f t="shared" si="461"/>
        <v>-125.34260499999988</v>
      </c>
      <c r="J345" s="583">
        <f t="shared" si="461"/>
        <v>112.61699999999998</v>
      </c>
      <c r="K345" s="680">
        <f>SUM(K341:K344)</f>
        <v>250.04053570880541</v>
      </c>
      <c r="L345" s="580">
        <f t="shared" ref="L345:R345" si="462">SUM(L341:L344)</f>
        <v>41.976994475410571</v>
      </c>
      <c r="M345" s="580">
        <f t="shared" si="462"/>
        <v>316.78810188798667</v>
      </c>
      <c r="N345" s="580">
        <f t="shared" si="462"/>
        <v>481.42089519806444</v>
      </c>
      <c r="O345" s="580">
        <f t="shared" si="462"/>
        <v>568.87827519070822</v>
      </c>
      <c r="P345" s="580">
        <f t="shared" si="462"/>
        <v>664.2028427529342</v>
      </c>
      <c r="Q345" s="580">
        <f t="shared" si="462"/>
        <v>732.91935518334026</v>
      </c>
      <c r="R345" s="580">
        <f t="shared" si="462"/>
        <v>840.0425715381723</v>
      </c>
      <c r="S345" s="580">
        <f t="shared" ref="S345" si="463">SUM(S341:S344)</f>
        <v>958.41946811728224</v>
      </c>
      <c r="T345" s="580">
        <f t="shared" ref="T345" si="464">SUM(T341:T344)</f>
        <v>1055.7637535055792</v>
      </c>
      <c r="U345" s="580">
        <f t="shared" ref="U345" si="465">SUM(U341:U344)</f>
        <v>1203.9466672583712</v>
      </c>
    </row>
    <row r="346" spans="3:29" ht="5.25" customHeight="1">
      <c r="C346" s="352"/>
      <c r="D346" s="352"/>
      <c r="E346" s="507"/>
      <c r="F346" s="507"/>
      <c r="G346" s="507"/>
      <c r="H346" s="507"/>
      <c r="I346" s="507"/>
      <c r="J346" s="507"/>
      <c r="K346" s="678"/>
      <c r="L346" s="614"/>
      <c r="M346" s="614"/>
      <c r="N346" s="614"/>
      <c r="O346" s="614"/>
      <c r="P346" s="614"/>
      <c r="Q346" s="614"/>
      <c r="R346" s="614"/>
      <c r="S346" s="614"/>
      <c r="T346" s="614"/>
      <c r="U346" s="614"/>
    </row>
    <row r="347" spans="3:29">
      <c r="C347" s="419" t="s">
        <v>672</v>
      </c>
      <c r="D347" s="419"/>
      <c r="E347" s="507">
        <f t="shared" ref="E347:U347" si="466">D314-E314+D315-E315-E343+E271</f>
        <v>-692.54000000000008</v>
      </c>
      <c r="F347" s="507">
        <f t="shared" si="466"/>
        <v>106.61300000000006</v>
      </c>
      <c r="G347" s="507">
        <f t="shared" si="466"/>
        <v>3.2049999999999841</v>
      </c>
      <c r="H347" s="507">
        <f t="shared" si="466"/>
        <v>-124.06299995000006</v>
      </c>
      <c r="I347" s="507">
        <f t="shared" si="466"/>
        <v>353.39560500000005</v>
      </c>
      <c r="J347" s="507">
        <f t="shared" si="466"/>
        <v>-68.87</v>
      </c>
      <c r="K347" s="678">
        <f t="shared" si="466"/>
        <v>-123.22903600532163</v>
      </c>
      <c r="L347" s="614">
        <f t="shared" si="466"/>
        <v>102.58392018757286</v>
      </c>
      <c r="M347" s="614">
        <f t="shared" si="466"/>
        <v>55.459957789865769</v>
      </c>
      <c r="N347" s="614">
        <f t="shared" si="466"/>
        <v>54.418505511197282</v>
      </c>
      <c r="O347" s="614">
        <f t="shared" si="466"/>
        <v>68.455291466801327</v>
      </c>
      <c r="P347" s="614">
        <f t="shared" si="466"/>
        <v>89.723720478450787</v>
      </c>
      <c r="Q347" s="614">
        <f t="shared" si="466"/>
        <v>101.65258547436417</v>
      </c>
      <c r="R347" s="614">
        <f t="shared" si="466"/>
        <v>118.70745910478024</v>
      </c>
      <c r="S347" s="614">
        <f t="shared" si="466"/>
        <v>137.63527294939036</v>
      </c>
      <c r="T347" s="614">
        <f t="shared" si="466"/>
        <v>149.62113074868694</v>
      </c>
      <c r="U347" s="614">
        <f t="shared" si="466"/>
        <v>172.05785118369226</v>
      </c>
    </row>
    <row r="348" spans="3:29">
      <c r="C348" s="410" t="s">
        <v>671</v>
      </c>
      <c r="E348" s="602">
        <f t="shared" ref="E348:J348" si="467">D316-E316</f>
        <v>0</v>
      </c>
      <c r="F348" s="602">
        <f t="shared" si="467"/>
        <v>0</v>
      </c>
      <c r="G348" s="602">
        <f t="shared" si="467"/>
        <v>0</v>
      </c>
      <c r="H348" s="602">
        <f t="shared" si="467"/>
        <v>0</v>
      </c>
      <c r="I348" s="602">
        <f t="shared" si="467"/>
        <v>0</v>
      </c>
      <c r="J348" s="602">
        <f t="shared" si="467"/>
        <v>-205.292</v>
      </c>
      <c r="K348" s="678">
        <f t="shared" ref="K348" si="468">J316-K316</f>
        <v>-225.886</v>
      </c>
      <c r="L348" s="569">
        <f t="shared" ref="L348:R348" si="469">K316-L316</f>
        <v>-84.898000000000138</v>
      </c>
      <c r="M348" s="569">
        <f t="shared" si="469"/>
        <v>14.922000000000082</v>
      </c>
      <c r="N348" s="569">
        <f t="shared" si="469"/>
        <v>28.942200000000014</v>
      </c>
      <c r="O348" s="569">
        <f t="shared" si="469"/>
        <v>26.047979999999995</v>
      </c>
      <c r="P348" s="569">
        <f t="shared" si="469"/>
        <v>18.233585999999946</v>
      </c>
      <c r="Q348" s="569">
        <f t="shared" si="469"/>
        <v>12.763510200000042</v>
      </c>
      <c r="R348" s="569">
        <f t="shared" si="469"/>
        <v>8.9344571399999495</v>
      </c>
      <c r="S348" s="569">
        <f t="shared" ref="S348:U348" si="470">R316-S316</f>
        <v>4.4672285700000316</v>
      </c>
      <c r="T348" s="569">
        <f t="shared" si="470"/>
        <v>2.2336142849999874</v>
      </c>
      <c r="U348" s="569">
        <f t="shared" si="470"/>
        <v>0</v>
      </c>
    </row>
    <row r="349" spans="3:29">
      <c r="C349" s="371" t="s">
        <v>557</v>
      </c>
      <c r="D349" s="371"/>
      <c r="E349" s="583">
        <f t="shared" ref="E349:J349" si="471">SUM(E347:E348)</f>
        <v>-692.54000000000008</v>
      </c>
      <c r="F349" s="583">
        <f t="shared" si="471"/>
        <v>106.61300000000006</v>
      </c>
      <c r="G349" s="583">
        <f t="shared" si="471"/>
        <v>3.2049999999999841</v>
      </c>
      <c r="H349" s="583">
        <f t="shared" si="471"/>
        <v>-124.06299995000006</v>
      </c>
      <c r="I349" s="583">
        <f t="shared" si="471"/>
        <v>353.39560500000005</v>
      </c>
      <c r="J349" s="583">
        <f t="shared" si="471"/>
        <v>-274.16200000000003</v>
      </c>
      <c r="K349" s="680">
        <f>SUM(K347:K348)</f>
        <v>-349.1150360053216</v>
      </c>
      <c r="L349" s="580">
        <f t="shared" ref="L349:R349" si="472">SUM(L347:L348)</f>
        <v>17.685920187572719</v>
      </c>
      <c r="M349" s="580">
        <f t="shared" si="472"/>
        <v>70.381957789865851</v>
      </c>
      <c r="N349" s="580">
        <f t="shared" si="472"/>
        <v>83.360705511197295</v>
      </c>
      <c r="O349" s="580">
        <f t="shared" si="472"/>
        <v>94.503271466801323</v>
      </c>
      <c r="P349" s="580">
        <f t="shared" si="472"/>
        <v>107.95730647845073</v>
      </c>
      <c r="Q349" s="580">
        <f t="shared" si="472"/>
        <v>114.41609567436421</v>
      </c>
      <c r="R349" s="580">
        <f t="shared" si="472"/>
        <v>127.64191624478019</v>
      </c>
      <c r="S349" s="580">
        <f t="shared" ref="S349" si="473">SUM(S347:S348)</f>
        <v>142.10250151939039</v>
      </c>
      <c r="T349" s="580">
        <f t="shared" ref="T349" si="474">SUM(T347:T348)</f>
        <v>151.85474503368692</v>
      </c>
      <c r="U349" s="580">
        <f t="shared" ref="U349" si="475">SUM(U347:U348)</f>
        <v>172.05785118369226</v>
      </c>
    </row>
    <row r="350" spans="3:29" ht="5.25" customHeight="1">
      <c r="C350" s="352"/>
      <c r="D350" s="352"/>
      <c r="E350" s="507"/>
      <c r="F350" s="507"/>
      <c r="G350" s="507"/>
      <c r="H350" s="507"/>
      <c r="I350" s="507"/>
      <c r="J350" s="507"/>
      <c r="K350" s="678"/>
      <c r="L350" s="614"/>
      <c r="M350" s="614"/>
      <c r="N350" s="614"/>
      <c r="O350" s="614"/>
      <c r="P350" s="614"/>
      <c r="Q350" s="614"/>
      <c r="R350" s="614"/>
      <c r="S350" s="614"/>
      <c r="T350" s="614"/>
      <c r="U350" s="614"/>
    </row>
    <row r="351" spans="3:29">
      <c r="C351" s="419" t="s">
        <v>558</v>
      </c>
      <c r="D351" s="419"/>
      <c r="E351" s="507">
        <f t="shared" ref="E351:J351" si="476">E367-D367</f>
        <v>120.55200000000001</v>
      </c>
      <c r="F351" s="507">
        <f t="shared" si="476"/>
        <v>67.95</v>
      </c>
      <c r="G351" s="507">
        <f t="shared" si="476"/>
        <v>70.536999999999978</v>
      </c>
      <c r="H351" s="507">
        <f t="shared" si="476"/>
        <v>-33.692000000000007</v>
      </c>
      <c r="I351" s="507">
        <f t="shared" si="476"/>
        <v>-144.94099999999997</v>
      </c>
      <c r="J351" s="507">
        <f t="shared" si="476"/>
        <v>119.702</v>
      </c>
      <c r="K351" s="678">
        <f>K367-J367</f>
        <v>878.39035426213013</v>
      </c>
      <c r="L351" s="614">
        <f t="shared" ref="L351:O351" si="477">L367-K367</f>
        <v>40.974687893613464</v>
      </c>
      <c r="M351" s="614">
        <f t="shared" si="477"/>
        <v>1.6377812313596678</v>
      </c>
      <c r="N351" s="614">
        <f t="shared" si="477"/>
        <v>-0.89489200916659684</v>
      </c>
      <c r="O351" s="614">
        <f t="shared" si="477"/>
        <v>-140.24064957357189</v>
      </c>
      <c r="P351" s="614">
        <f>P367-O367</f>
        <v>-141.11105198766245</v>
      </c>
      <c r="Q351" s="614">
        <f t="shared" ref="Q351:S351" si="478">Q367-P367</f>
        <v>-140.90168405144061</v>
      </c>
      <c r="R351" s="614">
        <f t="shared" si="478"/>
        <v>-140.02416790769325</v>
      </c>
      <c r="S351" s="614">
        <f t="shared" si="478"/>
        <v>-132.46246385700135</v>
      </c>
      <c r="T351" s="614">
        <f>T367-S367</f>
        <v>-142.52489749939093</v>
      </c>
      <c r="U351" s="614">
        <f t="shared" ref="U351" si="479">U367-T367</f>
        <v>-153.24671641228281</v>
      </c>
    </row>
    <row r="352" spans="3:29">
      <c r="C352" s="419" t="s">
        <v>559</v>
      </c>
      <c r="D352" s="419"/>
      <c r="E352" s="507">
        <f t="shared" ref="E352:U352" si="480">E329-D329-E293-E353</f>
        <v>652.66700000000003</v>
      </c>
      <c r="F352" s="507">
        <f t="shared" si="480"/>
        <v>-34.993999999999971</v>
      </c>
      <c r="G352" s="507">
        <f t="shared" si="480"/>
        <v>-209.64200000000002</v>
      </c>
      <c r="H352" s="507">
        <f t="shared" si="480"/>
        <v>-44.436000000000035</v>
      </c>
      <c r="I352" s="507">
        <f t="shared" si="480"/>
        <v>-75.540999999999755</v>
      </c>
      <c r="J352" s="507">
        <f t="shared" si="480"/>
        <v>105.02500000000001</v>
      </c>
      <c r="K352" s="678">
        <f t="shared" si="480"/>
        <v>-65.100750932712913</v>
      </c>
      <c r="L352" s="614">
        <f t="shared" si="480"/>
        <v>-17.555044378184419</v>
      </c>
      <c r="M352" s="614">
        <f t="shared" si="480"/>
        <v>-70.381957789865822</v>
      </c>
      <c r="N352" s="614">
        <f t="shared" si="480"/>
        <v>-83.360705511197409</v>
      </c>
      <c r="O352" s="614">
        <f t="shared" si="480"/>
        <v>-94.503271466801152</v>
      </c>
      <c r="P352" s="614">
        <f t="shared" si="480"/>
        <v>-107.95730647845164</v>
      </c>
      <c r="Q352" s="614">
        <f t="shared" si="480"/>
        <v>-114.41609567436439</v>
      </c>
      <c r="R352" s="614">
        <f t="shared" si="480"/>
        <v>-127.64191624477951</v>
      </c>
      <c r="S352" s="614">
        <f t="shared" si="480"/>
        <v>-142.10250151939067</v>
      </c>
      <c r="T352" s="614">
        <f t="shared" si="480"/>
        <v>-151.85474503368596</v>
      </c>
      <c r="U352" s="614">
        <f t="shared" si="480"/>
        <v>-172.05785118369317</v>
      </c>
    </row>
    <row r="353" spans="3:21">
      <c r="C353" s="419" t="s">
        <v>673</v>
      </c>
      <c r="D353" s="419"/>
      <c r="E353" s="507">
        <f t="shared" ref="E353:U353" si="481">-E298+E309</f>
        <v>35.569000000000003</v>
      </c>
      <c r="F353" s="507">
        <f t="shared" si="481"/>
        <v>34.994</v>
      </c>
      <c r="G353" s="507">
        <f t="shared" si="481"/>
        <v>33.673999999999999</v>
      </c>
      <c r="H353" s="507">
        <f t="shared" si="481"/>
        <v>-70.363</v>
      </c>
      <c r="I353" s="507">
        <f t="shared" si="481"/>
        <v>-40.116</v>
      </c>
      <c r="J353" s="507">
        <f t="shared" si="481"/>
        <v>-82.516999999999996</v>
      </c>
      <c r="K353" s="678">
        <f t="shared" si="481"/>
        <v>-121.31978604468486</v>
      </c>
      <c r="L353" s="614">
        <f t="shared" si="481"/>
        <v>-107.83843409366321</v>
      </c>
      <c r="M353" s="614">
        <f t="shared" si="481"/>
        <v>-57.447727417893844</v>
      </c>
      <c r="N353" s="614">
        <f t="shared" si="481"/>
        <v>-227.81265907649396</v>
      </c>
      <c r="O353" s="614">
        <f t="shared" si="481"/>
        <v>-276.61644057410535</v>
      </c>
      <c r="P353" s="614">
        <f t="shared" si="481"/>
        <v>-333.07769295802393</v>
      </c>
      <c r="Q353" s="614">
        <f t="shared" si="481"/>
        <v>-368.47163649863779</v>
      </c>
      <c r="R353" s="614">
        <f t="shared" si="481"/>
        <v>-425.40872037433962</v>
      </c>
      <c r="S353" s="614">
        <f t="shared" si="481"/>
        <v>-487.23297779063819</v>
      </c>
      <c r="T353" s="614">
        <f t="shared" si="481"/>
        <v>-535.81621740261789</v>
      </c>
      <c r="U353" s="614">
        <f t="shared" si="481"/>
        <v>-614.0176836530793</v>
      </c>
    </row>
    <row r="354" spans="3:21">
      <c r="C354" s="371" t="s">
        <v>560</v>
      </c>
      <c r="D354" s="371"/>
      <c r="E354" s="583">
        <f t="shared" ref="E354:J354" si="482">SUM(E351:E353)</f>
        <v>808.78800000000001</v>
      </c>
      <c r="F354" s="583">
        <f t="shared" si="482"/>
        <v>67.950000000000031</v>
      </c>
      <c r="G354" s="583">
        <f t="shared" si="482"/>
        <v>-105.43100000000004</v>
      </c>
      <c r="H354" s="583">
        <f t="shared" si="482"/>
        <v>-148.49100000000004</v>
      </c>
      <c r="I354" s="583">
        <f t="shared" si="482"/>
        <v>-260.59799999999973</v>
      </c>
      <c r="J354" s="583">
        <f t="shared" si="482"/>
        <v>142.21</v>
      </c>
      <c r="K354" s="680">
        <f>SUM(K351:K353)</f>
        <v>691.96981728473236</v>
      </c>
      <c r="L354" s="580">
        <f t="shared" ref="L354:O354" si="483">SUM(L351:L353)</f>
        <v>-84.418790578234166</v>
      </c>
      <c r="M354" s="580">
        <f t="shared" si="483"/>
        <v>-126.1919039764</v>
      </c>
      <c r="N354" s="580">
        <f t="shared" si="483"/>
        <v>-312.06825659685796</v>
      </c>
      <c r="O354" s="580">
        <f t="shared" si="483"/>
        <v>-511.36036161447839</v>
      </c>
      <c r="P354" s="580">
        <f>SUM(P351:P353)</f>
        <v>-582.14605142413802</v>
      </c>
      <c r="Q354" s="580">
        <f t="shared" ref="Q354" si="484">SUM(Q351:Q353)</f>
        <v>-623.78941622444279</v>
      </c>
      <c r="R354" s="580">
        <f t="shared" ref="R354" si="485">SUM(R351:R353)</f>
        <v>-693.07480452681239</v>
      </c>
      <c r="S354" s="580">
        <f t="shared" ref="S354" si="486">SUM(S351:S353)</f>
        <v>-761.79794316703021</v>
      </c>
      <c r="T354" s="580">
        <f>SUM(T351:T353)</f>
        <v>-830.19585993569478</v>
      </c>
      <c r="U354" s="580">
        <f t="shared" ref="U354" si="487">SUM(U351:U353)</f>
        <v>-939.32225124905528</v>
      </c>
    </row>
    <row r="355" spans="3:21" ht="6" customHeight="1">
      <c r="C355" s="352"/>
      <c r="D355" s="352"/>
      <c r="E355" s="507"/>
      <c r="F355" s="507"/>
      <c r="G355" s="507"/>
      <c r="H355" s="507"/>
      <c r="I355" s="507"/>
      <c r="J355" s="507"/>
      <c r="K355" s="678"/>
      <c r="L355" s="614"/>
      <c r="M355" s="614"/>
      <c r="N355" s="614"/>
      <c r="O355" s="614"/>
      <c r="P355" s="614"/>
      <c r="Q355" s="614"/>
      <c r="R355" s="614"/>
      <c r="S355" s="614"/>
      <c r="T355" s="614"/>
      <c r="U355" s="614"/>
    </row>
    <row r="356" spans="3:21">
      <c r="C356" s="371" t="s">
        <v>561</v>
      </c>
      <c r="D356" s="371"/>
      <c r="E356" s="583">
        <f t="shared" ref="E356:J356" si="488">E345+E349+E354</f>
        <v>2.2349999999999</v>
      </c>
      <c r="F356" s="583">
        <f t="shared" si="488"/>
        <v>150.54300000000006</v>
      </c>
      <c r="G356" s="583">
        <f t="shared" si="488"/>
        <v>14.764999999999972</v>
      </c>
      <c r="H356" s="583">
        <f t="shared" si="488"/>
        <v>-104.07100000000025</v>
      </c>
      <c r="I356" s="583">
        <f t="shared" si="488"/>
        <v>-32.544999999999561</v>
      </c>
      <c r="J356" s="583">
        <f t="shared" si="488"/>
        <v>-19.335000000000065</v>
      </c>
      <c r="K356" s="680">
        <f>K345+K349+K354</f>
        <v>592.89531698821611</v>
      </c>
      <c r="L356" s="580">
        <f t="shared" ref="L356:R356" si="489">L345+L349+L354</f>
        <v>-24.755875915250876</v>
      </c>
      <c r="M356" s="580">
        <f t="shared" si="489"/>
        <v>260.97815570145252</v>
      </c>
      <c r="N356" s="580">
        <f t="shared" si="489"/>
        <v>252.71334411240377</v>
      </c>
      <c r="O356" s="580">
        <f t="shared" si="489"/>
        <v>152.0211850430311</v>
      </c>
      <c r="P356" s="580">
        <f t="shared" si="489"/>
        <v>190.01409780724691</v>
      </c>
      <c r="Q356" s="580">
        <f t="shared" si="489"/>
        <v>223.54603463326168</v>
      </c>
      <c r="R356" s="580">
        <f t="shared" si="489"/>
        <v>274.6096832561401</v>
      </c>
      <c r="S356" s="580">
        <f t="shared" ref="S356:U356" si="490">S345+S349+S354</f>
        <v>338.72402646964235</v>
      </c>
      <c r="T356" s="580">
        <f t="shared" si="490"/>
        <v>377.42263860357127</v>
      </c>
      <c r="U356" s="580">
        <f t="shared" si="490"/>
        <v>436.68226719300822</v>
      </c>
    </row>
    <row r="357" spans="3:21" hidden="1" outlineLevel="1">
      <c r="C357" s="419" t="s">
        <v>360</v>
      </c>
      <c r="D357" s="419"/>
      <c r="E357" s="585">
        <f t="shared" ref="E357" si="491">D358</f>
        <v>0</v>
      </c>
      <c r="F357" s="585">
        <f t="shared" ref="F357" si="492">E358</f>
        <v>2.2349999999999999</v>
      </c>
      <c r="G357" s="585">
        <f t="shared" ref="G357" si="493">F358</f>
        <v>152.77799999999999</v>
      </c>
      <c r="H357" s="585">
        <f t="shared" ref="H357" si="494">G358</f>
        <v>167.54300000000001</v>
      </c>
      <c r="I357" s="585">
        <f t="shared" ref="I357" si="495">H358</f>
        <v>63.472000000000001</v>
      </c>
      <c r="J357" s="585">
        <f t="shared" ref="J357" si="496">I358</f>
        <v>30.927</v>
      </c>
      <c r="K357" s="697">
        <f t="shared" ref="K357" si="497">J358</f>
        <v>11.592000000000001</v>
      </c>
      <c r="L357" s="585">
        <f t="shared" ref="L357" si="498">K358</f>
        <v>604.48731698821666</v>
      </c>
      <c r="M357" s="585">
        <f t="shared" ref="M357" si="499">L358</f>
        <v>579.73144107296548</v>
      </c>
      <c r="N357" s="585">
        <f t="shared" ref="N357" si="500">M358</f>
        <v>840.70959677441806</v>
      </c>
      <c r="O357" s="585">
        <f t="shared" ref="O357" si="501">N358</f>
        <v>1093.4229408868218</v>
      </c>
      <c r="P357" s="585">
        <f t="shared" ref="P357" si="502">O358</f>
        <v>1245.4441259298528</v>
      </c>
      <c r="Q357" s="585">
        <f t="shared" ref="Q357" si="503">P358</f>
        <v>1435.4582237370996</v>
      </c>
      <c r="R357" s="585">
        <f t="shared" ref="R357" si="504">Q358</f>
        <v>1659.0042583703612</v>
      </c>
      <c r="S357" s="585">
        <f t="shared" ref="S357" si="505">R358</f>
        <v>1933.6139416265014</v>
      </c>
      <c r="T357" s="585">
        <f t="shared" ref="T357" si="506">S358</f>
        <v>2272.3379680961434</v>
      </c>
      <c r="U357" s="585">
        <f t="shared" ref="U357" si="507">T358</f>
        <v>2649.760606699715</v>
      </c>
    </row>
    <row r="358" spans="3:21" hidden="1" outlineLevel="1">
      <c r="C358" s="419" t="s">
        <v>361</v>
      </c>
      <c r="D358" s="419"/>
      <c r="E358" s="585">
        <f t="shared" ref="E358:J358" si="508">E305+E306</f>
        <v>2.2349999999999999</v>
      </c>
      <c r="F358" s="585">
        <f t="shared" si="508"/>
        <v>152.77799999999999</v>
      </c>
      <c r="G358" s="585">
        <f t="shared" si="508"/>
        <v>167.54300000000001</v>
      </c>
      <c r="H358" s="585">
        <f t="shared" si="508"/>
        <v>63.472000000000001</v>
      </c>
      <c r="I358" s="585">
        <f t="shared" si="508"/>
        <v>30.927</v>
      </c>
      <c r="J358" s="585">
        <f t="shared" si="508"/>
        <v>11.592000000000001</v>
      </c>
      <c r="K358" s="697">
        <f t="shared" ref="K358:R358" si="509">K305+K306</f>
        <v>604.48731698821666</v>
      </c>
      <c r="L358" s="585">
        <f t="shared" si="509"/>
        <v>579.73144107296548</v>
      </c>
      <c r="M358" s="585">
        <f t="shared" si="509"/>
        <v>840.70959677441806</v>
      </c>
      <c r="N358" s="585">
        <f t="shared" si="509"/>
        <v>1093.4229408868218</v>
      </c>
      <c r="O358" s="585">
        <f t="shared" si="509"/>
        <v>1245.4441259298528</v>
      </c>
      <c r="P358" s="585">
        <f t="shared" si="509"/>
        <v>1435.4582237370996</v>
      </c>
      <c r="Q358" s="585">
        <f t="shared" si="509"/>
        <v>1659.0042583703612</v>
      </c>
      <c r="R358" s="585">
        <f t="shared" si="509"/>
        <v>1933.6139416265014</v>
      </c>
      <c r="S358" s="585">
        <f t="shared" ref="S358:U358" si="510">S305+S306</f>
        <v>2272.3379680961434</v>
      </c>
      <c r="T358" s="585">
        <f t="shared" si="510"/>
        <v>2649.760606699715</v>
      </c>
      <c r="U358" s="585">
        <f t="shared" si="510"/>
        <v>3086.4428738927227</v>
      </c>
    </row>
    <row r="359" spans="3:21" collapsed="1">
      <c r="C359" s="352"/>
      <c r="D359" s="352"/>
      <c r="E359" s="295" t="str">
        <f>IF(ABS(E358-E357-E356)&lt;0.0001,"ü","û")</f>
        <v>ü</v>
      </c>
      <c r="F359" s="295" t="str">
        <f t="shared" ref="F359:M359" si="511">IF(ABS(F358-F357-F356)&lt;0.0000001,"ü","û")</f>
        <v>ü</v>
      </c>
      <c r="G359" s="295" t="str">
        <f t="shared" si="511"/>
        <v>ü</v>
      </c>
      <c r="H359" s="295" t="str">
        <f t="shared" si="511"/>
        <v>ü</v>
      </c>
      <c r="I359" s="295" t="str">
        <f t="shared" ref="I359" si="512">IF(ABS(I358-I357-I356)&lt;0.0000001,"ü","û")</f>
        <v>ü</v>
      </c>
      <c r="J359" s="295" t="str">
        <f t="shared" ref="J359" si="513">IF(ABS(J358-J357-J356)&lt;0.0000001,"ü","û")</f>
        <v>ü</v>
      </c>
      <c r="K359" s="662" t="str">
        <f t="shared" si="511"/>
        <v>ü</v>
      </c>
      <c r="L359" s="295" t="str">
        <f t="shared" si="511"/>
        <v>ü</v>
      </c>
      <c r="M359" s="295" t="str">
        <f t="shared" si="511"/>
        <v>ü</v>
      </c>
      <c r="N359" s="295" t="str">
        <f t="shared" ref="N359" si="514">IF(ABS(N358-N357-N356)&lt;0.0000001,"ü","û")</f>
        <v>ü</v>
      </c>
      <c r="O359" s="295" t="str">
        <f t="shared" ref="O359" si="515">IF(ABS(O358-O357-O356)&lt;0.0000001,"ü","û")</f>
        <v>ü</v>
      </c>
      <c r="P359" s="295" t="str">
        <f t="shared" ref="P359" si="516">IF(ABS(P358-P357-P356)&lt;0.0000001,"ü","û")</f>
        <v>ü</v>
      </c>
      <c r="Q359" s="295" t="str">
        <f t="shared" ref="Q359" si="517">IF(ABS(Q358-Q357-Q356)&lt;0.0000001,"ü","û")</f>
        <v>ü</v>
      </c>
      <c r="R359" s="295" t="str">
        <f t="shared" ref="R359" si="518">IF(ABS(R358-R357-R356)&lt;0.0000001,"ü","û")</f>
        <v>ü</v>
      </c>
      <c r="S359" s="295" t="str">
        <f t="shared" ref="S359" si="519">IF(ABS(S358-S357-S356)&lt;0.0000001,"ü","û")</f>
        <v>ü</v>
      </c>
      <c r="T359" s="295" t="str">
        <f t="shared" ref="T359:U359" si="520">IF(ABS(T358-T357-T356)&lt;0.0000001,"ü","û")</f>
        <v>ü</v>
      </c>
      <c r="U359" s="295" t="str">
        <f t="shared" si="520"/>
        <v>ü</v>
      </c>
    </row>
    <row r="360" spans="3:21">
      <c r="C360" s="420" t="s">
        <v>562</v>
      </c>
      <c r="D360" s="420"/>
      <c r="E360" s="536"/>
      <c r="F360" s="536"/>
      <c r="G360" s="536"/>
      <c r="H360" s="536"/>
      <c r="I360" s="536"/>
      <c r="J360" s="536"/>
      <c r="K360" s="698"/>
      <c r="L360" s="536"/>
      <c r="M360" s="536"/>
      <c r="N360" s="421"/>
      <c r="O360" s="421"/>
      <c r="P360" s="421"/>
      <c r="Q360" s="421"/>
      <c r="R360" s="421"/>
      <c r="S360" s="421"/>
      <c r="T360" s="421"/>
      <c r="U360" s="421"/>
    </row>
    <row r="361" spans="3:21">
      <c r="K361" s="694"/>
      <c r="L361" s="361"/>
      <c r="M361" s="361"/>
      <c r="N361" s="361"/>
      <c r="O361" s="361"/>
      <c r="P361" s="361"/>
      <c r="Q361" s="361"/>
      <c r="R361" s="361"/>
      <c r="S361" s="361"/>
      <c r="T361" s="361"/>
      <c r="U361" s="361"/>
    </row>
    <row r="362" spans="3:21">
      <c r="C362" s="399" t="s">
        <v>563</v>
      </c>
      <c r="D362" s="399"/>
      <c r="E362" s="361">
        <f t="shared" ref="E362:U362" si="521">-((E304-E305-E306)+E311+E312)+((E319-E320-E321)+E327+E328)</f>
        <v>-109.077</v>
      </c>
      <c r="F362" s="361">
        <f t="shared" si="521"/>
        <v>-134.125</v>
      </c>
      <c r="G362" s="361">
        <f t="shared" si="521"/>
        <v>-65.504999999999967</v>
      </c>
      <c r="H362" s="361">
        <f t="shared" si="521"/>
        <v>74.698999999999842</v>
      </c>
      <c r="I362" s="361">
        <f t="shared" si="521"/>
        <v>34.086999999999989</v>
      </c>
      <c r="J362" s="361">
        <f t="shared" si="521"/>
        <v>104.783</v>
      </c>
      <c r="K362" s="665">
        <f>-((K304-K305-K306)+K311+K312)+((K319-K320-K321)+K327+K328)</f>
        <v>3.2293296138967662</v>
      </c>
      <c r="L362" s="615">
        <f t="shared" si="521"/>
        <v>-5.3152557130418145</v>
      </c>
      <c r="M362" s="615">
        <f t="shared" si="521"/>
        <v>-59.441706511211734</v>
      </c>
      <c r="N362" s="615">
        <f t="shared" si="521"/>
        <v>-46.221683791264951</v>
      </c>
      <c r="O362" s="615">
        <f t="shared" si="521"/>
        <v>-40.001816312883967</v>
      </c>
      <c r="P362" s="615">
        <f t="shared" si="521"/>
        <v>-42.996973281286628</v>
      </c>
      <c r="Q362" s="615">
        <f t="shared" si="521"/>
        <v>-43.193026735453287</v>
      </c>
      <c r="R362" s="615">
        <f t="shared" si="521"/>
        <v>-45.903004024433457</v>
      </c>
      <c r="S362" s="615">
        <f t="shared" si="521"/>
        <v>-48.926204601308029</v>
      </c>
      <c r="T362" s="615">
        <f t="shared" si="521"/>
        <v>-49.931883833299935</v>
      </c>
      <c r="U362" s="615">
        <f t="shared" si="521"/>
        <v>-55.377314043587361</v>
      </c>
    </row>
    <row r="363" spans="3:21" hidden="1" outlineLevel="1">
      <c r="C363" s="422" t="s">
        <v>564</v>
      </c>
      <c r="D363" s="422"/>
      <c r="E363" s="361">
        <f t="shared" ref="E363:U363" si="522">E362*365/E271</f>
        <v>-773.77616465512199</v>
      </c>
      <c r="F363" s="361">
        <f t="shared" si="522"/>
        <v>-237.03421712647798</v>
      </c>
      <c r="G363" s="361">
        <f t="shared" si="522"/>
        <v>-272.21036272969451</v>
      </c>
      <c r="H363" s="361">
        <f t="shared" si="522"/>
        <v>51.559903934342422</v>
      </c>
      <c r="I363" s="361">
        <f t="shared" si="522"/>
        <v>23.514229393932514</v>
      </c>
      <c r="J363" s="361">
        <f t="shared" si="522"/>
        <v>145.13156247035386</v>
      </c>
      <c r="K363" s="665">
        <f t="shared" si="522"/>
        <v>1.4115963579160247</v>
      </c>
      <c r="L363" s="615">
        <f t="shared" si="522"/>
        <v>-3.3584302237116699</v>
      </c>
      <c r="M363" s="615">
        <f t="shared" si="522"/>
        <v>-38.322610089171341</v>
      </c>
      <c r="N363" s="615">
        <f t="shared" si="522"/>
        <v>-25.589974860120783</v>
      </c>
      <c r="O363" s="615">
        <f t="shared" si="522"/>
        <v>-19.360043316348758</v>
      </c>
      <c r="P363" s="615">
        <f t="shared" si="522"/>
        <v>-17.975841997767933</v>
      </c>
      <c r="Q363" s="615">
        <f t="shared" si="522"/>
        <v>-16.918479254968027</v>
      </c>
      <c r="R363" s="615">
        <f t="shared" si="522"/>
        <v>-16.035120297066115</v>
      </c>
      <c r="S363" s="615">
        <f t="shared" si="522"/>
        <v>-15.279998326171562</v>
      </c>
      <c r="T363" s="615">
        <f t="shared" si="522"/>
        <v>-14.562994121368384</v>
      </c>
      <c r="U363" s="615">
        <f t="shared" si="522"/>
        <v>-14.229316755063156</v>
      </c>
    </row>
    <row r="364" spans="3:21" hidden="1" outlineLevel="1">
      <c r="C364" s="357" t="s">
        <v>565</v>
      </c>
      <c r="E364" s="361">
        <f>E362</f>
        <v>-109.077</v>
      </c>
      <c r="F364" s="361">
        <f>F362-E362</f>
        <v>-25.048000000000002</v>
      </c>
      <c r="G364" s="361">
        <f t="shared" ref="G364:U364" si="523">G362-F362</f>
        <v>68.620000000000033</v>
      </c>
      <c r="H364" s="361">
        <f t="shared" si="523"/>
        <v>140.20399999999981</v>
      </c>
      <c r="I364" s="361">
        <f t="shared" si="523"/>
        <v>-40.611999999999853</v>
      </c>
      <c r="J364" s="361">
        <f t="shared" si="523"/>
        <v>70.696000000000012</v>
      </c>
      <c r="K364" s="665">
        <f t="shared" si="523"/>
        <v>-101.55367038610324</v>
      </c>
      <c r="L364" s="615">
        <f t="shared" si="523"/>
        <v>-8.5445853269385807</v>
      </c>
      <c r="M364" s="615">
        <f t="shared" si="523"/>
        <v>-54.12645079816992</v>
      </c>
      <c r="N364" s="615">
        <f t="shared" si="523"/>
        <v>13.220022719946783</v>
      </c>
      <c r="O364" s="615">
        <f t="shared" si="523"/>
        <v>6.2198674783809835</v>
      </c>
      <c r="P364" s="615">
        <f t="shared" si="523"/>
        <v>-2.9951569684026609</v>
      </c>
      <c r="Q364" s="615">
        <f t="shared" si="523"/>
        <v>-0.19605345416665898</v>
      </c>
      <c r="R364" s="615">
        <f t="shared" si="523"/>
        <v>-2.7099772889801699</v>
      </c>
      <c r="S364" s="615">
        <f t="shared" si="523"/>
        <v>-3.0232005768745722</v>
      </c>
      <c r="T364" s="615">
        <f t="shared" si="523"/>
        <v>-1.0056792319919055</v>
      </c>
      <c r="U364" s="615">
        <f t="shared" si="523"/>
        <v>-5.4454302102874266</v>
      </c>
    </row>
    <row r="365" spans="3:21" hidden="1" outlineLevel="1">
      <c r="C365" s="410" t="s">
        <v>566</v>
      </c>
      <c r="D365" s="410"/>
      <c r="E365" s="361">
        <f>E320+E321</f>
        <v>0.55200000000000005</v>
      </c>
      <c r="F365" s="361">
        <f t="shared" ref="F365:U365" si="524">F320+F321</f>
        <v>68.50200000000001</v>
      </c>
      <c r="G365" s="361">
        <f t="shared" si="524"/>
        <v>139.03900000000002</v>
      </c>
      <c r="H365" s="361">
        <f t="shared" si="524"/>
        <v>145.34699999999998</v>
      </c>
      <c r="I365" s="361">
        <f t="shared" si="524"/>
        <v>40.402000000000001</v>
      </c>
      <c r="J365" s="361">
        <f t="shared" si="524"/>
        <v>40.195999999999998</v>
      </c>
      <c r="K365" s="665">
        <f t="shared" si="524"/>
        <v>0</v>
      </c>
      <c r="L365" s="615">
        <f t="shared" si="524"/>
        <v>14.634678333333333</v>
      </c>
      <c r="M365" s="615">
        <f t="shared" si="524"/>
        <v>14.634678333333333</v>
      </c>
      <c r="N365" s="615">
        <f t="shared" si="524"/>
        <v>147.96801166666668</v>
      </c>
      <c r="O365" s="615">
        <f t="shared" si="524"/>
        <v>585.22673563957471</v>
      </c>
      <c r="P365" s="615">
        <f t="shared" si="524"/>
        <v>583.6489455047323</v>
      </c>
      <c r="Q365" s="615">
        <f t="shared" si="524"/>
        <v>587.38248893849163</v>
      </c>
      <c r="R365" s="615">
        <f t="shared" si="524"/>
        <v>454.04915560515843</v>
      </c>
      <c r="S365" s="615">
        <f t="shared" si="524"/>
        <v>327.36113329891708</v>
      </c>
      <c r="T365" s="615">
        <f t="shared" si="524"/>
        <v>195.6055901004261</v>
      </c>
      <c r="U365" s="615">
        <f t="shared" si="524"/>
        <v>58.538713333333334</v>
      </c>
    </row>
    <row r="366" spans="3:21" hidden="1" outlineLevel="1">
      <c r="C366" s="410" t="s">
        <v>567</v>
      </c>
      <c r="D366" s="410"/>
      <c r="E366" s="361">
        <f>E326</f>
        <v>120</v>
      </c>
      <c r="F366" s="361">
        <f t="shared" ref="F366:U366" si="525">F326</f>
        <v>120</v>
      </c>
      <c r="G366" s="361">
        <f t="shared" si="525"/>
        <v>120</v>
      </c>
      <c r="H366" s="361">
        <f t="shared" si="525"/>
        <v>80</v>
      </c>
      <c r="I366" s="361">
        <f t="shared" si="525"/>
        <v>40.003999999999998</v>
      </c>
      <c r="J366" s="361">
        <f t="shared" si="525"/>
        <v>159.91200000000001</v>
      </c>
      <c r="K366" s="665">
        <f t="shared" si="525"/>
        <v>1078.4983542621301</v>
      </c>
      <c r="L366" s="615">
        <f t="shared" si="525"/>
        <v>1104.8383638224102</v>
      </c>
      <c r="M366" s="615">
        <f t="shared" si="525"/>
        <v>1106.4761450537699</v>
      </c>
      <c r="N366" s="615">
        <f t="shared" si="525"/>
        <v>972.24791971127001</v>
      </c>
      <c r="O366" s="615">
        <f t="shared" si="525"/>
        <v>394.74854616479001</v>
      </c>
      <c r="P366" s="615">
        <f t="shared" si="525"/>
        <v>255.21528431197001</v>
      </c>
      <c r="Q366" s="615">
        <f t="shared" si="525"/>
        <v>110.58005682677</v>
      </c>
      <c r="R366" s="615">
        <f t="shared" si="525"/>
        <v>103.88922225241001</v>
      </c>
      <c r="S366" s="615">
        <f t="shared" si="525"/>
        <v>98.114780701650005</v>
      </c>
      <c r="T366" s="615">
        <f t="shared" si="525"/>
        <v>87.34542640075</v>
      </c>
      <c r="U366" s="615">
        <f t="shared" si="525"/>
        <v>71.16558675556</v>
      </c>
    </row>
    <row r="367" spans="3:21" collapsed="1">
      <c r="C367" s="399" t="s">
        <v>326</v>
      </c>
      <c r="D367" s="399"/>
      <c r="E367" s="361">
        <f>SUM(E365:E366)</f>
        <v>120.55200000000001</v>
      </c>
      <c r="F367" s="361">
        <f t="shared" ref="F367:U367" si="526">SUM(F365:F366)</f>
        <v>188.50200000000001</v>
      </c>
      <c r="G367" s="361">
        <f t="shared" si="526"/>
        <v>259.03899999999999</v>
      </c>
      <c r="H367" s="361">
        <f t="shared" si="526"/>
        <v>225.34699999999998</v>
      </c>
      <c r="I367" s="361">
        <f t="shared" si="526"/>
        <v>80.406000000000006</v>
      </c>
      <c r="J367" s="361">
        <f t="shared" si="526"/>
        <v>200.108</v>
      </c>
      <c r="K367" s="665">
        <f t="shared" si="526"/>
        <v>1078.4983542621301</v>
      </c>
      <c r="L367" s="615">
        <f t="shared" si="526"/>
        <v>1119.4730421557435</v>
      </c>
      <c r="M367" s="615">
        <f t="shared" si="526"/>
        <v>1121.1108233871032</v>
      </c>
      <c r="N367" s="615">
        <f t="shared" si="526"/>
        <v>1120.2159313779366</v>
      </c>
      <c r="O367" s="615">
        <f t="shared" si="526"/>
        <v>979.97528180436473</v>
      </c>
      <c r="P367" s="615">
        <f t="shared" si="526"/>
        <v>838.86422981670228</v>
      </c>
      <c r="Q367" s="615">
        <f t="shared" si="526"/>
        <v>697.96254576526167</v>
      </c>
      <c r="R367" s="615">
        <f t="shared" si="526"/>
        <v>557.93837785756841</v>
      </c>
      <c r="S367" s="615">
        <f t="shared" si="526"/>
        <v>425.47591400056706</v>
      </c>
      <c r="T367" s="615">
        <f t="shared" si="526"/>
        <v>282.95101650117613</v>
      </c>
      <c r="U367" s="615">
        <f t="shared" si="526"/>
        <v>129.70430008889332</v>
      </c>
    </row>
    <row r="368" spans="3:21">
      <c r="C368" s="357" t="s">
        <v>493</v>
      </c>
      <c r="E368" s="361">
        <f t="shared" ref="E368:U368" si="527">E305+E306</f>
        <v>2.2349999999999999</v>
      </c>
      <c r="F368" s="361">
        <f t="shared" si="527"/>
        <v>152.77799999999999</v>
      </c>
      <c r="G368" s="361">
        <f t="shared" si="527"/>
        <v>167.54300000000001</v>
      </c>
      <c r="H368" s="361">
        <f t="shared" si="527"/>
        <v>63.472000000000001</v>
      </c>
      <c r="I368" s="361">
        <f t="shared" si="527"/>
        <v>30.927</v>
      </c>
      <c r="J368" s="361">
        <f t="shared" si="527"/>
        <v>11.592000000000001</v>
      </c>
      <c r="K368" s="665">
        <f t="shared" si="527"/>
        <v>604.48731698821666</v>
      </c>
      <c r="L368" s="615">
        <f t="shared" si="527"/>
        <v>579.73144107296548</v>
      </c>
      <c r="M368" s="615">
        <f t="shared" si="527"/>
        <v>840.70959677441806</v>
      </c>
      <c r="N368" s="615">
        <f t="shared" si="527"/>
        <v>1093.4229408868218</v>
      </c>
      <c r="O368" s="615">
        <f t="shared" si="527"/>
        <v>1245.4441259298528</v>
      </c>
      <c r="P368" s="615">
        <f t="shared" si="527"/>
        <v>1435.4582237370996</v>
      </c>
      <c r="Q368" s="615">
        <f t="shared" si="527"/>
        <v>1659.0042583703612</v>
      </c>
      <c r="R368" s="615">
        <f t="shared" si="527"/>
        <v>1933.6139416265014</v>
      </c>
      <c r="S368" s="615">
        <f t="shared" si="527"/>
        <v>2272.3379680961434</v>
      </c>
      <c r="T368" s="615">
        <f t="shared" si="527"/>
        <v>2649.760606699715</v>
      </c>
      <c r="U368" s="615">
        <f t="shared" si="527"/>
        <v>3086.4428738927227</v>
      </c>
    </row>
    <row r="369" spans="2:21" s="371" customFormat="1">
      <c r="C369" s="393" t="s">
        <v>327</v>
      </c>
      <c r="D369" s="393"/>
      <c r="E369" s="592">
        <f>E367-E368</f>
        <v>118.31700000000001</v>
      </c>
      <c r="F369" s="592">
        <f t="shared" ref="F369:U369" si="528">F367-F368</f>
        <v>35.724000000000018</v>
      </c>
      <c r="G369" s="592">
        <f t="shared" si="528"/>
        <v>91.495999999999981</v>
      </c>
      <c r="H369" s="592">
        <f t="shared" si="528"/>
        <v>161.87499999999997</v>
      </c>
      <c r="I369" s="592">
        <f t="shared" si="528"/>
        <v>49.479000000000006</v>
      </c>
      <c r="J369" s="592">
        <f t="shared" si="528"/>
        <v>188.51599999999999</v>
      </c>
      <c r="K369" s="699">
        <f t="shared" si="528"/>
        <v>474.01103727391342</v>
      </c>
      <c r="L369" s="616">
        <f t="shared" si="528"/>
        <v>539.74160108277806</v>
      </c>
      <c r="M369" s="616">
        <f t="shared" si="528"/>
        <v>280.40122661268515</v>
      </c>
      <c r="N369" s="616">
        <f t="shared" si="528"/>
        <v>26.792990491114779</v>
      </c>
      <c r="O369" s="616">
        <f t="shared" si="528"/>
        <v>-265.46884412548809</v>
      </c>
      <c r="P369" s="616">
        <f t="shared" si="528"/>
        <v>-596.59399392039734</v>
      </c>
      <c r="Q369" s="616">
        <f t="shared" si="528"/>
        <v>-961.04171260509952</v>
      </c>
      <c r="R369" s="616">
        <f t="shared" si="528"/>
        <v>-1375.675563768933</v>
      </c>
      <c r="S369" s="616">
        <f t="shared" si="528"/>
        <v>-1846.8620540955762</v>
      </c>
      <c r="T369" s="616">
        <f t="shared" si="528"/>
        <v>-2366.8095901985389</v>
      </c>
      <c r="U369" s="616">
        <f t="shared" si="528"/>
        <v>-2956.7385738038292</v>
      </c>
    </row>
    <row r="370" spans="2:21" s="371" customFormat="1">
      <c r="C370" s="393" t="s">
        <v>568</v>
      </c>
      <c r="D370" s="393"/>
      <c r="E370" s="590">
        <f t="shared" ref="E370:U370" si="529">E367/E329</f>
        <v>0.16407146347139787</v>
      </c>
      <c r="F370" s="590">
        <f t="shared" si="529"/>
        <v>0.20004138743413827</v>
      </c>
      <c r="G370" s="590">
        <f t="shared" si="529"/>
        <v>0.30928109538273441</v>
      </c>
      <c r="H370" s="590">
        <f t="shared" si="529"/>
        <v>0.1847353375901862</v>
      </c>
      <c r="I370" s="590">
        <f t="shared" si="529"/>
        <v>5.6817402917680976E-2</v>
      </c>
      <c r="J370" s="590">
        <f t="shared" si="529"/>
        <v>0.11938770457228871</v>
      </c>
      <c r="K370" s="700">
        <f t="shared" si="529"/>
        <v>0.47414294097699677</v>
      </c>
      <c r="L370" s="617">
        <f t="shared" si="529"/>
        <v>0.41814974245819975</v>
      </c>
      <c r="M370" s="617">
        <f t="shared" si="529"/>
        <v>0.36310027248209054</v>
      </c>
      <c r="N370" s="617">
        <f t="shared" si="529"/>
        <v>0.32644746161819627</v>
      </c>
      <c r="O370" s="617">
        <f t="shared" si="529"/>
        <v>0.25508763358324182</v>
      </c>
      <c r="P370" s="617">
        <f t="shared" si="529"/>
        <v>0.19376978253825206</v>
      </c>
      <c r="Q370" s="617">
        <f t="shared" si="529"/>
        <v>0.14352811237147978</v>
      </c>
      <c r="R370" s="617">
        <f t="shared" si="529"/>
        <v>0.10192210997539421</v>
      </c>
      <c r="S370" s="617">
        <f t="shared" si="529"/>
        <v>6.8961662096269735E-2</v>
      </c>
      <c r="T370" s="617">
        <f t="shared" si="529"/>
        <v>4.0831033108764944E-2</v>
      </c>
      <c r="U370" s="617">
        <f t="shared" si="529"/>
        <v>1.6631691815342148E-2</v>
      </c>
    </row>
    <row r="371" spans="2:21">
      <c r="C371" s="410" t="s">
        <v>649</v>
      </c>
      <c r="E371" s="361">
        <f>(E345+E349)</f>
        <v>-806.55300000000011</v>
      </c>
      <c r="F371" s="361">
        <f t="shared" ref="F371:U371" si="530">(F345+F349)</f>
        <v>82.593000000000046</v>
      </c>
      <c r="G371" s="361">
        <f t="shared" si="530"/>
        <v>120.19600000000001</v>
      </c>
      <c r="H371" s="361">
        <f t="shared" si="530"/>
        <v>44.419999999999789</v>
      </c>
      <c r="I371" s="361">
        <f t="shared" si="530"/>
        <v>228.05300000000017</v>
      </c>
      <c r="J371" s="361">
        <f t="shared" si="530"/>
        <v>-161.54500000000007</v>
      </c>
      <c r="K371" s="665">
        <f t="shared" si="530"/>
        <v>-99.074500296516192</v>
      </c>
      <c r="L371" s="615">
        <f t="shared" si="530"/>
        <v>59.66291466298329</v>
      </c>
      <c r="M371" s="615">
        <f>(M345+M349)</f>
        <v>387.17005967785252</v>
      </c>
      <c r="N371" s="615">
        <f t="shared" si="530"/>
        <v>564.78160070926174</v>
      </c>
      <c r="O371" s="615">
        <f t="shared" si="530"/>
        <v>663.38154665750949</v>
      </c>
      <c r="P371" s="615">
        <f t="shared" si="530"/>
        <v>772.16014923138493</v>
      </c>
      <c r="Q371" s="615">
        <f t="shared" si="530"/>
        <v>847.33545085770447</v>
      </c>
      <c r="R371" s="615">
        <f t="shared" si="530"/>
        <v>967.68448778295249</v>
      </c>
      <c r="S371" s="615">
        <f t="shared" si="530"/>
        <v>1100.5219696366726</v>
      </c>
      <c r="T371" s="615">
        <f>(T345+T349)</f>
        <v>1207.6184985392661</v>
      </c>
      <c r="U371" s="615">
        <f t="shared" si="530"/>
        <v>1376.0045184420635</v>
      </c>
    </row>
    <row r="372" spans="2:21">
      <c r="C372" s="410" t="s">
        <v>650</v>
      </c>
      <c r="E372" s="361">
        <f t="shared" ref="E372:J372" si="531">(MIN(0,E351)+E288)</f>
        <v>-0.55200000000000005</v>
      </c>
      <c r="F372" s="361">
        <f t="shared" si="531"/>
        <v>-15.388999999999999</v>
      </c>
      <c r="G372" s="361">
        <f t="shared" si="531"/>
        <v>-48.311</v>
      </c>
      <c r="H372" s="361">
        <f t="shared" si="531"/>
        <v>-59.088000000000008</v>
      </c>
      <c r="I372" s="361">
        <f t="shared" si="531"/>
        <v>-161.72599999999997</v>
      </c>
      <c r="J372" s="361">
        <f t="shared" si="531"/>
        <v>-24.687000000000001</v>
      </c>
      <c r="K372" s="665">
        <f>('DIVIDA AGPar'!G24+'DIVIDA AGPar'!G25)/1000+'DIVIDA AGPar'!G36+'DIVIDA AGPar'!G37</f>
        <v>-72.70932074246133</v>
      </c>
      <c r="L372" s="615">
        <f>('DIVIDA AGPar'!H24+'DIVIDA AGPar'!H25)/1000+'DIVIDA AGPar'!H36+'DIVIDA AGPar'!H37</f>
        <v>-48.733948643292152</v>
      </c>
      <c r="M372" s="615">
        <f>('DIVIDA AGPar'!I24+'DIVIDA AGPar'!I25)/1000+'DIVIDA AGPar'!I36+'DIVIDA AGPar'!I37</f>
        <v>-92.965734499465171</v>
      </c>
      <c r="N372" s="615">
        <f>('DIVIDA AGPar'!J24+'DIVIDA AGPar'!J25)/1000+'DIVIDA AGPar'!J36+'DIVIDA AGPar'!J37</f>
        <v>-96.370300186178412</v>
      </c>
      <c r="O372" s="615">
        <f>('DIVIDA AGPar'!K24+'DIVIDA AGPar'!K25)/1000+'DIVIDA AGPar'!K36+'DIVIDA AGPar'!K37</f>
        <v>-230.90191737454879</v>
      </c>
      <c r="P372" s="615">
        <f>('DIVIDA AGPar'!L24+'DIVIDA AGPar'!L25)/1000+'DIVIDA AGPar'!L36+'DIVIDA AGPar'!L37</f>
        <v>-216.97467276371447</v>
      </c>
      <c r="Q372" s="615">
        <f>('DIVIDA AGPar'!M24+'DIVIDA AGPar'!M25)/1000+'DIVIDA AGPar'!M36+'DIVIDA AGPar'!M37</f>
        <v>-202.81817397085308</v>
      </c>
      <c r="R372" s="615">
        <f>('DIVIDA AGPar'!N24+'DIVIDA AGPar'!N25)/1000+'DIVIDA AGPar'!N36+'DIVIDA AGPar'!N37</f>
        <v>-188.67789437881822</v>
      </c>
      <c r="S372" s="615">
        <f>('DIVIDA AGPar'!O24+'DIVIDA AGPar'!O25)/1000+'DIVIDA AGPar'!O36+'DIVIDA AGPar'!O37</f>
        <v>-168.26924888490049</v>
      </c>
      <c r="T372" s="615">
        <f>('DIVIDA AGPar'!P24+'DIVIDA AGPar'!P25)/1000+'DIVIDA AGPar'!P36+'DIVIDA AGPar'!P37</f>
        <v>-165.42331011693489</v>
      </c>
      <c r="U372" s="615">
        <f>('DIVIDA AGPar'!Q24+'DIVIDA AGPar'!Q25)/1000+'DIVIDA AGPar'!Q36+'DIVIDA AGPar'!Q37</f>
        <v>-162.13090599719897</v>
      </c>
    </row>
    <row r="373" spans="2:21" s="371" customFormat="1">
      <c r="C373" s="371" t="s">
        <v>648</v>
      </c>
      <c r="E373" s="591">
        <f t="shared" ref="E373:J373" si="532">E371/-E372</f>
        <v>-1461.1467391304348</v>
      </c>
      <c r="F373" s="591">
        <f t="shared" si="532"/>
        <v>5.3670154006108293</v>
      </c>
      <c r="G373" s="591">
        <f t="shared" si="532"/>
        <v>2.4879634037796778</v>
      </c>
      <c r="H373" s="591">
        <f t="shared" si="532"/>
        <v>0.75176008665041605</v>
      </c>
      <c r="I373" s="591">
        <f t="shared" si="532"/>
        <v>1.4101195849770614</v>
      </c>
      <c r="J373" s="591">
        <f t="shared" si="532"/>
        <v>-6.543727467898087</v>
      </c>
      <c r="K373" s="701">
        <f>K371/-K372</f>
        <v>-1.3626107256240385</v>
      </c>
      <c r="L373" s="618">
        <f t="shared" ref="L373:P373" si="533">L371/-L372</f>
        <v>1.2242577571476023</v>
      </c>
      <c r="M373" s="618">
        <f t="shared" si="533"/>
        <v>4.164653372152725</v>
      </c>
      <c r="N373" s="618">
        <f t="shared" si="533"/>
        <v>5.8605358665289664</v>
      </c>
      <c r="O373" s="618">
        <f t="shared" si="533"/>
        <v>2.8730014640001031</v>
      </c>
      <c r="P373" s="618">
        <f t="shared" si="533"/>
        <v>3.5587570631908165</v>
      </c>
      <c r="Q373" s="618">
        <f t="shared" ref="Q373" si="534">Q371/-Q372</f>
        <v>4.1778083012396845</v>
      </c>
      <c r="R373" s="618">
        <f t="shared" ref="R373" si="535">R371/-R372</f>
        <v>5.1287645061380802</v>
      </c>
      <c r="S373" s="618">
        <f t="shared" ref="S373" si="536">S371/-S372</f>
        <v>6.5402441440114316</v>
      </c>
      <c r="T373" s="618">
        <f t="shared" ref="T373:U373" si="537">T371/-T372</f>
        <v>7.3001712859307517</v>
      </c>
      <c r="U373" s="618">
        <f t="shared" si="537"/>
        <v>8.4869970347654498</v>
      </c>
    </row>
    <row r="374" spans="2:21">
      <c r="C374" s="352"/>
      <c r="D374" s="352"/>
      <c r="E374" s="368"/>
      <c r="F374" s="368"/>
      <c r="G374" s="368"/>
    </row>
    <row r="375" spans="2:21">
      <c r="C375" s="352"/>
      <c r="D375" s="352"/>
      <c r="E375" s="368"/>
      <c r="F375" s="368"/>
      <c r="G375" s="368"/>
    </row>
    <row r="376" spans="2:21">
      <c r="B376" s="371" t="s">
        <v>592</v>
      </c>
      <c r="C376" s="352"/>
      <c r="D376" s="352"/>
      <c r="E376" s="368"/>
      <c r="F376" s="368"/>
      <c r="G376" s="368"/>
      <c r="H376" s="368"/>
      <c r="I376" s="368"/>
      <c r="J376" s="368"/>
    </row>
    <row r="377" spans="2:21">
      <c r="C377" s="352"/>
      <c r="D377" s="352"/>
      <c r="E377" s="352"/>
      <c r="F377" s="352"/>
      <c r="G377" s="352"/>
      <c r="H377" s="352"/>
      <c r="I377" s="352"/>
      <c r="J377" s="352"/>
    </row>
    <row r="378" spans="2:21" hidden="1" outlineLevel="1">
      <c r="C378" s="420" t="s">
        <v>362</v>
      </c>
      <c r="D378" s="420">
        <v>2005</v>
      </c>
      <c r="E378" s="420">
        <v>2006</v>
      </c>
      <c r="F378" s="420">
        <v>2007</v>
      </c>
      <c r="G378" s="420">
        <v>2008</v>
      </c>
      <c r="H378" s="420">
        <v>2009</v>
      </c>
      <c r="I378" s="420">
        <v>2010</v>
      </c>
      <c r="J378" s="420">
        <v>2011</v>
      </c>
      <c r="K378" s="702">
        <v>2012</v>
      </c>
      <c r="L378" s="619">
        <v>2013</v>
      </c>
      <c r="M378" s="619">
        <v>2014</v>
      </c>
      <c r="N378" s="619">
        <v>2015</v>
      </c>
      <c r="O378" s="619">
        <v>2016</v>
      </c>
      <c r="P378" s="619">
        <v>2017</v>
      </c>
      <c r="Q378" s="619">
        <v>2018</v>
      </c>
      <c r="R378" s="619">
        <v>2019</v>
      </c>
      <c r="S378" s="619">
        <v>2020</v>
      </c>
      <c r="T378" s="619">
        <v>2021</v>
      </c>
      <c r="U378" s="619">
        <v>2022</v>
      </c>
    </row>
    <row r="379" spans="2:21" hidden="1" outlineLevel="1">
      <c r="C379" s="352" t="s">
        <v>366</v>
      </c>
      <c r="D379" s="369">
        <f>HLOOKUP(D$378,Macroeconomics!$B$5:$GB$36,Macroeconomics!$A$15,0)</f>
        <v>3.1563523881234803E-2</v>
      </c>
      <c r="E379" s="369">
        <f>HLOOKUP(E$378,Macroeconomics!$B$5:$GB$36,Macroeconomics!$A$15,0)</f>
        <v>3.95541526928389E-2</v>
      </c>
      <c r="F379" s="369">
        <f>HLOOKUP(F$378,Macroeconomics!$B$5:$GB$36,Macroeconomics!$A$15,0)</f>
        <v>6.0954549767530321E-2</v>
      </c>
      <c r="G379" s="369">
        <f>HLOOKUP(G$378,Macroeconomics!$B$5:$GB$36,Macroeconomics!$A$15,0)</f>
        <v>5.1692990144346994E-2</v>
      </c>
      <c r="H379" s="369">
        <f>HLOOKUP(H$378,Macroeconomics!$B$5:$GB$36,Macroeconomics!$A$15,0)</f>
        <v>-3.2824803986596864E-3</v>
      </c>
      <c r="I379" s="369">
        <f>HLOOKUP(I$378,Macroeconomics!$B$5:$GB$36,Macroeconomics!$A$15,0)</f>
        <v>7.5336154528701224E-2</v>
      </c>
      <c r="J379" s="369">
        <f>HLOOKUP(J$378,Macroeconomics!$B$5:$GB$36,Macroeconomics!$A$15,0)</f>
        <v>2.7327619929994773E-2</v>
      </c>
      <c r="K379" s="634">
        <f>HLOOKUP(K$378,Macroeconomics!$B$5:$GB$36,Macroeconomics!$A$15,0)</f>
        <v>3.4524121051363377E-2</v>
      </c>
      <c r="L379" s="370">
        <f>HLOOKUP(L$378,Macroeconomics!$B$5:$GB$36,Macroeconomics!$A$15,0)</f>
        <v>5.0152016667324162E-2</v>
      </c>
      <c r="M379" s="370">
        <f>HLOOKUP(M$378,Macroeconomics!$B$5:$GB$36,Macroeconomics!$A$15,0)</f>
        <v>4.4000000000000004E-2</v>
      </c>
      <c r="N379" s="370">
        <f>HLOOKUP(N$378,Macroeconomics!$B$5:$GB$36,Macroeconomics!$A$15,0)</f>
        <v>4.7E-2</v>
      </c>
      <c r="O379" s="370">
        <f>HLOOKUP(O$378,Macroeconomics!$B$5:$GB$36,Macroeconomics!$A$15,0)</f>
        <v>0.05</v>
      </c>
      <c r="P379" s="370">
        <f>HLOOKUP(P$378,Macroeconomics!$B$5:$GB$36,Macroeconomics!$A$15,0)</f>
        <v>4.7E-2</v>
      </c>
      <c r="Q379" s="370">
        <f>HLOOKUP(Q$378,Macroeconomics!$B$5:$GB$36,Macroeconomics!$A$15,0)</f>
        <v>4.8000000000000001E-2</v>
      </c>
      <c r="R379" s="370">
        <f>HLOOKUP(R$378,Macroeconomics!$B$5:$GB$36,Macroeconomics!$A$15,0)</f>
        <v>4.9000000000000002E-2</v>
      </c>
      <c r="S379" s="370">
        <f>HLOOKUP(S$378,Macroeconomics!$B$5:$GB$36,Macroeconomics!$A$15,0)</f>
        <v>0.05</v>
      </c>
      <c r="T379" s="370">
        <f>HLOOKUP(T$378,Macroeconomics!$B$5:$GB$36,Macroeconomics!$A$15,0)</f>
        <v>5.0478829138844356E-2</v>
      </c>
      <c r="U379" s="370">
        <f>HLOOKUP(U$378,Macroeconomics!$B$5:$GB$36,Macroeconomics!$A$15,0)</f>
        <v>5.0962243824572831E-2</v>
      </c>
    </row>
    <row r="380" spans="2:21" hidden="1" outlineLevel="1">
      <c r="C380" s="352" t="s">
        <v>330</v>
      </c>
      <c r="D380" s="369">
        <f>HLOOKUP(D$378,Macroeconomics!$B$5:$GB$36,Macroeconomics!$A$12,0)</f>
        <v>5.6900000000000006E-2</v>
      </c>
      <c r="E380" s="369">
        <f>HLOOKUP(E$378,Macroeconomics!$B$5:$GB$36,Macroeconomics!$A$12,0)</f>
        <v>3.1400000000000004E-2</v>
      </c>
      <c r="F380" s="369">
        <f>HLOOKUP(F$378,Macroeconomics!$B$5:$GB$36,Macroeconomics!$A$12,0)</f>
        <v>4.4600000000000001E-2</v>
      </c>
      <c r="G380" s="369">
        <f>HLOOKUP(G$378,Macroeconomics!$B$5:$GB$36,Macroeconomics!$A$12,0)</f>
        <v>5.9023134175254732E-2</v>
      </c>
      <c r="H380" s="369">
        <f>HLOOKUP(H$378,Macroeconomics!$B$5:$GB$36,Macroeconomics!$A$12,0)</f>
        <v>4.3120283296899764E-2</v>
      </c>
      <c r="I380" s="369">
        <f>HLOOKUP(I$378,Macroeconomics!$B$5:$GB$36,Macroeconomics!$A$12,0)</f>
        <v>5.786447235499996E-2</v>
      </c>
      <c r="J380" s="369">
        <f>HLOOKUP(J$378,Macroeconomics!$B$5:$GB$36,Macroeconomics!$A$12,0)</f>
        <v>6.5031090406288516E-2</v>
      </c>
      <c r="K380" s="634">
        <f>HLOOKUP(K$378,Macroeconomics!$B$5:$GB$36,Macroeconomics!$A$12,0)</f>
        <v>5.0401465469837703E-2</v>
      </c>
      <c r="L380" s="370">
        <f>HLOOKUP(L$378,Macroeconomics!$B$5:$GB$36,Macroeconomics!$A$12,0)</f>
        <v>6.0760818648356141E-2</v>
      </c>
      <c r="M380" s="370">
        <f>HLOOKUP(M$378,Macroeconomics!$B$5:$GB$36,Macroeconomics!$A$12,0)</f>
        <v>4.4999999999999998E-2</v>
      </c>
      <c r="N380" s="370">
        <f>HLOOKUP(N$378,Macroeconomics!$B$5:$GB$36,Macroeconomics!$A$12,0)</f>
        <v>4.4999999999999998E-2</v>
      </c>
      <c r="O380" s="370">
        <f>HLOOKUP(O$378,Macroeconomics!$B$5:$GB$36,Macroeconomics!$A$12,0)</f>
        <v>4.4999999999999998E-2</v>
      </c>
      <c r="P380" s="370">
        <f>HLOOKUP(P$378,Macroeconomics!$B$5:$GB$36,Macroeconomics!$A$12,0)</f>
        <v>0.04</v>
      </c>
      <c r="Q380" s="370">
        <f>HLOOKUP(Q$378,Macroeconomics!$B$5:$GB$36,Macroeconomics!$A$12,0)</f>
        <v>0.04</v>
      </c>
      <c r="R380" s="370">
        <f>HLOOKUP(R$378,Macroeconomics!$B$5:$GB$36,Macroeconomics!$A$12,0)</f>
        <v>0.04</v>
      </c>
      <c r="S380" s="370">
        <f>HLOOKUP(S$378,Macroeconomics!$B$5:$GB$36,Macroeconomics!$A$12,0)</f>
        <v>0.04</v>
      </c>
      <c r="T380" s="370">
        <f>HLOOKUP(T$378,Macroeconomics!$B$5:$GB$36,Macroeconomics!$A$12,0)</f>
        <v>0.04</v>
      </c>
      <c r="U380" s="370">
        <f>HLOOKUP(U$378,Macroeconomics!$B$5:$GB$36,Macroeconomics!$A$12,0)</f>
        <v>0.04</v>
      </c>
    </row>
    <row r="381" spans="2:21" hidden="1" outlineLevel="1">
      <c r="C381" s="352" t="s">
        <v>313</v>
      </c>
      <c r="D381" s="369">
        <f>HLOOKUP(D$378,Macroeconomics!$B$5:$GB$36,Macroeconomics!$A$11,0)</f>
        <v>1.21E-2</v>
      </c>
      <c r="E381" s="369">
        <f>HLOOKUP(E$378,Macroeconomics!$B$5:$GB$36,Macroeconomics!$A$11,0)</f>
        <v>3.85E-2</v>
      </c>
      <c r="F381" s="369">
        <f>HLOOKUP(F$378,Macroeconomics!$B$5:$GB$36,Macroeconomics!$A$11,0)</f>
        <v>7.7509820817942554E-2</v>
      </c>
      <c r="G381" s="369">
        <f>HLOOKUP(G$378,Macroeconomics!$B$5:$GB$36,Macroeconomics!$A$11,0)</f>
        <v>9.8054312797284382E-2</v>
      </c>
      <c r="H381" s="369">
        <f>HLOOKUP(H$378,Macroeconomics!$B$5:$GB$36,Macroeconomics!$A$11,0)</f>
        <v>-1.7122753570905869E-2</v>
      </c>
      <c r="I381" s="369">
        <f>HLOOKUP(I$378,Macroeconomics!$B$5:$GB$36,Macroeconomics!$A$11,0)</f>
        <v>0.10873468332999976</v>
      </c>
      <c r="J381" s="369">
        <f>HLOOKUP(J$378,Macroeconomics!$B$5:$GB$36,Macroeconomics!$A$11,0)</f>
        <v>5.0977446141180272E-2</v>
      </c>
      <c r="K381" s="634">
        <f>HLOOKUP(K$378,Macroeconomics!$B$5:$GB$36,Macroeconomics!$A$11,0)</f>
        <v>4.7660684616188664E-2</v>
      </c>
      <c r="L381" s="370">
        <f>HLOOKUP(L$378,Macroeconomics!$B$5:$GB$36,Macroeconomics!$A$11,0)</f>
        <v>4.4999999999999998E-2</v>
      </c>
      <c r="M381" s="370">
        <f>HLOOKUP(M$378,Macroeconomics!$B$5:$GB$36,Macroeconomics!$A$11,0)</f>
        <v>4.4999999999999998E-2</v>
      </c>
      <c r="N381" s="370">
        <f>HLOOKUP(N$378,Macroeconomics!$B$5:$GB$36,Macroeconomics!$A$11,0)</f>
        <v>4.4999999999999998E-2</v>
      </c>
      <c r="O381" s="370">
        <f>HLOOKUP(O$378,Macroeconomics!$B$5:$GB$36,Macroeconomics!$A$11,0)</f>
        <v>4.4999999999999998E-2</v>
      </c>
      <c r="P381" s="370">
        <f>HLOOKUP(P$378,Macroeconomics!$B$5:$GB$36,Macroeconomics!$A$11,0)</f>
        <v>0.04</v>
      </c>
      <c r="Q381" s="370">
        <f>HLOOKUP(Q$378,Macroeconomics!$B$5:$GB$36,Macroeconomics!$A$11,0)</f>
        <v>0.04</v>
      </c>
      <c r="R381" s="370">
        <f>HLOOKUP(R$378,Macroeconomics!$B$5:$GB$36,Macroeconomics!$A$11,0)</f>
        <v>0.04</v>
      </c>
      <c r="S381" s="370">
        <f>HLOOKUP(S$378,Macroeconomics!$B$5:$GB$36,Macroeconomics!$A$11,0)</f>
        <v>0.04</v>
      </c>
      <c r="T381" s="370">
        <f>HLOOKUP(T$378,Macroeconomics!$B$5:$GB$36,Macroeconomics!$A$11,0)</f>
        <v>0.04</v>
      </c>
      <c r="U381" s="370">
        <f>HLOOKUP(U$378,Macroeconomics!$B$5:$GB$36,Macroeconomics!$A$11,0)</f>
        <v>0.04</v>
      </c>
    </row>
    <row r="382" spans="2:21" hidden="1" outlineLevel="1">
      <c r="C382" s="352" t="s">
        <v>314</v>
      </c>
      <c r="D382" s="369">
        <f>HLOOKUP(D$378,Macroeconomics!$B$5:$GB$36,Macroeconomics!$A$31,0)</f>
        <v>9.7500000000000003E-2</v>
      </c>
      <c r="E382" s="369">
        <f>HLOOKUP(E$378,Macroeconomics!$B$5:$GB$36,Macroeconomics!$A$31,0)</f>
        <v>7.8750000000000001E-2</v>
      </c>
      <c r="F382" s="369">
        <f>HLOOKUP(F$378,Macroeconomics!$B$5:$GB$36,Macroeconomics!$A$31,0)</f>
        <v>6.3700000000000007E-2</v>
      </c>
      <c r="G382" s="369">
        <f>HLOOKUP(G$378,Macroeconomics!$B$5:$GB$36,Macroeconomics!$A$31,0)</f>
        <v>6.25E-2</v>
      </c>
      <c r="H382" s="369">
        <f>HLOOKUP(H$378,Macroeconomics!$B$5:$GB$36,Macroeconomics!$A$31,0)</f>
        <v>6.1249999999999999E-2</v>
      </c>
      <c r="I382" s="369">
        <f>HLOOKUP(I$378,Macroeconomics!$B$5:$GB$36,Macroeconomics!$A$31,0)</f>
        <v>6.1249999999999999E-2</v>
      </c>
      <c r="J382" s="369">
        <f>HLOOKUP(J$378,Macroeconomics!$B$5:$GB$36,Macroeconomics!$A$31,0)</f>
        <v>0.06</v>
      </c>
      <c r="K382" s="634">
        <f>HLOOKUP(K$378,Macroeconomics!$B$5:$GB$36,Macroeconomics!$A$31,0)</f>
        <v>0.06</v>
      </c>
      <c r="L382" s="370">
        <f>HLOOKUP(L$378,Macroeconomics!$B$5:$GB$36,Macroeconomics!$A$31,0)</f>
        <v>5.5E-2</v>
      </c>
      <c r="M382" s="370">
        <f>HLOOKUP(M$378,Macroeconomics!$B$5:$GB$36,Macroeconomics!$A$31,0)</f>
        <v>0.05</v>
      </c>
      <c r="N382" s="370">
        <f>HLOOKUP(N$378,Macroeconomics!$B$5:$GB$36,Macroeconomics!$A$31,0)</f>
        <v>0.05</v>
      </c>
      <c r="O382" s="370">
        <f>HLOOKUP(O$378,Macroeconomics!$B$5:$GB$36,Macroeconomics!$A$31,0)</f>
        <v>0.05</v>
      </c>
      <c r="P382" s="370">
        <f>HLOOKUP(P$378,Macroeconomics!$B$5:$GB$36,Macroeconomics!$A$31,0)</f>
        <v>0.05</v>
      </c>
      <c r="Q382" s="370">
        <f>HLOOKUP(Q$378,Macroeconomics!$B$5:$GB$36,Macroeconomics!$A$31,0)</f>
        <v>0.05</v>
      </c>
      <c r="R382" s="370">
        <f>HLOOKUP(R$378,Macroeconomics!$B$5:$GB$36,Macroeconomics!$A$31,0)</f>
        <v>0.05</v>
      </c>
      <c r="S382" s="370">
        <f>HLOOKUP(S$378,Macroeconomics!$B$5:$GB$36,Macroeconomics!$A$31,0)</f>
        <v>0.05</v>
      </c>
      <c r="T382" s="370">
        <f>HLOOKUP(T$378,Macroeconomics!$B$5:$GB$36,Macroeconomics!$A$31,0)</f>
        <v>0.05</v>
      </c>
      <c r="U382" s="370">
        <f>HLOOKUP(U$378,Macroeconomics!$B$5:$GB$36,Macroeconomics!$A$31,0)</f>
        <v>0.05</v>
      </c>
    </row>
    <row r="383" spans="2:21" hidden="1" outlineLevel="1">
      <c r="C383" s="352" t="s">
        <v>368</v>
      </c>
      <c r="D383" s="369">
        <f>HLOOKUP(D$378,Macroeconomics!$B$5:$GB$36,Macroeconomics!$A$24,0)</f>
        <v>0.18999579230339658</v>
      </c>
      <c r="E383" s="369">
        <f>HLOOKUP(E$378,Macroeconomics!$B$5:$GB$36,Macroeconomics!$A$24,0)</f>
        <v>0.15027137373090915</v>
      </c>
      <c r="F383" s="369">
        <f>HLOOKUP(F$378,Macroeconomics!$B$5:$GB$36,Macroeconomics!$A$24,0)</f>
        <v>0.11815816798855039</v>
      </c>
      <c r="G383" s="369">
        <f>HLOOKUP(G$378,Macroeconomics!$B$5:$GB$36,Macroeconomics!$A$24,0)</f>
        <v>0.12377829350004177</v>
      </c>
      <c r="H383" s="369">
        <f>HLOOKUP(H$378,Macroeconomics!$B$5:$GB$36,Macroeconomics!$A$24,0)</f>
        <v>9.8767697578293845E-2</v>
      </c>
      <c r="I383" s="369">
        <f>HLOOKUP(I$378,Macroeconomics!$B$5:$GB$36,Macroeconomics!$A$24,0)</f>
        <v>9.7570448081791383E-2</v>
      </c>
      <c r="J383" s="369">
        <f>HLOOKUP(J$378,Macroeconomics!$B$5:$GB$36,Macroeconomics!$A$24,0)</f>
        <v>0.11588487508441325</v>
      </c>
      <c r="K383" s="634">
        <f>HLOOKUP(K$378,Macroeconomics!$B$5:$GB$36,Macroeconomics!$A$24,0)</f>
        <v>8.756043060229167E-2</v>
      </c>
      <c r="L383" s="370">
        <f>HLOOKUP(L$378,Macroeconomics!$B$5:$GB$36,Macroeconomics!$A$24,0)</f>
        <v>8.444931666376497E-2</v>
      </c>
      <c r="M383" s="370">
        <f>HLOOKUP(M$378,Macroeconomics!$B$5:$GB$36,Macroeconomics!$A$24,0)</f>
        <v>9.6145242716012547E-2</v>
      </c>
      <c r="N383" s="370">
        <f>HLOOKUP(N$378,Macroeconomics!$B$5:$GB$36,Macroeconomics!$A$24,0)</f>
        <v>9.4942253320802195E-2</v>
      </c>
      <c r="O383" s="370">
        <f>HLOOKUP(O$378,Macroeconomics!$B$5:$GB$36,Macroeconomics!$A$24,0)</f>
        <v>9.6699999999999994E-2</v>
      </c>
      <c r="P383" s="370">
        <f>HLOOKUP(P$378,Macroeconomics!$B$5:$GB$36,Macroeconomics!$A$24,0)</f>
        <v>9.6699999999999994E-2</v>
      </c>
      <c r="Q383" s="370">
        <f>HLOOKUP(Q$378,Macroeconomics!$B$5:$GB$36,Macroeconomics!$A$24,0)</f>
        <v>9.4299999999999995E-2</v>
      </c>
      <c r="R383" s="370">
        <f>HLOOKUP(R$378,Macroeconomics!$B$5:$GB$36,Macroeconomics!$A$24,0)</f>
        <v>9.4200000000000006E-2</v>
      </c>
      <c r="S383" s="370">
        <f>HLOOKUP(S$378,Macroeconomics!$B$5:$GB$36,Macroeconomics!$A$24,0)</f>
        <v>9.4200000000000006E-2</v>
      </c>
      <c r="T383" s="370">
        <f>HLOOKUP(T$378,Macroeconomics!$B$5:$GB$36,Macroeconomics!$A$24,0)</f>
        <v>9.4200000000000006E-2</v>
      </c>
      <c r="U383" s="370">
        <f>HLOOKUP(U$378,Macroeconomics!$B$5:$GB$36,Macroeconomics!$A$24,0)</f>
        <v>9.1799999999999993E-2</v>
      </c>
    </row>
    <row r="384" spans="2:21" hidden="1" outlineLevel="1">
      <c r="C384" s="352" t="s">
        <v>369</v>
      </c>
      <c r="D384" s="369">
        <f>HLOOKUP(D$378,Macroeconomics!$B$5:$GB$36,Macroeconomics!$A$34,0)</f>
        <v>0.18</v>
      </c>
      <c r="E384" s="369">
        <f>HLOOKUP(E$378,Macroeconomics!$B$5:$GB$36,Macroeconomics!$A$34,0)</f>
        <v>0.13250000000000001</v>
      </c>
      <c r="F384" s="369">
        <f>HLOOKUP(F$378,Macroeconomics!$B$5:$GB$36,Macroeconomics!$A$34,0)</f>
        <v>0.1125</v>
      </c>
      <c r="G384" s="369">
        <f>HLOOKUP(G$378,Macroeconomics!$B$5:$GB$36,Macroeconomics!$A$34,0)</f>
        <v>0.13750000000000001</v>
      </c>
      <c r="H384" s="369">
        <f>HLOOKUP(H$378,Macroeconomics!$B$5:$GB$36,Macroeconomics!$A$34,0)</f>
        <v>8.7499999999999994E-2</v>
      </c>
      <c r="I384" s="369">
        <f>HLOOKUP(I$378,Macroeconomics!$B$5:$GB$36,Macroeconomics!$A$34,0)</f>
        <v>0.1075</v>
      </c>
      <c r="J384" s="369">
        <f>HLOOKUP(J$378,Macroeconomics!$B$5:$GB$36,Macroeconomics!$A$34,0)</f>
        <v>0.11613607690400851</v>
      </c>
      <c r="K384" s="634">
        <f>HLOOKUP(K$378,Macroeconomics!$B$5:$GB$36,Macroeconomics!$A$34,0)</f>
        <v>9.7188439031415039E-2</v>
      </c>
      <c r="L384" s="370">
        <f>HLOOKUP(L$378,Macroeconomics!$B$5:$GB$36,Macroeconomics!$A$34,0)</f>
        <v>9.9493798965222702E-2</v>
      </c>
      <c r="M384" s="370">
        <f>HLOOKUP(M$378,Macroeconomics!$B$5:$GB$36,Macroeconomics!$A$34,0)</f>
        <v>0.10034969862858212</v>
      </c>
      <c r="N384" s="370">
        <f>HLOOKUP(N$378,Macroeconomics!$B$5:$GB$36,Macroeconomics!$A$34,0)</f>
        <v>9.6743211047729982E-2</v>
      </c>
      <c r="O384" s="370">
        <f>HLOOKUP(O$378,Macroeconomics!$B$5:$GB$36,Macroeconomics!$A$34,0)</f>
        <v>9.7029050864934074E-2</v>
      </c>
      <c r="P384" s="370">
        <f>HLOOKUP(P$378,Macroeconomics!$B$5:$GB$36,Macroeconomics!$A$34,0)</f>
        <v>9.6219858592965224E-2</v>
      </c>
      <c r="Q384" s="370">
        <f>HLOOKUP(Q$378,Macroeconomics!$B$5:$GB$36,Macroeconomics!$A$34,0)</f>
        <v>9.6624380091712828E-2</v>
      </c>
      <c r="R384" s="370">
        <f>HLOOKUP(R$378,Macroeconomics!$B$5:$GB$36,Macroeconomics!$A$34,0)</f>
        <v>9.7838840455158019E-2</v>
      </c>
      <c r="S384" s="370">
        <f>HLOOKUP(S$378,Macroeconomics!$B$5:$GB$36,Macroeconomics!$A$34,0)</f>
        <v>9.7029050864934074E-2</v>
      </c>
      <c r="T384" s="370">
        <f>HLOOKUP(T$378,Macroeconomics!$B$5:$GB$36,Macroeconomics!$A$34,0)</f>
        <v>9.6666114917960191E-2</v>
      </c>
      <c r="U384" s="370">
        <f>HLOOKUP(U$378,Macroeconomics!$B$5:$GB$36,Macroeconomics!$A$34,0)</f>
        <v>9.5000000000000001E-2</v>
      </c>
    </row>
    <row r="385" spans="3:21" hidden="1" outlineLevel="1">
      <c r="C385" s="352" t="s">
        <v>367</v>
      </c>
      <c r="D385" s="369">
        <f>HLOOKUP(D$378,Macroeconomics!$B$5:$GB$36,Macroeconomics!$A$25,0)</f>
        <v>0.11874000000000001</v>
      </c>
      <c r="E385" s="369">
        <f>HLOOKUP(E$378,Macroeconomics!$B$5:$GB$36,Macroeconomics!$A$25,0)</f>
        <v>0.11566545066956092</v>
      </c>
      <c r="F385" s="369">
        <f>HLOOKUP(F$378,Macroeconomics!$B$5:$GB$36,Macroeconomics!$A$25,0)</f>
        <v>7.0417545460990327E-2</v>
      </c>
      <c r="G385" s="369">
        <f>HLOOKUP(G$378,Macroeconomics!$B$5:$GB$36,Macroeconomics!$A$25,0)</f>
        <v>6.1146123474646208E-2</v>
      </c>
      <c r="H385" s="369">
        <f>HLOOKUP(H$378,Macroeconomics!$B$5:$GB$36,Macroeconomics!$A$25,0)</f>
        <v>5.334702780531253E-2</v>
      </c>
      <c r="I385" s="369">
        <f>HLOOKUP(I$378,Macroeconomics!$B$5:$GB$36,Macroeconomics!$A$25,0)</f>
        <v>4.1046444824743622E-2</v>
      </c>
      <c r="J385" s="369">
        <f>HLOOKUP(J$378,Macroeconomics!$B$5:$GB$36,Macroeconomics!$A$25,0)</f>
        <v>6.1759107373379196E-2</v>
      </c>
      <c r="K385" s="634">
        <f>HLOOKUP(K$378,Macroeconomics!$B$5:$GB$36,Macroeconomics!$A$25,0)</f>
        <v>3.8084607518435565E-2</v>
      </c>
      <c r="L385" s="370">
        <f>HLOOKUP(L$378,Macroeconomics!$B$5:$GB$36,Macroeconomics!$A$25,0)</f>
        <v>3.7750542261976161E-2</v>
      </c>
      <c r="M385" s="370">
        <f>HLOOKUP(M$378,Macroeconomics!$B$5:$GB$36,Macroeconomics!$A$25,0)</f>
        <v>4.8942815996184219E-2</v>
      </c>
      <c r="N385" s="370">
        <f>HLOOKUP(N$378,Macroeconomics!$B$5:$GB$36,Macroeconomics!$A$25,0)</f>
        <v>4.7791629972059546E-2</v>
      </c>
      <c r="O385" s="370">
        <f>HLOOKUP(O$378,Macroeconomics!$B$5:$GB$36,Macroeconomics!$A$25,0)</f>
        <v>4.9473684210526336E-2</v>
      </c>
      <c r="P385" s="370">
        <f>HLOOKUP(P$378,Macroeconomics!$B$5:$GB$36,Macroeconomics!$A$25,0)</f>
        <v>5.451923076923082E-2</v>
      </c>
      <c r="Q385" s="370">
        <f>HLOOKUP(Q$378,Macroeconomics!$B$5:$GB$36,Macroeconomics!$A$25,0)</f>
        <v>5.2211538461538476E-2</v>
      </c>
      <c r="R385" s="370">
        <f>HLOOKUP(R$378,Macroeconomics!$B$5:$GB$36,Macroeconomics!$A$25,0)</f>
        <v>5.2115384615384563E-2</v>
      </c>
      <c r="S385" s="370">
        <f>HLOOKUP(S$378,Macroeconomics!$B$5:$GB$36,Macroeconomics!$A$25,0)</f>
        <v>5.2115384615384563E-2</v>
      </c>
      <c r="T385" s="370">
        <f>HLOOKUP(T$378,Macroeconomics!$B$5:$GB$36,Macroeconomics!$A$25,0)</f>
        <v>5.2115384615384563E-2</v>
      </c>
      <c r="U385" s="370">
        <f>HLOOKUP(U$378,Macroeconomics!$B$5:$GB$36,Macroeconomics!$A$25,0)</f>
        <v>4.9807692307692442E-2</v>
      </c>
    </row>
    <row r="386" spans="3:21" hidden="1" outlineLevel="1">
      <c r="C386" s="352" t="s">
        <v>370</v>
      </c>
      <c r="D386" s="451">
        <f>HLOOKUP(D$378,Macroeconomics!$B$5:$GB$36,Macroeconomics!$A$28,0)</f>
        <v>2.3407</v>
      </c>
      <c r="E386" s="451">
        <f>HLOOKUP(E$378,Macroeconomics!$B$5:$GB$36,Macroeconomics!$A$28,0)</f>
        <v>2.1379999999999999</v>
      </c>
      <c r="F386" s="451">
        <f>HLOOKUP(F$378,Macroeconomics!$B$5:$GB$36,Macroeconomics!$A$28,0)</f>
        <v>1.7709000000000001</v>
      </c>
      <c r="G386" s="451">
        <f>HLOOKUP(G$378,Macroeconomics!$B$5:$GB$36,Macroeconomics!$A$28,0)</f>
        <v>2.3365999999999998</v>
      </c>
      <c r="H386" s="451">
        <f>HLOOKUP(H$378,Macroeconomics!$B$5:$GB$36,Macroeconomics!$A$28,0)</f>
        <v>1.7407999999999999</v>
      </c>
      <c r="I386" s="451">
        <f>HLOOKUP(I$378,Macroeconomics!$B$5:$GB$36,Macroeconomics!$A$28,0)</f>
        <v>1.7340499999999999</v>
      </c>
      <c r="J386" s="451">
        <f>HLOOKUP(J$378,Macroeconomics!$B$5:$GB$36,Macroeconomics!$A$28,0)</f>
        <v>1.8757999999999999</v>
      </c>
      <c r="K386" s="703">
        <f>HLOOKUP(K$378,Macroeconomics!$B$5:$GB$36,Macroeconomics!$A$28,0)</f>
        <v>1.95</v>
      </c>
      <c r="L386" s="620">
        <f>HLOOKUP(L$378,Macroeconomics!$B$5:$GB$36,Macroeconomics!$A$28,0)</f>
        <v>1.95</v>
      </c>
      <c r="M386" s="620">
        <f>HLOOKUP(M$378,Macroeconomics!$B$5:$GB$36,Macroeconomics!$A$28,0)</f>
        <v>1.9987499999999998</v>
      </c>
      <c r="N386" s="620">
        <f>HLOOKUP(N$378,Macroeconomics!$B$5:$GB$36,Macroeconomics!$A$28,0)</f>
        <v>2.0487187499999995</v>
      </c>
      <c r="O386" s="620">
        <f>HLOOKUP(O$378,Macroeconomics!$B$5:$GB$36,Macroeconomics!$A$28,0)</f>
        <v>2.0999367187499991</v>
      </c>
      <c r="P386" s="620">
        <f>HLOOKUP(P$378,Macroeconomics!$B$5:$GB$36,Macroeconomics!$A$28,0)</f>
        <v>2.141935453124999</v>
      </c>
      <c r="Q386" s="620">
        <f>HLOOKUP(Q$378,Macroeconomics!$B$5:$GB$36,Macroeconomics!$A$28,0)</f>
        <v>2.184774162187499</v>
      </c>
      <c r="R386" s="620">
        <f>HLOOKUP(R$378,Macroeconomics!$B$5:$GB$36,Macroeconomics!$A$28,0)</f>
        <v>2.2284696454312489</v>
      </c>
      <c r="S386" s="620">
        <f>HLOOKUP(S$378,Macroeconomics!$B$5:$GB$36,Macroeconomics!$A$28,0)</f>
        <v>2.2730390383398738</v>
      </c>
      <c r="T386" s="620">
        <f>HLOOKUP(T$378,Macroeconomics!$B$5:$GB$36,Macroeconomics!$A$28,0)</f>
        <v>2.3184998191066715</v>
      </c>
      <c r="U386" s="620">
        <f>HLOOKUP(U$378,Macroeconomics!$B$5:$GB$36,Macroeconomics!$A$28,0)</f>
        <v>2.364869815488805</v>
      </c>
    </row>
    <row r="387" spans="3:21" hidden="1" outlineLevel="1">
      <c r="C387" s="352" t="s">
        <v>371</v>
      </c>
      <c r="D387" s="451">
        <f>HLOOKUP(D$378,Macroeconomics!$B$5:$GB$36,Macroeconomics!$A$29,0)</f>
        <v>2.4352999999999998</v>
      </c>
      <c r="E387" s="451">
        <f>HLOOKUP(E$378,Macroeconomics!$B$5:$GB$36,Macroeconomics!$A$29,0)</f>
        <v>2.1800000000000002</v>
      </c>
      <c r="F387" s="451">
        <f>HLOOKUP(F$378,Macroeconomics!$B$5:$GB$36,Macroeconomics!$A$29,0)</f>
        <v>1.947456396964496</v>
      </c>
      <c r="G387" s="451">
        <f>HLOOKUP(G$378,Macroeconomics!$B$5:$GB$36,Macroeconomics!$A$29,0)</f>
        <v>1.8341627693121143</v>
      </c>
      <c r="H387" s="451">
        <f>HLOOKUP(H$378,Macroeconomics!$B$5:$GB$36,Macroeconomics!$A$29,0)</f>
        <v>1.9974585113035113</v>
      </c>
      <c r="I387" s="451">
        <f>HLOOKUP(I$378,Macroeconomics!$B$5:$GB$36,Macroeconomics!$A$29,0)</f>
        <v>1.7340499999999999</v>
      </c>
      <c r="J387" s="451">
        <f>HLOOKUP(J$378,Macroeconomics!$B$5:$GB$36,Macroeconomics!$A$29,0)</f>
        <v>1.6749708040027607</v>
      </c>
      <c r="K387" s="703">
        <f>HLOOKUP(K$378,Macroeconomics!$B$5:$GB$36,Macroeconomics!$A$29,0)</f>
        <v>1.9106416666666668</v>
      </c>
      <c r="L387" s="620">
        <f>HLOOKUP(L$378,Macroeconomics!$B$5:$GB$36,Macroeconomics!$A$29,0)</f>
        <v>1.9499999999999995</v>
      </c>
      <c r="M387" s="620">
        <f>HLOOKUP(M$378,Macroeconomics!$B$5:$GB$36,Macroeconomics!$A$29,0)</f>
        <v>1.9749999999999996</v>
      </c>
      <c r="N387" s="620">
        <f>HLOOKUP(N$378,Macroeconomics!$B$5:$GB$36,Macroeconomics!$A$29,0)</f>
        <v>2.0249999999999986</v>
      </c>
      <c r="O387" s="620">
        <f>HLOOKUP(O$378,Macroeconomics!$B$5:$GB$36,Macroeconomics!$A$29,0)</f>
        <v>2.0743277343749993</v>
      </c>
      <c r="P387" s="620">
        <f>HLOOKUP(P$378,Macroeconomics!$B$5:$GB$36,Macroeconomics!$A$29,0)</f>
        <v>2.1209360859374993</v>
      </c>
      <c r="Q387" s="620">
        <f>HLOOKUP(Q$378,Macroeconomics!$B$5:$GB$36,Macroeconomics!$A$29,0)</f>
        <v>2.163354807656249</v>
      </c>
      <c r="R387" s="620">
        <f>HLOOKUP(R$378,Macroeconomics!$B$5:$GB$36,Macroeconomics!$A$29,0)</f>
        <v>2.2066219038093742</v>
      </c>
      <c r="S387" s="620">
        <f>HLOOKUP(S$378,Macroeconomics!$B$5:$GB$36,Macroeconomics!$A$29,0)</f>
        <v>2.2507543418855613</v>
      </c>
      <c r="T387" s="620">
        <f>HLOOKUP(T$378,Macroeconomics!$B$5:$GB$36,Macroeconomics!$A$29,0)</f>
        <v>2.2957694287232728</v>
      </c>
      <c r="U387" s="620">
        <f>HLOOKUP(U$378,Macroeconomics!$B$5:$GB$36,Macroeconomics!$A$29,0)</f>
        <v>2.3416848172977383</v>
      </c>
    </row>
    <row r="388" spans="3:21" collapsed="1">
      <c r="C388" s="352"/>
      <c r="D388" s="352"/>
      <c r="E388" s="368"/>
      <c r="F388" s="368"/>
      <c r="G388" s="368"/>
    </row>
    <row r="389" spans="3:21">
      <c r="C389" s="352"/>
      <c r="D389" s="352"/>
      <c r="E389" s="368"/>
      <c r="F389" s="368"/>
      <c r="G389" s="368"/>
    </row>
    <row r="390" spans="3:21">
      <c r="C390" s="352"/>
      <c r="D390" s="352"/>
      <c r="E390" s="368"/>
      <c r="F390" s="368"/>
      <c r="G390" s="368"/>
    </row>
    <row r="391" spans="3:21">
      <c r="C391" s="352"/>
      <c r="D391" s="352"/>
      <c r="E391" s="368"/>
      <c r="F391" s="368"/>
      <c r="G391" s="368"/>
    </row>
    <row r="392" spans="3:21">
      <c r="C392" s="352"/>
      <c r="D392" s="352"/>
      <c r="E392" s="368"/>
      <c r="F392" s="368"/>
      <c r="G392" s="368"/>
    </row>
    <row r="393" spans="3:21">
      <c r="C393" s="352"/>
      <c r="D393" s="352"/>
      <c r="E393" s="368"/>
      <c r="F393" s="368"/>
      <c r="G393" s="368"/>
    </row>
    <row r="394" spans="3:21">
      <c r="C394" s="352"/>
      <c r="D394" s="352"/>
      <c r="E394" s="368"/>
      <c r="F394" s="368"/>
      <c r="G394" s="368"/>
    </row>
    <row r="395" spans="3:21">
      <c r="C395" s="352"/>
      <c r="D395" s="352"/>
      <c r="E395" s="368"/>
      <c r="F395" s="368"/>
      <c r="G395" s="368"/>
    </row>
  </sheetData>
  <conditionalFormatting sqref="E359:U359 E335:U335 F226:I228 J226:U226">
    <cfRule type="cellIs" dxfId="2" priority="5" stopIfTrue="1" operator="equal">
      <formula>"ü"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B1:BT224"/>
  <sheetViews>
    <sheetView showGridLines="0" zoomScale="60" zoomScaleNormal="60" workbookViewId="0">
      <selection activeCell="K46" sqref="K46"/>
    </sheetView>
  </sheetViews>
  <sheetFormatPr defaultRowHeight="12.75" outlineLevelRow="1" outlineLevelCol="1"/>
  <cols>
    <col min="1" max="1" width="2.140625" style="352" customWidth="1"/>
    <col min="2" max="2" width="3" style="352" customWidth="1"/>
    <col min="3" max="3" width="56.140625" style="357" customWidth="1"/>
    <col min="4" max="4" width="17.7109375" style="357" customWidth="1"/>
    <col min="5" max="7" width="12.7109375" style="361" hidden="1" customWidth="1" outlineLevel="1"/>
    <col min="8" max="8" width="16.85546875" style="361" customWidth="1" collapsed="1"/>
    <col min="9" max="9" width="14.5703125" style="361" customWidth="1"/>
    <col min="10" max="10" width="13.7109375" style="361" customWidth="1"/>
    <col min="11" max="11" width="12.7109375" style="392" customWidth="1"/>
    <col min="12" max="12" width="12.7109375" style="352" customWidth="1"/>
    <col min="13" max="13" width="12.42578125" style="352" bestFit="1" customWidth="1"/>
    <col min="14" max="14" width="12.85546875" style="352" bestFit="1" customWidth="1"/>
    <col min="15" max="21" width="12.7109375" style="352" customWidth="1"/>
    <col min="22" max="31" width="12.5703125" style="352" bestFit="1" customWidth="1"/>
    <col min="32" max="16384" width="9.140625" style="352"/>
  </cols>
  <sheetData>
    <row r="1" spans="2:29">
      <c r="I1" s="817" t="s">
        <v>759</v>
      </c>
      <c r="J1" s="782"/>
      <c r="K1" s="782"/>
      <c r="L1" s="782"/>
      <c r="M1" s="315"/>
      <c r="N1" s="315"/>
    </row>
    <row r="2" spans="2:29" ht="21.75" customHeight="1">
      <c r="B2" s="704" t="s">
        <v>728</v>
      </c>
      <c r="C2" s="352"/>
      <c r="I2" s="818" t="s">
        <v>760</v>
      </c>
      <c r="J2" s="819"/>
      <c r="K2" s="782"/>
      <c r="L2" s="817" t="s">
        <v>761</v>
      </c>
      <c r="M2" s="156"/>
      <c r="N2" s="156"/>
    </row>
    <row r="3" spans="2:29" ht="15" customHeight="1">
      <c r="C3" s="357" t="s">
        <v>676</v>
      </c>
      <c r="I3" s="820" t="s">
        <v>762</v>
      </c>
      <c r="J3" s="821"/>
      <c r="K3" s="782"/>
      <c r="L3" s="822" t="s">
        <v>763</v>
      </c>
      <c r="M3" s="296"/>
      <c r="N3" s="296"/>
    </row>
    <row r="4" spans="2:29" s="376" customFormat="1" ht="15" customHeight="1">
      <c r="B4" s="543"/>
      <c r="C4" s="543"/>
      <c r="D4" s="543"/>
      <c r="E4" s="544"/>
      <c r="F4" s="544"/>
      <c r="G4" s="544"/>
      <c r="H4" s="544"/>
      <c r="I4" s="823" t="s">
        <v>764</v>
      </c>
      <c r="J4" s="819"/>
      <c r="K4" s="782"/>
      <c r="L4" s="782"/>
      <c r="M4" s="317"/>
      <c r="N4" s="317"/>
      <c r="O4" s="545"/>
      <c r="P4" s="545"/>
      <c r="Q4" s="545"/>
      <c r="R4" s="545"/>
      <c r="S4" s="545"/>
      <c r="T4" s="545"/>
      <c r="U4" s="545"/>
    </row>
    <row r="5" spans="2:29" ht="15" customHeight="1">
      <c r="I5" s="824" t="s">
        <v>765</v>
      </c>
      <c r="J5" s="825"/>
      <c r="K5" s="804"/>
      <c r="L5" s="804"/>
      <c r="M5" s="156"/>
      <c r="N5" s="156"/>
      <c r="S5" s="386"/>
      <c r="T5" s="386"/>
      <c r="U5" s="386"/>
      <c r="V5" s="386"/>
      <c r="W5" s="386"/>
      <c r="X5" s="386"/>
      <c r="Y5" s="386"/>
      <c r="Z5" s="386"/>
      <c r="AA5" s="386"/>
      <c r="AB5" s="386"/>
      <c r="AC5" s="386"/>
    </row>
    <row r="7" spans="2:29">
      <c r="C7" s="397" t="s">
        <v>509</v>
      </c>
      <c r="D7" s="350"/>
      <c r="E7" s="398">
        <v>2006</v>
      </c>
      <c r="F7" s="398">
        <v>2007</v>
      </c>
      <c r="G7" s="398">
        <v>2008</v>
      </c>
      <c r="H7" s="398">
        <v>2009</v>
      </c>
      <c r="I7" s="398">
        <v>2010</v>
      </c>
      <c r="J7" s="398">
        <v>2011</v>
      </c>
      <c r="K7" s="644">
        <v>2012</v>
      </c>
      <c r="L7" s="398">
        <v>2013</v>
      </c>
      <c r="M7" s="398">
        <v>2014</v>
      </c>
      <c r="N7" s="398">
        <v>2015</v>
      </c>
      <c r="O7" s="398">
        <v>2016</v>
      </c>
      <c r="P7" s="398">
        <v>2017</v>
      </c>
      <c r="Q7" s="398">
        <v>2018</v>
      </c>
      <c r="R7" s="398">
        <v>2019</v>
      </c>
      <c r="S7" s="398">
        <v>2020</v>
      </c>
      <c r="T7" s="398">
        <v>2021</v>
      </c>
      <c r="U7" s="398">
        <v>2022</v>
      </c>
    </row>
    <row r="8" spans="2:29">
      <c r="C8" s="399" t="s">
        <v>653</v>
      </c>
      <c r="D8" s="399"/>
      <c r="E8" s="537"/>
      <c r="F8" s="537"/>
      <c r="G8" s="504"/>
      <c r="H8" s="504"/>
      <c r="I8" s="828">
        <v>4256.1289999999999</v>
      </c>
      <c r="J8" s="828">
        <v>4337.5320000000002</v>
      </c>
      <c r="K8" s="678">
        <f t="shared" ref="K8:U8" si="0">J8*(1+K10*K207)</f>
        <v>4408.0692079160808</v>
      </c>
      <c r="L8" s="569">
        <f t="shared" si="0"/>
        <v>4518.6059881091433</v>
      </c>
      <c r="M8" s="569">
        <f t="shared" si="0"/>
        <v>4618.0153198475446</v>
      </c>
      <c r="N8" s="569">
        <f t="shared" si="0"/>
        <v>4726.538679863962</v>
      </c>
      <c r="O8" s="569">
        <f t="shared" si="0"/>
        <v>4844.7021468605608</v>
      </c>
      <c r="P8" s="569">
        <f t="shared" si="0"/>
        <v>4958.5526473117843</v>
      </c>
      <c r="Q8" s="569">
        <f t="shared" si="0"/>
        <v>5077.5579108472675</v>
      </c>
      <c r="R8" s="569">
        <f t="shared" si="0"/>
        <v>5201.9580796630253</v>
      </c>
      <c r="S8" s="569">
        <f t="shared" si="0"/>
        <v>5332.0070316546007</v>
      </c>
      <c r="T8" s="569">
        <f t="shared" si="0"/>
        <v>5466.5837676136052</v>
      </c>
      <c r="U8" s="569">
        <f t="shared" si="0"/>
        <v>5605.8784550398932</v>
      </c>
    </row>
    <row r="9" spans="2:29" hidden="1" outlineLevel="1">
      <c r="C9" s="467" t="s">
        <v>498</v>
      </c>
      <c r="D9" s="399"/>
      <c r="E9" s="537"/>
      <c r="F9" s="537"/>
      <c r="G9" s="504"/>
      <c r="H9" s="504"/>
      <c r="I9" s="594"/>
      <c r="J9" s="594">
        <f>J8/I8-1</f>
        <v>1.9126065022935235E-2</v>
      </c>
      <c r="K9" s="681">
        <f t="shared" ref="K9:M9" si="1">K8/J8-1</f>
        <v>1.6262060525681576E-2</v>
      </c>
      <c r="L9" s="599">
        <f t="shared" si="1"/>
        <v>2.5076008333662081E-2</v>
      </c>
      <c r="M9" s="599">
        <f t="shared" si="1"/>
        <v>2.200000000000002E-2</v>
      </c>
      <c r="N9" s="599">
        <f t="shared" ref="N9" si="2">N8/M8-1</f>
        <v>2.3500000000000076E-2</v>
      </c>
      <c r="O9" s="599">
        <f t="shared" ref="O9:P9" si="3">O8/N8-1</f>
        <v>2.4999999999999911E-2</v>
      </c>
      <c r="P9" s="599">
        <f t="shared" si="3"/>
        <v>2.3500000000000076E-2</v>
      </c>
      <c r="Q9" s="599">
        <f t="shared" ref="Q9" si="4">Q8/P8-1</f>
        <v>2.4000000000000021E-2</v>
      </c>
      <c r="R9" s="599">
        <f t="shared" ref="R9:S9" si="5">R8/Q8-1</f>
        <v>2.4499999999999966E-2</v>
      </c>
      <c r="S9" s="599">
        <f t="shared" si="5"/>
        <v>2.4999999999999911E-2</v>
      </c>
      <c r="T9" s="599">
        <f t="shared" ref="T9" si="6">T8/S8-1</f>
        <v>2.5239414569422136E-2</v>
      </c>
      <c r="U9" s="599">
        <f t="shared" ref="U9" si="7">U8/T8-1</f>
        <v>2.5481121912286353E-2</v>
      </c>
    </row>
    <row r="10" spans="2:29" hidden="1" outlineLevel="1">
      <c r="C10" s="467" t="s">
        <v>684</v>
      </c>
      <c r="D10" s="399"/>
      <c r="E10" s="537"/>
      <c r="F10" s="537"/>
      <c r="G10" s="504"/>
      <c r="H10" s="504"/>
      <c r="I10" s="594"/>
      <c r="J10" s="707">
        <f>J9/J207</f>
        <v>0.69988038006714526</v>
      </c>
      <c r="K10" s="885">
        <v>0.5</v>
      </c>
      <c r="L10" s="708">
        <f>K10</f>
        <v>0.5</v>
      </c>
      <c r="M10" s="708">
        <f t="shared" ref="M10:U10" si="8">L10</f>
        <v>0.5</v>
      </c>
      <c r="N10" s="708">
        <f t="shared" si="8"/>
        <v>0.5</v>
      </c>
      <c r="O10" s="708">
        <f t="shared" si="8"/>
        <v>0.5</v>
      </c>
      <c r="P10" s="708">
        <f t="shared" si="8"/>
        <v>0.5</v>
      </c>
      <c r="Q10" s="708">
        <f t="shared" si="8"/>
        <v>0.5</v>
      </c>
      <c r="R10" s="708">
        <f t="shared" si="8"/>
        <v>0.5</v>
      </c>
      <c r="S10" s="708">
        <f t="shared" si="8"/>
        <v>0.5</v>
      </c>
      <c r="T10" s="708">
        <f t="shared" si="8"/>
        <v>0.5</v>
      </c>
      <c r="U10" s="708">
        <f t="shared" si="8"/>
        <v>0.5</v>
      </c>
    </row>
    <row r="11" spans="2:29" collapsed="1">
      <c r="C11" s="399" t="s">
        <v>511</v>
      </c>
      <c r="D11" s="399"/>
      <c r="E11" s="537"/>
      <c r="F11" s="537"/>
      <c r="G11" s="504"/>
      <c r="H11" s="504"/>
      <c r="I11" s="828">
        <v>-3327.6170000000002</v>
      </c>
      <c r="J11" s="828">
        <v>-3456.6959999999999</v>
      </c>
      <c r="K11" s="678">
        <f>K12*K8</f>
        <v>-3512.9089995708814</v>
      </c>
      <c r="L11" s="569">
        <f t="shared" ref="L11:U11" si="9">L12*L8</f>
        <v>-3600.9987349195171</v>
      </c>
      <c r="M11" s="569">
        <f t="shared" si="9"/>
        <v>-3680.2207070877466</v>
      </c>
      <c r="N11" s="569">
        <f t="shared" si="9"/>
        <v>-3766.7058937043084</v>
      </c>
      <c r="O11" s="569">
        <f t="shared" si="9"/>
        <v>-3860.8735410469162</v>
      </c>
      <c r="P11" s="569">
        <f t="shared" si="9"/>
        <v>-3951.6040692615188</v>
      </c>
      <c r="Q11" s="569">
        <f t="shared" si="9"/>
        <v>-4046.4425669237958</v>
      </c>
      <c r="R11" s="569">
        <f t="shared" si="9"/>
        <v>-4145.5804098134286</v>
      </c>
      <c r="S11" s="569">
        <f t="shared" si="9"/>
        <v>-4249.2199200587638</v>
      </c>
      <c r="T11" s="569">
        <f t="shared" si="9"/>
        <v>-4356.4677432177741</v>
      </c>
      <c r="U11" s="569">
        <f t="shared" si="9"/>
        <v>-4467.4754288896493</v>
      </c>
    </row>
    <row r="12" spans="2:29" hidden="1" outlineLevel="1">
      <c r="C12" s="467" t="s">
        <v>615</v>
      </c>
      <c r="D12" s="399"/>
      <c r="E12" s="537"/>
      <c r="F12" s="537"/>
      <c r="G12" s="504"/>
      <c r="H12" s="504"/>
      <c r="I12" s="705">
        <f>I11/I8</f>
        <v>-0.78184119889223291</v>
      </c>
      <c r="J12" s="705">
        <f>J11/J8</f>
        <v>-0.79692691604350119</v>
      </c>
      <c r="K12" s="886">
        <f>J12</f>
        <v>-0.79692691604350119</v>
      </c>
      <c r="L12" s="706">
        <f t="shared" ref="L12:U12" si="10">K12</f>
        <v>-0.79692691604350119</v>
      </c>
      <c r="M12" s="706">
        <f t="shared" si="10"/>
        <v>-0.79692691604350119</v>
      </c>
      <c r="N12" s="706">
        <f t="shared" si="10"/>
        <v>-0.79692691604350119</v>
      </c>
      <c r="O12" s="706">
        <f t="shared" si="10"/>
        <v>-0.79692691604350119</v>
      </c>
      <c r="P12" s="706">
        <f t="shared" si="10"/>
        <v>-0.79692691604350119</v>
      </c>
      <c r="Q12" s="706">
        <f t="shared" si="10"/>
        <v>-0.79692691604350119</v>
      </c>
      <c r="R12" s="706">
        <f t="shared" si="10"/>
        <v>-0.79692691604350119</v>
      </c>
      <c r="S12" s="706">
        <f t="shared" si="10"/>
        <v>-0.79692691604350119</v>
      </c>
      <c r="T12" s="706">
        <f t="shared" si="10"/>
        <v>-0.79692691604350119</v>
      </c>
      <c r="U12" s="706">
        <f t="shared" si="10"/>
        <v>-0.79692691604350119</v>
      </c>
    </row>
    <row r="13" spans="2:29" collapsed="1">
      <c r="C13" s="401" t="s">
        <v>512</v>
      </c>
      <c r="D13" s="401"/>
      <c r="E13" s="562"/>
      <c r="F13" s="562"/>
      <c r="G13" s="562"/>
      <c r="H13" s="562"/>
      <c r="I13" s="562">
        <f t="shared" ref="I13:U13" si="11">I8+I11</f>
        <v>928.51199999999972</v>
      </c>
      <c r="J13" s="562">
        <f t="shared" si="11"/>
        <v>880.83600000000024</v>
      </c>
      <c r="K13" s="679">
        <f t="shared" si="11"/>
        <v>895.16020834519941</v>
      </c>
      <c r="L13" s="570">
        <f t="shared" si="11"/>
        <v>917.60725318962614</v>
      </c>
      <c r="M13" s="570">
        <f t="shared" si="11"/>
        <v>937.79461275979793</v>
      </c>
      <c r="N13" s="570">
        <f t="shared" si="11"/>
        <v>959.83278615965355</v>
      </c>
      <c r="O13" s="570">
        <f t="shared" si="11"/>
        <v>983.82860581364457</v>
      </c>
      <c r="P13" s="570">
        <f t="shared" si="11"/>
        <v>1006.9485780502655</v>
      </c>
      <c r="Q13" s="570">
        <f t="shared" si="11"/>
        <v>1031.1153439234718</v>
      </c>
      <c r="R13" s="570">
        <f t="shared" si="11"/>
        <v>1056.3776698495967</v>
      </c>
      <c r="S13" s="570">
        <f t="shared" si="11"/>
        <v>1082.7871115958369</v>
      </c>
      <c r="T13" s="570">
        <f t="shared" si="11"/>
        <v>1110.1160243958311</v>
      </c>
      <c r="U13" s="570">
        <f t="shared" si="11"/>
        <v>1138.4030261502439</v>
      </c>
    </row>
    <row r="14" spans="2:29" hidden="1" outlineLevel="1">
      <c r="C14" s="403" t="s">
        <v>498</v>
      </c>
      <c r="D14" s="403"/>
      <c r="E14" s="564"/>
      <c r="F14" s="564"/>
      <c r="G14" s="480"/>
      <c r="H14" s="480"/>
      <c r="I14" s="480"/>
      <c r="J14" s="480">
        <f>J13/I13-1</f>
        <v>-5.1346670802315364E-2</v>
      </c>
      <c r="K14" s="887">
        <f t="shared" ref="K14:P14" si="12">K13/J13-1</f>
        <v>1.6262060525681576E-2</v>
      </c>
      <c r="L14" s="480">
        <f t="shared" si="12"/>
        <v>2.5076008333661859E-2</v>
      </c>
      <c r="M14" s="480">
        <f t="shared" si="12"/>
        <v>2.200000000000002E-2</v>
      </c>
      <c r="N14" s="480">
        <f t="shared" si="12"/>
        <v>2.3500000000000298E-2</v>
      </c>
      <c r="O14" s="480">
        <f t="shared" si="12"/>
        <v>2.4999999999999689E-2</v>
      </c>
      <c r="P14" s="480">
        <f t="shared" si="12"/>
        <v>2.3500000000000298E-2</v>
      </c>
      <c r="Q14" s="480">
        <f>Q13/P13-1</f>
        <v>2.3999999999999799E-2</v>
      </c>
      <c r="R14" s="480">
        <f t="shared" ref="R14" si="13">R13/Q13-1</f>
        <v>2.4499999999999966E-2</v>
      </c>
      <c r="S14" s="480">
        <f t="shared" ref="S14" si="14">S13/R13-1</f>
        <v>2.5000000000000355E-2</v>
      </c>
      <c r="T14" s="480">
        <f t="shared" ref="T14" si="15">T13/S13-1</f>
        <v>2.5239414569421914E-2</v>
      </c>
      <c r="U14" s="480">
        <f t="shared" ref="U14" si="16">U13/T13-1</f>
        <v>2.5481121912286353E-2</v>
      </c>
    </row>
    <row r="15" spans="2:29" collapsed="1">
      <c r="C15" s="401" t="s">
        <v>724</v>
      </c>
      <c r="D15" s="401"/>
      <c r="E15" s="562"/>
      <c r="F15" s="562"/>
      <c r="G15" s="562"/>
      <c r="H15" s="562"/>
      <c r="I15" s="829">
        <f>-439.919+75.428-I18</f>
        <v>-455.81899999999996</v>
      </c>
      <c r="J15" s="829">
        <f>-265.006+67.101-J18</f>
        <v>-398.75199999999995</v>
      </c>
      <c r="K15" s="679">
        <f>K17*K8</f>
        <v>-440.80692079160809</v>
      </c>
      <c r="L15" s="570">
        <f t="shared" ref="L15:U15" si="17">L17*L8</f>
        <v>-451.86059881091433</v>
      </c>
      <c r="M15" s="570">
        <f t="shared" si="17"/>
        <v>-461.80153198475449</v>
      </c>
      <c r="N15" s="570">
        <f t="shared" si="17"/>
        <v>-472.65386798639622</v>
      </c>
      <c r="O15" s="570">
        <f t="shared" si="17"/>
        <v>-484.47021468605612</v>
      </c>
      <c r="P15" s="570">
        <f t="shared" si="17"/>
        <v>-495.85526473117847</v>
      </c>
      <c r="Q15" s="570">
        <f t="shared" si="17"/>
        <v>-507.75579108472675</v>
      </c>
      <c r="R15" s="570">
        <f t="shared" si="17"/>
        <v>-520.1958079663026</v>
      </c>
      <c r="S15" s="570">
        <f t="shared" si="17"/>
        <v>-533.20070316546014</v>
      </c>
      <c r="T15" s="570">
        <f t="shared" si="17"/>
        <v>-546.6583767613605</v>
      </c>
      <c r="U15" s="570">
        <f t="shared" si="17"/>
        <v>-560.58784550398934</v>
      </c>
    </row>
    <row r="16" spans="2:29" hidden="1" outlineLevel="1">
      <c r="C16" s="403" t="s">
        <v>498</v>
      </c>
      <c r="D16" s="403"/>
      <c r="E16" s="480"/>
      <c r="F16" s="480"/>
      <c r="G16" s="564"/>
      <c r="H16" s="564"/>
      <c r="I16" s="480"/>
      <c r="J16" s="480">
        <f>J15/I15-1</f>
        <v>-0.12519662409860055</v>
      </c>
      <c r="K16" s="887">
        <f t="shared" ref="K16:U16" si="18">K15/J15-1</f>
        <v>0.10546635701290064</v>
      </c>
      <c r="L16" s="480">
        <f t="shared" si="18"/>
        <v>2.5076008333661859E-2</v>
      </c>
      <c r="M16" s="480">
        <f t="shared" si="18"/>
        <v>2.200000000000002E-2</v>
      </c>
      <c r="N16" s="480">
        <f t="shared" si="18"/>
        <v>2.3500000000000076E-2</v>
      </c>
      <c r="O16" s="480">
        <f t="shared" si="18"/>
        <v>2.4999999999999911E-2</v>
      </c>
      <c r="P16" s="480">
        <f t="shared" si="18"/>
        <v>2.3500000000000076E-2</v>
      </c>
      <c r="Q16" s="480">
        <f t="shared" si="18"/>
        <v>2.4000000000000021E-2</v>
      </c>
      <c r="R16" s="480">
        <f t="shared" si="18"/>
        <v>2.4499999999999966E-2</v>
      </c>
      <c r="S16" s="480">
        <f t="shared" si="18"/>
        <v>2.4999999999999911E-2</v>
      </c>
      <c r="T16" s="480">
        <f t="shared" si="18"/>
        <v>2.5239414569421914E-2</v>
      </c>
      <c r="U16" s="480">
        <f t="shared" si="18"/>
        <v>2.5481121912286353E-2</v>
      </c>
    </row>
    <row r="17" spans="3:21" hidden="1" outlineLevel="1">
      <c r="C17" s="403" t="s">
        <v>615</v>
      </c>
      <c r="D17" s="403"/>
      <c r="E17" s="480"/>
      <c r="F17" s="480"/>
      <c r="G17" s="564"/>
      <c r="H17" s="564"/>
      <c r="I17" s="480">
        <f>I15/I8</f>
        <v>-0.10709708281868335</v>
      </c>
      <c r="J17" s="480">
        <f>J15/J8</f>
        <v>-9.1930618609845402E-2</v>
      </c>
      <c r="K17" s="685">
        <v>-0.1</v>
      </c>
      <c r="L17" s="598">
        <f t="shared" ref="L17:U17" si="19">K17</f>
        <v>-0.1</v>
      </c>
      <c r="M17" s="598">
        <f t="shared" si="19"/>
        <v>-0.1</v>
      </c>
      <c r="N17" s="598">
        <f t="shared" si="19"/>
        <v>-0.1</v>
      </c>
      <c r="O17" s="598">
        <f t="shared" si="19"/>
        <v>-0.1</v>
      </c>
      <c r="P17" s="598">
        <f t="shared" si="19"/>
        <v>-0.1</v>
      </c>
      <c r="Q17" s="598">
        <f t="shared" si="19"/>
        <v>-0.1</v>
      </c>
      <c r="R17" s="598">
        <f t="shared" si="19"/>
        <v>-0.1</v>
      </c>
      <c r="S17" s="598">
        <f t="shared" si="19"/>
        <v>-0.1</v>
      </c>
      <c r="T17" s="598">
        <f t="shared" si="19"/>
        <v>-0.1</v>
      </c>
      <c r="U17" s="598">
        <f t="shared" si="19"/>
        <v>-0.1</v>
      </c>
    </row>
    <row r="18" spans="3:21" collapsed="1">
      <c r="C18" s="401" t="s">
        <v>725</v>
      </c>
      <c r="D18" s="401"/>
      <c r="E18" s="562"/>
      <c r="F18" s="562"/>
      <c r="G18" s="562"/>
      <c r="H18" s="562"/>
      <c r="I18" s="829">
        <v>91.328000000000003</v>
      </c>
      <c r="J18" s="829">
        <v>200.84700000000001</v>
      </c>
      <c r="K18" s="679">
        <f>K20*K8</f>
        <v>198.36311435622363</v>
      </c>
      <c r="L18" s="570">
        <f t="shared" ref="L18:U18" si="20">L20*L8</f>
        <v>203.33726946491143</v>
      </c>
      <c r="M18" s="570">
        <f t="shared" si="20"/>
        <v>207.81068939313948</v>
      </c>
      <c r="N18" s="570">
        <f t="shared" si="20"/>
        <v>212.69424059387828</v>
      </c>
      <c r="O18" s="570">
        <f t="shared" si="20"/>
        <v>218.01159660872523</v>
      </c>
      <c r="P18" s="570">
        <f t="shared" si="20"/>
        <v>223.13486912903028</v>
      </c>
      <c r="Q18" s="570">
        <f t="shared" si="20"/>
        <v>228.49010598812703</v>
      </c>
      <c r="R18" s="570">
        <f t="shared" si="20"/>
        <v>234.08811358483612</v>
      </c>
      <c r="S18" s="570">
        <f t="shared" si="20"/>
        <v>239.94031642445702</v>
      </c>
      <c r="T18" s="570">
        <f t="shared" si="20"/>
        <v>245.99626954261223</v>
      </c>
      <c r="U18" s="570">
        <f t="shared" si="20"/>
        <v>252.26453047679519</v>
      </c>
    </row>
    <row r="19" spans="3:21" hidden="1" outlineLevel="1">
      <c r="C19" s="403" t="s">
        <v>498</v>
      </c>
      <c r="D19" s="403"/>
      <c r="E19" s="480"/>
      <c r="F19" s="480"/>
      <c r="G19" s="564"/>
      <c r="H19" s="564"/>
      <c r="I19" s="480"/>
      <c r="J19" s="480">
        <f>J18/I18-1</f>
        <v>1.1991831639803783</v>
      </c>
      <c r="K19" s="887">
        <f t="shared" ref="K19" si="21">K18/J18-1</f>
        <v>-1.2367053746266454E-2</v>
      </c>
      <c r="L19" s="480">
        <f t="shared" ref="L19" si="22">L18/K18-1</f>
        <v>2.5076008333661859E-2</v>
      </c>
      <c r="M19" s="480">
        <f t="shared" ref="M19" si="23">M18/L18-1</f>
        <v>2.200000000000002E-2</v>
      </c>
      <c r="N19" s="480">
        <f t="shared" ref="N19" si="24">N18/M18-1</f>
        <v>2.3500000000000076E-2</v>
      </c>
      <c r="O19" s="480">
        <f t="shared" ref="O19" si="25">O18/N18-1</f>
        <v>2.4999999999999911E-2</v>
      </c>
      <c r="P19" s="480">
        <f t="shared" ref="P19" si="26">P18/O18-1</f>
        <v>2.3500000000000076E-2</v>
      </c>
      <c r="Q19" s="480">
        <f t="shared" ref="Q19" si="27">Q18/P18-1</f>
        <v>2.4000000000000021E-2</v>
      </c>
      <c r="R19" s="480">
        <f t="shared" ref="R19" si="28">R18/Q18-1</f>
        <v>2.4499999999999966E-2</v>
      </c>
      <c r="S19" s="480">
        <f t="shared" ref="S19" si="29">S18/R18-1</f>
        <v>2.4999999999999911E-2</v>
      </c>
      <c r="T19" s="480">
        <f t="shared" ref="T19" si="30">T18/S18-1</f>
        <v>2.5239414569422136E-2</v>
      </c>
      <c r="U19" s="480">
        <f t="shared" ref="U19" si="31">U18/T18-1</f>
        <v>2.5481121912286353E-2</v>
      </c>
    </row>
    <row r="20" spans="3:21" hidden="1" outlineLevel="1">
      <c r="C20" s="403" t="s">
        <v>615</v>
      </c>
      <c r="D20" s="403"/>
      <c r="E20" s="480"/>
      <c r="F20" s="480"/>
      <c r="G20" s="564"/>
      <c r="H20" s="564"/>
      <c r="I20" s="480">
        <f>I18/I8</f>
        <v>2.1457996221449116E-2</v>
      </c>
      <c r="J20" s="480">
        <f>J18/J8</f>
        <v>4.6304442249647956E-2</v>
      </c>
      <c r="K20" s="685">
        <v>4.4999999999999998E-2</v>
      </c>
      <c r="L20" s="598">
        <f t="shared" ref="L20:U20" si="32">K20</f>
        <v>4.4999999999999998E-2</v>
      </c>
      <c r="M20" s="598">
        <f t="shared" si="32"/>
        <v>4.4999999999999998E-2</v>
      </c>
      <c r="N20" s="598">
        <f t="shared" si="32"/>
        <v>4.4999999999999998E-2</v>
      </c>
      <c r="O20" s="598">
        <f t="shared" si="32"/>
        <v>4.4999999999999998E-2</v>
      </c>
      <c r="P20" s="598">
        <f t="shared" si="32"/>
        <v>4.4999999999999998E-2</v>
      </c>
      <c r="Q20" s="598">
        <f t="shared" si="32"/>
        <v>4.4999999999999998E-2</v>
      </c>
      <c r="R20" s="598">
        <f t="shared" si="32"/>
        <v>4.4999999999999998E-2</v>
      </c>
      <c r="S20" s="598">
        <f t="shared" si="32"/>
        <v>4.4999999999999998E-2</v>
      </c>
      <c r="T20" s="598">
        <f t="shared" si="32"/>
        <v>4.4999999999999998E-2</v>
      </c>
      <c r="U20" s="598">
        <f t="shared" si="32"/>
        <v>4.4999999999999998E-2</v>
      </c>
    </row>
    <row r="21" spans="3:21" collapsed="1">
      <c r="C21" s="401" t="s">
        <v>597</v>
      </c>
      <c r="D21" s="406"/>
      <c r="E21" s="567"/>
      <c r="F21" s="567"/>
      <c r="G21" s="567"/>
      <c r="H21" s="567"/>
      <c r="I21" s="567">
        <f>I13+I15+I18</f>
        <v>564.02099999999973</v>
      </c>
      <c r="J21" s="567">
        <f>J13+J15+J18</f>
        <v>682.93100000000027</v>
      </c>
      <c r="K21" s="686">
        <f>K13+K15+K18</f>
        <v>652.71640190981498</v>
      </c>
      <c r="L21" s="575">
        <f t="shared" ref="L21:U21" si="33">L13+L15+L18</f>
        <v>669.08392384362321</v>
      </c>
      <c r="M21" s="575">
        <f t="shared" si="33"/>
        <v>683.80377016818295</v>
      </c>
      <c r="N21" s="575">
        <f t="shared" si="33"/>
        <v>699.87315876713558</v>
      </c>
      <c r="O21" s="575">
        <f t="shared" si="33"/>
        <v>717.36998773631365</v>
      </c>
      <c r="P21" s="575">
        <f t="shared" si="33"/>
        <v>734.22818244811731</v>
      </c>
      <c r="Q21" s="575">
        <f t="shared" si="33"/>
        <v>751.84965882687197</v>
      </c>
      <c r="R21" s="575">
        <f t="shared" si="33"/>
        <v>770.26997546813027</v>
      </c>
      <c r="S21" s="575">
        <f>S13+S15+S18</f>
        <v>789.52672485483379</v>
      </c>
      <c r="T21" s="575">
        <f t="shared" si="33"/>
        <v>809.45391717708287</v>
      </c>
      <c r="U21" s="575">
        <f t="shared" si="33"/>
        <v>830.07971112304972</v>
      </c>
    </row>
    <row r="22" spans="3:21">
      <c r="C22" s="406" t="s">
        <v>497</v>
      </c>
      <c r="D22" s="406"/>
      <c r="E22" s="542"/>
      <c r="F22" s="542"/>
      <c r="G22" s="568"/>
      <c r="H22" s="568"/>
      <c r="I22" s="551">
        <f t="shared" ref="I22:U22" si="34">I21/I8</f>
        <v>0.13251971451053288</v>
      </c>
      <c r="J22" s="551">
        <f t="shared" si="34"/>
        <v>0.15744690759630137</v>
      </c>
      <c r="K22" s="687">
        <f t="shared" si="34"/>
        <v>0.14807308395649879</v>
      </c>
      <c r="L22" s="597">
        <f t="shared" si="34"/>
        <v>0.14807308395649876</v>
      </c>
      <c r="M22" s="597">
        <f t="shared" si="34"/>
        <v>0.14807308395649876</v>
      </c>
      <c r="N22" s="597">
        <f t="shared" si="34"/>
        <v>0.14807308395649882</v>
      </c>
      <c r="O22" s="597">
        <f t="shared" si="34"/>
        <v>0.14807308395649876</v>
      </c>
      <c r="P22" s="597">
        <f t="shared" si="34"/>
        <v>0.14807308395649882</v>
      </c>
      <c r="Q22" s="597">
        <f t="shared" si="34"/>
        <v>0.14807308395649876</v>
      </c>
      <c r="R22" s="597">
        <f t="shared" si="34"/>
        <v>0.14807308395649876</v>
      </c>
      <c r="S22" s="597">
        <f t="shared" si="34"/>
        <v>0.14807308395649882</v>
      </c>
      <c r="T22" s="597">
        <f t="shared" si="34"/>
        <v>0.14807308395649879</v>
      </c>
      <c r="U22" s="597">
        <f t="shared" si="34"/>
        <v>0.14807308395649876</v>
      </c>
    </row>
    <row r="23" spans="3:21" hidden="1" outlineLevel="1">
      <c r="C23" s="403" t="s">
        <v>498</v>
      </c>
      <c r="D23" s="403"/>
      <c r="E23" s="480"/>
      <c r="F23" s="480"/>
      <c r="G23" s="564"/>
      <c r="H23" s="564"/>
      <c r="I23" s="480"/>
      <c r="J23" s="480">
        <f>J21/I21-1</f>
        <v>0.21082548344831231</v>
      </c>
      <c r="K23" s="887">
        <f>K21/J21-1</f>
        <v>-4.4242534150866319E-2</v>
      </c>
      <c r="L23" s="480">
        <f t="shared" ref="L23:U23" si="35">L21/K21-1</f>
        <v>2.5076008333661859E-2</v>
      </c>
      <c r="M23" s="480">
        <f t="shared" si="35"/>
        <v>2.200000000000002E-2</v>
      </c>
      <c r="N23" s="480">
        <f t="shared" si="35"/>
        <v>2.350000000000052E-2</v>
      </c>
      <c r="O23" s="480">
        <f t="shared" si="35"/>
        <v>2.4999999999999467E-2</v>
      </c>
      <c r="P23" s="480">
        <f t="shared" si="35"/>
        <v>2.3500000000000298E-2</v>
      </c>
      <c r="Q23" s="480">
        <f t="shared" si="35"/>
        <v>2.3999999999999799E-2</v>
      </c>
      <c r="R23" s="480">
        <f t="shared" si="35"/>
        <v>2.4499999999999966E-2</v>
      </c>
      <c r="S23" s="480">
        <f t="shared" si="35"/>
        <v>2.5000000000000355E-2</v>
      </c>
      <c r="T23" s="480">
        <f t="shared" si="35"/>
        <v>2.5239414569421914E-2</v>
      </c>
      <c r="U23" s="480">
        <f t="shared" si="35"/>
        <v>2.5481121912286131E-2</v>
      </c>
    </row>
    <row r="24" spans="3:21" collapsed="1">
      <c r="C24" s="399" t="s">
        <v>598</v>
      </c>
      <c r="D24" s="406"/>
      <c r="E24" s="542"/>
      <c r="F24" s="542"/>
      <c r="G24" s="568"/>
      <c r="H24" s="568"/>
      <c r="I24" s="830">
        <v>-75.427999999999997</v>
      </c>
      <c r="J24" s="830">
        <v>-67.100999999999999</v>
      </c>
      <c r="K24" s="888">
        <f t="shared" ref="K24:U24" si="36">K50</f>
        <v>-84.967876611157422</v>
      </c>
      <c r="L24" s="576">
        <f t="shared" si="36"/>
        <v>-103.28278316911273</v>
      </c>
      <c r="M24" s="576">
        <f t="shared" si="36"/>
        <v>-122.00061767134305</v>
      </c>
      <c r="N24" s="576">
        <f t="shared" si="36"/>
        <v>-141.1583212843758</v>
      </c>
      <c r="O24" s="576">
        <f t="shared" si="36"/>
        <v>-160.79496748773437</v>
      </c>
      <c r="P24" s="576">
        <f t="shared" si="36"/>
        <v>-180.89307487687188</v>
      </c>
      <c r="Q24" s="576">
        <f t="shared" si="36"/>
        <v>-201.47353684334868</v>
      </c>
      <c r="R24" s="576">
        <f t="shared" si="36"/>
        <v>-222.55822012800417</v>
      </c>
      <c r="S24" s="576">
        <f t="shared" si="36"/>
        <v>-244.17002049477605</v>
      </c>
      <c r="T24" s="576">
        <f t="shared" si="36"/>
        <v>-266.32729005059645</v>
      </c>
      <c r="U24" s="576">
        <f t="shared" si="36"/>
        <v>-289.04915169321214</v>
      </c>
    </row>
    <row r="25" spans="3:21" ht="6" customHeight="1">
      <c r="C25" s="399"/>
      <c r="D25" s="406"/>
      <c r="E25" s="542"/>
      <c r="F25" s="542"/>
      <c r="G25" s="568"/>
      <c r="H25" s="568"/>
      <c r="I25" s="568"/>
      <c r="J25" s="568"/>
      <c r="K25" s="888"/>
      <c r="L25" s="576"/>
      <c r="M25" s="576"/>
      <c r="N25" s="576"/>
      <c r="O25" s="576"/>
      <c r="P25" s="576"/>
      <c r="Q25" s="576"/>
      <c r="R25" s="576"/>
      <c r="S25" s="576"/>
      <c r="T25" s="576"/>
      <c r="U25" s="576"/>
    </row>
    <row r="26" spans="3:21">
      <c r="C26" s="401" t="s">
        <v>600</v>
      </c>
      <c r="D26" s="401"/>
      <c r="E26" s="567"/>
      <c r="F26" s="567"/>
      <c r="G26" s="567"/>
      <c r="H26" s="567"/>
      <c r="I26" s="567">
        <f>I21+I24</f>
        <v>488.59299999999973</v>
      </c>
      <c r="J26" s="567">
        <f>J21+J24</f>
        <v>615.83000000000027</v>
      </c>
      <c r="K26" s="686">
        <f>K21+K24</f>
        <v>567.74852529865757</v>
      </c>
      <c r="L26" s="575">
        <f t="shared" ref="L26:U26" si="37">L21+L24</f>
        <v>565.80114067451052</v>
      </c>
      <c r="M26" s="575">
        <f t="shared" si="37"/>
        <v>561.80315249683986</v>
      </c>
      <c r="N26" s="575">
        <f t="shared" si="37"/>
        <v>558.71483748275978</v>
      </c>
      <c r="O26" s="575">
        <f t="shared" si="37"/>
        <v>556.57502024857922</v>
      </c>
      <c r="P26" s="575">
        <f t="shared" si="37"/>
        <v>553.33510757124543</v>
      </c>
      <c r="Q26" s="575">
        <f t="shared" si="37"/>
        <v>550.37612198352326</v>
      </c>
      <c r="R26" s="575">
        <f>R21+R24</f>
        <v>547.71175534012605</v>
      </c>
      <c r="S26" s="575">
        <f t="shared" si="37"/>
        <v>545.35670436005773</v>
      </c>
      <c r="T26" s="575">
        <f t="shared" si="37"/>
        <v>543.12662712648648</v>
      </c>
      <c r="U26" s="575">
        <f t="shared" si="37"/>
        <v>541.03055942983758</v>
      </c>
    </row>
    <row r="27" spans="3:21">
      <c r="C27" s="406" t="s">
        <v>654</v>
      </c>
      <c r="D27" s="406"/>
      <c r="E27" s="551"/>
      <c r="F27" s="551"/>
      <c r="G27" s="551"/>
      <c r="H27" s="551"/>
      <c r="I27" s="551">
        <f t="shared" ref="I27:U27" si="38">I26/I8</f>
        <v>0.11479750731239578</v>
      </c>
      <c r="J27" s="551">
        <f t="shared" si="38"/>
        <v>0.14197705054394993</v>
      </c>
      <c r="K27" s="687">
        <f t="shared" si="38"/>
        <v>0.12879755251552896</v>
      </c>
      <c r="L27" s="597">
        <f t="shared" si="38"/>
        <v>0.12521586129957654</v>
      </c>
      <c r="M27" s="597">
        <f t="shared" si="38"/>
        <v>0.12165467491679667</v>
      </c>
      <c r="N27" s="597">
        <f t="shared" si="38"/>
        <v>0.11820803241556051</v>
      </c>
      <c r="O27" s="597">
        <f t="shared" si="38"/>
        <v>0.11488322777680939</v>
      </c>
      <c r="P27" s="597">
        <f t="shared" si="38"/>
        <v>0.11159206061293489</v>
      </c>
      <c r="Q27" s="597">
        <f t="shared" si="38"/>
        <v>0.10839386406755618</v>
      </c>
      <c r="R27" s="597">
        <f t="shared" si="38"/>
        <v>0.10528953654613186</v>
      </c>
      <c r="S27" s="597">
        <f t="shared" si="38"/>
        <v>0.10227981717248889</v>
      </c>
      <c r="T27" s="597">
        <f t="shared" si="38"/>
        <v>9.9353938440347761E-2</v>
      </c>
      <c r="U27" s="597">
        <f t="shared" si="38"/>
        <v>9.6511289670119585E-2</v>
      </c>
    </row>
    <row r="28" spans="3:21" ht="5.25" customHeight="1">
      <c r="C28" s="352"/>
      <c r="D28" s="352"/>
      <c r="E28" s="352"/>
      <c r="F28" s="352"/>
      <c r="G28" s="352"/>
      <c r="H28" s="352"/>
      <c r="I28" s="352"/>
      <c r="J28" s="352"/>
      <c r="K28" s="626"/>
    </row>
    <row r="29" spans="3:21">
      <c r="C29" s="401" t="s">
        <v>521</v>
      </c>
      <c r="D29" s="401"/>
      <c r="E29" s="562"/>
      <c r="F29" s="562"/>
      <c r="G29" s="562"/>
      <c r="H29" s="562"/>
      <c r="I29" s="562">
        <f>I30+I31+I32</f>
        <v>-24.254300000000008</v>
      </c>
      <c r="J29" s="562">
        <f>J30+J31+J32</f>
        <v>-77.075000000000003</v>
      </c>
      <c r="K29" s="679">
        <f t="shared" ref="K29:U29" si="39">K30+K31+K32</f>
        <v>58.453054616788449</v>
      </c>
      <c r="L29" s="570">
        <f t="shared" si="39"/>
        <v>78.832876905891979</v>
      </c>
      <c r="M29" s="570">
        <f t="shared" si="39"/>
        <v>80.989220267624361</v>
      </c>
      <c r="N29" s="570">
        <f t="shared" si="39"/>
        <v>69.220981024563528</v>
      </c>
      <c r="O29" s="570">
        <f t="shared" si="39"/>
        <v>58.090225937179603</v>
      </c>
      <c r="P29" s="570">
        <f t="shared" si="39"/>
        <v>51.747596832408711</v>
      </c>
      <c r="Q29" s="570">
        <f t="shared" si="39"/>
        <v>58.023108173709154</v>
      </c>
      <c r="R29" s="570">
        <f t="shared" si="39"/>
        <v>69.728436281754867</v>
      </c>
      <c r="S29" s="570">
        <f t="shared" si="39"/>
        <v>84.92992036902929</v>
      </c>
      <c r="T29" s="570">
        <f t="shared" si="39"/>
        <v>101.72751485203545</v>
      </c>
      <c r="U29" s="570">
        <f t="shared" si="39"/>
        <v>117.19843947822311</v>
      </c>
    </row>
    <row r="30" spans="3:21" hidden="1" outlineLevel="1">
      <c r="C30" s="406" t="s">
        <v>522</v>
      </c>
      <c r="D30" s="406"/>
      <c r="E30" s="504"/>
      <c r="F30" s="504"/>
      <c r="G30" s="504"/>
      <c r="H30" s="565"/>
      <c r="I30" s="831">
        <v>175.042</v>
      </c>
      <c r="J30" s="831">
        <v>53.319000000000003</v>
      </c>
      <c r="K30" s="678">
        <f>K199</f>
        <v>106.02010270756246</v>
      </c>
      <c r="L30" s="569">
        <f t="shared" ref="L30:T30" si="40">L199</f>
        <v>96.892114773835488</v>
      </c>
      <c r="M30" s="569">
        <f t="shared" si="40"/>
        <v>97.806867363530372</v>
      </c>
      <c r="N30" s="569">
        <f t="shared" si="40"/>
        <v>81.70396428763398</v>
      </c>
      <c r="O30" s="569">
        <f t="shared" si="40"/>
        <v>65.935941944054605</v>
      </c>
      <c r="P30" s="569">
        <f>P199</f>
        <v>57.008613517408712</v>
      </c>
      <c r="Q30" s="569">
        <f t="shared" si="40"/>
        <v>60.028423606209152</v>
      </c>
      <c r="R30" s="569">
        <f t="shared" si="40"/>
        <v>69.728436281754867</v>
      </c>
      <c r="S30" s="569">
        <f t="shared" si="40"/>
        <v>84.92992036902929</v>
      </c>
      <c r="T30" s="569">
        <f t="shared" si="40"/>
        <v>101.72751485203545</v>
      </c>
      <c r="U30" s="569">
        <f>U199</f>
        <v>117.19843947822311</v>
      </c>
    </row>
    <row r="31" spans="3:21" hidden="1" outlineLevel="1">
      <c r="C31" s="406" t="s">
        <v>523</v>
      </c>
      <c r="D31" s="406"/>
      <c r="E31" s="504"/>
      <c r="F31" s="504"/>
      <c r="G31" s="504"/>
      <c r="H31" s="565"/>
      <c r="I31" s="831">
        <v>-153.53800000000001</v>
      </c>
      <c r="J31" s="831">
        <v>-78.84</v>
      </c>
      <c r="K31" s="678">
        <f>K162+K189+K171</f>
        <v>-23.298463722888528</v>
      </c>
      <c r="L31" s="569">
        <f t="shared" ref="L31:U31" si="41">L162+L189+L171</f>
        <v>-16.049077387825601</v>
      </c>
      <c r="M31" s="569">
        <f t="shared" si="41"/>
        <v>-15.92555991641882</v>
      </c>
      <c r="N31" s="569">
        <f t="shared" si="41"/>
        <v>-11.44797566813377</v>
      </c>
      <c r="O31" s="569">
        <f t="shared" si="41"/>
        <v>-7.5268176849999993</v>
      </c>
      <c r="P31" s="569">
        <f t="shared" si="41"/>
        <v>-5.2610166849999995</v>
      </c>
      <c r="Q31" s="569">
        <f t="shared" si="41"/>
        <v>-2.0053154324999998</v>
      </c>
      <c r="R31" s="569">
        <f t="shared" si="41"/>
        <v>0</v>
      </c>
      <c r="S31" s="569">
        <f t="shared" si="41"/>
        <v>0</v>
      </c>
      <c r="T31" s="569">
        <f t="shared" si="41"/>
        <v>0</v>
      </c>
      <c r="U31" s="569">
        <f t="shared" si="41"/>
        <v>0</v>
      </c>
    </row>
    <row r="32" spans="3:21" hidden="1" outlineLevel="1">
      <c r="C32" s="406" t="s">
        <v>655</v>
      </c>
      <c r="D32" s="406"/>
      <c r="E32" s="504"/>
      <c r="F32" s="504"/>
      <c r="G32" s="504"/>
      <c r="H32" s="565"/>
      <c r="I32" s="831">
        <v>-45.758299999999998</v>
      </c>
      <c r="J32" s="831">
        <v>-51.554000000000002</v>
      </c>
      <c r="K32" s="678">
        <f>-K187</f>
        <v>-24.268584367885481</v>
      </c>
      <c r="L32" s="569">
        <f t="shared" ref="L32:U32" si="42">-L187</f>
        <v>-2.0101604801179054</v>
      </c>
      <c r="M32" s="569">
        <f t="shared" si="42"/>
        <v>-0.89208717948719163</v>
      </c>
      <c r="N32" s="569">
        <f t="shared" si="42"/>
        <v>-1.035007594936687</v>
      </c>
      <c r="O32" s="569">
        <f>-O187</f>
        <v>-0.31889832187500528</v>
      </c>
      <c r="P32" s="569">
        <f t="shared" si="42"/>
        <v>0</v>
      </c>
      <c r="Q32" s="569">
        <f t="shared" si="42"/>
        <v>0</v>
      </c>
      <c r="R32" s="569">
        <f t="shared" si="42"/>
        <v>0</v>
      </c>
      <c r="S32" s="569">
        <f>-S187</f>
        <v>0</v>
      </c>
      <c r="T32" s="569">
        <f t="shared" si="42"/>
        <v>0</v>
      </c>
      <c r="U32" s="569">
        <f t="shared" si="42"/>
        <v>0</v>
      </c>
    </row>
    <row r="33" spans="2:22" collapsed="1">
      <c r="C33" s="401" t="s">
        <v>524</v>
      </c>
      <c r="D33" s="401"/>
      <c r="E33" s="562"/>
      <c r="F33" s="562"/>
      <c r="G33" s="562"/>
      <c r="H33" s="562"/>
      <c r="I33" s="562">
        <f t="shared" ref="I33:U33" si="43">I26+I29</f>
        <v>464.33869999999973</v>
      </c>
      <c r="J33" s="562">
        <f t="shared" si="43"/>
        <v>538.75500000000022</v>
      </c>
      <c r="K33" s="679">
        <f t="shared" si="43"/>
        <v>626.20157991544602</v>
      </c>
      <c r="L33" s="570">
        <f t="shared" si="43"/>
        <v>644.63401758040254</v>
      </c>
      <c r="M33" s="570">
        <f t="shared" si="43"/>
        <v>642.79237276446418</v>
      </c>
      <c r="N33" s="570">
        <f t="shared" si="43"/>
        <v>627.93581850732335</v>
      </c>
      <c r="O33" s="570">
        <f t="shared" si="43"/>
        <v>614.66524618575886</v>
      </c>
      <c r="P33" s="570">
        <f t="shared" si="43"/>
        <v>605.08270440365413</v>
      </c>
      <c r="Q33" s="570">
        <f t="shared" si="43"/>
        <v>608.39923015723241</v>
      </c>
      <c r="R33" s="570">
        <f t="shared" si="43"/>
        <v>617.4401916218809</v>
      </c>
      <c r="S33" s="570">
        <f t="shared" si="43"/>
        <v>630.28662472908707</v>
      </c>
      <c r="T33" s="570">
        <f t="shared" si="43"/>
        <v>644.85414197852197</v>
      </c>
      <c r="U33" s="570">
        <f t="shared" si="43"/>
        <v>658.2289989080607</v>
      </c>
    </row>
    <row r="34" spans="2:22">
      <c r="C34" s="401" t="s">
        <v>525</v>
      </c>
      <c r="D34" s="401"/>
      <c r="E34" s="562"/>
      <c r="F34" s="562"/>
      <c r="G34" s="562"/>
      <c r="H34" s="562"/>
      <c r="I34" s="562">
        <f t="shared" ref="I34:U34" si="44">I36+I38</f>
        <v>-100.146</v>
      </c>
      <c r="J34" s="562">
        <f t="shared" si="44"/>
        <v>-142.476</v>
      </c>
      <c r="K34" s="679">
        <f t="shared" si="44"/>
        <v>-176.5503949788615</v>
      </c>
      <c r="L34" s="570">
        <f t="shared" si="44"/>
        <v>-181.15850439510064</v>
      </c>
      <c r="M34" s="570">
        <f t="shared" si="44"/>
        <v>-180.69809319111604</v>
      </c>
      <c r="N34" s="570">
        <f t="shared" si="44"/>
        <v>-176.98395462683084</v>
      </c>
      <c r="O34" s="570">
        <f t="shared" si="44"/>
        <v>-173.66631154643972</v>
      </c>
      <c r="P34" s="570">
        <f t="shared" si="44"/>
        <v>-171.27067610091353</v>
      </c>
      <c r="Q34" s="570">
        <f t="shared" si="44"/>
        <v>-172.0998075393081</v>
      </c>
      <c r="R34" s="570">
        <f t="shared" si="44"/>
        <v>-174.36004790547022</v>
      </c>
      <c r="S34" s="570">
        <f t="shared" si="44"/>
        <v>-177.57165618227177</v>
      </c>
      <c r="T34" s="570">
        <f t="shared" si="44"/>
        <v>-181.21353549463049</v>
      </c>
      <c r="U34" s="570">
        <f t="shared" si="44"/>
        <v>-184.55724972701518</v>
      </c>
    </row>
    <row r="35" spans="2:22" hidden="1" outlineLevel="1">
      <c r="C35" s="403" t="s">
        <v>723</v>
      </c>
      <c r="D35" s="401"/>
      <c r="E35" s="538"/>
      <c r="F35" s="538"/>
      <c r="G35" s="562"/>
      <c r="H35" s="562"/>
      <c r="I35" s="471">
        <f>I34/I33</f>
        <v>-0.21567446348968988</v>
      </c>
      <c r="J35" s="471">
        <f>J34/J33</f>
        <v>-0.26445415819806767</v>
      </c>
      <c r="K35" s="889">
        <f t="shared" ref="K35:U35" si="45">K34/K33</f>
        <v>-0.28193859715700581</v>
      </c>
      <c r="L35" s="594">
        <f t="shared" si="45"/>
        <v>-0.28102535617817515</v>
      </c>
      <c r="M35" s="594">
        <f t="shared" si="45"/>
        <v>-0.28111424597959334</v>
      </c>
      <c r="N35" s="594">
        <f t="shared" si="45"/>
        <v>-0.28185038886226038</v>
      </c>
      <c r="O35" s="594">
        <f t="shared" si="45"/>
        <v>-0.28253803614912004</v>
      </c>
      <c r="P35" s="594">
        <f t="shared" si="45"/>
        <v>-0.28305333279970579</v>
      </c>
      <c r="Q35" s="594">
        <f t="shared" si="45"/>
        <v>-0.28287315139243563</v>
      </c>
      <c r="R35" s="594">
        <f t="shared" si="45"/>
        <v>-0.28239180129732783</v>
      </c>
      <c r="S35" s="594">
        <f t="shared" si="45"/>
        <v>-0.28173159514307716</v>
      </c>
      <c r="T35" s="594">
        <f t="shared" si="45"/>
        <v>-0.28101476550749382</v>
      </c>
      <c r="U35" s="594">
        <f t="shared" si="45"/>
        <v>-0.28038456226203662</v>
      </c>
    </row>
    <row r="36" spans="2:22" collapsed="1">
      <c r="C36" s="406" t="s">
        <v>526</v>
      </c>
      <c r="D36" s="406"/>
      <c r="E36" s="504"/>
      <c r="F36" s="504"/>
      <c r="G36" s="504"/>
      <c r="H36" s="504"/>
      <c r="I36" s="828">
        <v>-108.324</v>
      </c>
      <c r="J36" s="828">
        <v>-107.994</v>
      </c>
      <c r="K36" s="688">
        <f>K37*K33</f>
        <v>-156.5503949788615</v>
      </c>
      <c r="L36" s="577">
        <f t="shared" ref="L36:U36" si="46">L37*L33</f>
        <v>-161.15850439510064</v>
      </c>
      <c r="M36" s="577">
        <f t="shared" si="46"/>
        <v>-160.69809319111604</v>
      </c>
      <c r="N36" s="577">
        <f t="shared" si="46"/>
        <v>-156.98395462683084</v>
      </c>
      <c r="O36" s="577">
        <f t="shared" si="46"/>
        <v>-153.66631154643972</v>
      </c>
      <c r="P36" s="577">
        <f t="shared" si="46"/>
        <v>-151.27067610091353</v>
      </c>
      <c r="Q36" s="577">
        <f t="shared" si="46"/>
        <v>-152.0998075393081</v>
      </c>
      <c r="R36" s="577">
        <f t="shared" si="46"/>
        <v>-154.36004790547022</v>
      </c>
      <c r="S36" s="577">
        <f t="shared" si="46"/>
        <v>-157.57165618227177</v>
      </c>
      <c r="T36" s="577">
        <f t="shared" si="46"/>
        <v>-161.21353549463049</v>
      </c>
      <c r="U36" s="577">
        <f t="shared" si="46"/>
        <v>-164.55724972701518</v>
      </c>
    </row>
    <row r="37" spans="2:22" hidden="1" outlineLevel="1">
      <c r="C37" s="403" t="s">
        <v>723</v>
      </c>
      <c r="D37" s="406"/>
      <c r="E37" s="504"/>
      <c r="F37" s="504"/>
      <c r="G37" s="504"/>
      <c r="H37" s="504"/>
      <c r="I37" s="471">
        <f>I36/I33</f>
        <v>-0.23328660738379131</v>
      </c>
      <c r="J37" s="471">
        <f>J36/J33</f>
        <v>-0.20045103989754148</v>
      </c>
      <c r="K37" s="890">
        <v>-0.25</v>
      </c>
      <c r="L37" s="726">
        <f t="shared" ref="L37:U37" si="47">K37</f>
        <v>-0.25</v>
      </c>
      <c r="M37" s="726">
        <f t="shared" si="47"/>
        <v>-0.25</v>
      </c>
      <c r="N37" s="726">
        <f t="shared" si="47"/>
        <v>-0.25</v>
      </c>
      <c r="O37" s="726">
        <f t="shared" si="47"/>
        <v>-0.25</v>
      </c>
      <c r="P37" s="726">
        <f t="shared" si="47"/>
        <v>-0.25</v>
      </c>
      <c r="Q37" s="726">
        <f t="shared" si="47"/>
        <v>-0.25</v>
      </c>
      <c r="R37" s="726">
        <f t="shared" si="47"/>
        <v>-0.25</v>
      </c>
      <c r="S37" s="726">
        <f t="shared" si="47"/>
        <v>-0.25</v>
      </c>
      <c r="T37" s="726">
        <f t="shared" si="47"/>
        <v>-0.25</v>
      </c>
      <c r="U37" s="726">
        <f t="shared" si="47"/>
        <v>-0.25</v>
      </c>
    </row>
    <row r="38" spans="2:22" collapsed="1">
      <c r="C38" s="406" t="s">
        <v>527</v>
      </c>
      <c r="D38" s="406"/>
      <c r="E38" s="504"/>
      <c r="F38" s="504"/>
      <c r="G38" s="504"/>
      <c r="H38" s="504"/>
      <c r="I38" s="828">
        <v>8.1780000000000008</v>
      </c>
      <c r="J38" s="828">
        <v>-34.481999999999999</v>
      </c>
      <c r="K38" s="688">
        <v>-20</v>
      </c>
      <c r="L38" s="577">
        <v>-20</v>
      </c>
      <c r="M38" s="577">
        <v>-20</v>
      </c>
      <c r="N38" s="577">
        <v>-20</v>
      </c>
      <c r="O38" s="577">
        <v>-20</v>
      </c>
      <c r="P38" s="577">
        <v>-20</v>
      </c>
      <c r="Q38" s="577">
        <v>-20</v>
      </c>
      <c r="R38" s="577">
        <v>-20</v>
      </c>
      <c r="S38" s="577">
        <v>-20</v>
      </c>
      <c r="T38" s="577">
        <v>-20</v>
      </c>
      <c r="U38" s="577">
        <v>-20</v>
      </c>
    </row>
    <row r="39" spans="2:22">
      <c r="C39" s="401" t="s">
        <v>528</v>
      </c>
      <c r="D39" s="401"/>
      <c r="E39" s="562"/>
      <c r="F39" s="562"/>
      <c r="G39" s="562"/>
      <c r="H39" s="562"/>
      <c r="I39" s="562">
        <f t="shared" ref="I39:U39" si="48">I33+I34</f>
        <v>364.19269999999972</v>
      </c>
      <c r="J39" s="562">
        <f t="shared" si="48"/>
        <v>396.27900000000022</v>
      </c>
      <c r="K39" s="679">
        <f t="shared" si="48"/>
        <v>449.65118493658451</v>
      </c>
      <c r="L39" s="570">
        <f t="shared" si="48"/>
        <v>463.47551318530191</v>
      </c>
      <c r="M39" s="570">
        <f t="shared" si="48"/>
        <v>462.0942795733481</v>
      </c>
      <c r="N39" s="570">
        <f t="shared" si="48"/>
        <v>450.95186388049251</v>
      </c>
      <c r="O39" s="570">
        <f t="shared" si="48"/>
        <v>440.99893463931915</v>
      </c>
      <c r="P39" s="570">
        <f t="shared" si="48"/>
        <v>433.8120283027406</v>
      </c>
      <c r="Q39" s="570">
        <f t="shared" si="48"/>
        <v>436.29942261792428</v>
      </c>
      <c r="R39" s="570">
        <f t="shared" si="48"/>
        <v>443.0801437164107</v>
      </c>
      <c r="S39" s="570">
        <f t="shared" si="48"/>
        <v>452.71496854681527</v>
      </c>
      <c r="T39" s="570">
        <f t="shared" si="48"/>
        <v>463.64060648389147</v>
      </c>
      <c r="U39" s="570">
        <f t="shared" si="48"/>
        <v>473.67174918104553</v>
      </c>
    </row>
    <row r="40" spans="2:22">
      <c r="C40" s="406" t="s">
        <v>615</v>
      </c>
      <c r="D40" s="406"/>
      <c r="E40" s="362"/>
      <c r="F40" s="362"/>
      <c r="G40" s="362"/>
      <c r="H40" s="362"/>
      <c r="I40" s="362">
        <f t="shared" ref="I40:U40" si="49">I39/I8</f>
        <v>8.5568999435872303E-2</v>
      </c>
      <c r="J40" s="362">
        <f t="shared" si="49"/>
        <v>9.136047872384577E-2</v>
      </c>
      <c r="K40" s="631">
        <f t="shared" si="49"/>
        <v>0.10200638050988259</v>
      </c>
      <c r="L40" s="363">
        <f t="shared" si="49"/>
        <v>0.10257046407784892</v>
      </c>
      <c r="M40" s="363">
        <f t="shared" si="49"/>
        <v>0.10006339251135341</v>
      </c>
      <c r="N40" s="363">
        <f t="shared" si="49"/>
        <v>9.5408478471072561E-2</v>
      </c>
      <c r="O40" s="363">
        <f t="shared" si="49"/>
        <v>9.1027047952802018E-2</v>
      </c>
      <c r="P40" s="363">
        <f t="shared" si="49"/>
        <v>8.7487631806818913E-2</v>
      </c>
      <c r="Q40" s="363">
        <f t="shared" si="49"/>
        <v>8.5927020484759198E-2</v>
      </c>
      <c r="R40" s="363">
        <f t="shared" si="49"/>
        <v>8.5175646733607044E-2</v>
      </c>
      <c r="S40" s="363">
        <f t="shared" si="49"/>
        <v>8.4905170953296943E-2</v>
      </c>
      <c r="T40" s="363">
        <f t="shared" si="49"/>
        <v>8.4813592216531633E-2</v>
      </c>
      <c r="U40" s="363">
        <f t="shared" si="49"/>
        <v>8.4495543915190846E-2</v>
      </c>
    </row>
    <row r="41" spans="2:22">
      <c r="C41" s="406"/>
      <c r="D41" s="406"/>
      <c r="E41" s="362"/>
      <c r="F41" s="362"/>
      <c r="G41" s="362"/>
      <c r="H41" s="362"/>
      <c r="I41" s="362"/>
      <c r="J41" s="362"/>
      <c r="K41" s="631"/>
      <c r="L41" s="363"/>
      <c r="M41" s="363"/>
      <c r="N41" s="363"/>
      <c r="O41" s="363"/>
      <c r="P41" s="363"/>
      <c r="Q41" s="363"/>
      <c r="R41" s="363"/>
      <c r="S41" s="363"/>
      <c r="T41" s="363"/>
      <c r="U41" s="363"/>
    </row>
    <row r="42" spans="2:22">
      <c r="B42" s="475" t="s">
        <v>609</v>
      </c>
      <c r="C42" s="356"/>
      <c r="D42" s="476"/>
      <c r="E42" s="356"/>
      <c r="F42" s="356"/>
      <c r="G42" s="421"/>
      <c r="H42" s="421"/>
      <c r="I42" s="477"/>
      <c r="J42" s="477"/>
      <c r="K42" s="648"/>
      <c r="L42" s="483"/>
      <c r="M42" s="483"/>
      <c r="N42" s="483"/>
      <c r="O42" s="483"/>
      <c r="P42" s="483"/>
      <c r="Q42" s="483"/>
      <c r="R42" s="483"/>
      <c r="S42" s="483"/>
      <c r="T42" s="483"/>
      <c r="U42" s="483"/>
    </row>
    <row r="43" spans="2:22">
      <c r="C43" s="399" t="s">
        <v>608</v>
      </c>
      <c r="D43" s="474">
        <v>0.05</v>
      </c>
      <c r="E43" s="352"/>
      <c r="F43" s="400"/>
      <c r="G43" s="400"/>
      <c r="H43" s="400"/>
      <c r="I43" s="400">
        <f>I39*5%</f>
        <v>18.209634999999988</v>
      </c>
      <c r="J43" s="400">
        <f>J39*5%</f>
        <v>19.813950000000013</v>
      </c>
      <c r="K43" s="869">
        <f t="shared" ref="K43" si="50">K39*5%</f>
        <v>22.482559246829226</v>
      </c>
      <c r="L43" s="826">
        <f t="shared" ref="L43:U43" si="51">L39*5%</f>
        <v>23.173775659265097</v>
      </c>
      <c r="M43" s="826">
        <f t="shared" si="51"/>
        <v>23.104713978667405</v>
      </c>
      <c r="N43" s="826">
        <f t="shared" si="51"/>
        <v>22.547593194024628</v>
      </c>
      <c r="O43" s="826">
        <f t="shared" si="51"/>
        <v>22.04994673196596</v>
      </c>
      <c r="P43" s="826">
        <f t="shared" si="51"/>
        <v>21.690601415137031</v>
      </c>
      <c r="Q43" s="826">
        <f t="shared" si="51"/>
        <v>21.814971130896215</v>
      </c>
      <c r="R43" s="826">
        <f t="shared" si="51"/>
        <v>22.154007185820536</v>
      </c>
      <c r="S43" s="826">
        <f t="shared" si="51"/>
        <v>22.635748427340765</v>
      </c>
      <c r="T43" s="826">
        <f t="shared" si="51"/>
        <v>23.182030324194574</v>
      </c>
      <c r="U43" s="826">
        <f t="shared" si="51"/>
        <v>23.683587459052276</v>
      </c>
    </row>
    <row r="44" spans="2:22">
      <c r="C44" s="399" t="s">
        <v>602</v>
      </c>
      <c r="D44" s="406"/>
      <c r="E44" s="352"/>
      <c r="F44" s="352"/>
      <c r="G44" s="368"/>
      <c r="H44" s="368"/>
      <c r="I44" s="827">
        <f>250+I91</f>
        <v>256.74200000000002</v>
      </c>
      <c r="J44" s="827">
        <f>99.281+J91</f>
        <v>100.858</v>
      </c>
      <c r="K44" s="869">
        <f>MAX(0,(K39-K43)*K45)</f>
        <v>106.79215642243882</v>
      </c>
      <c r="L44" s="826">
        <f t="shared" ref="L44:U44" si="52">MAX(0,(L39-L43)*L45)</f>
        <v>110.0754343815092</v>
      </c>
      <c r="M44" s="826">
        <f t="shared" si="52"/>
        <v>109.74739139867017</v>
      </c>
      <c r="N44" s="826">
        <f t="shared" si="52"/>
        <v>107.10106767161697</v>
      </c>
      <c r="O44" s="826">
        <f t="shared" si="52"/>
        <v>104.73724697683829</v>
      </c>
      <c r="P44" s="826">
        <f t="shared" si="52"/>
        <v>103.03035672190089</v>
      </c>
      <c r="Q44" s="826">
        <f t="shared" si="52"/>
        <v>103.62111287175702</v>
      </c>
      <c r="R44" s="826">
        <f t="shared" si="52"/>
        <v>105.23153413264754</v>
      </c>
      <c r="S44" s="826">
        <f t="shared" si="52"/>
        <v>107.51980502986862</v>
      </c>
      <c r="T44" s="826">
        <f t="shared" si="52"/>
        <v>110.11464403992423</v>
      </c>
      <c r="U44" s="826">
        <f t="shared" si="52"/>
        <v>112.49704043049832</v>
      </c>
    </row>
    <row r="45" spans="2:22">
      <c r="C45" s="459" t="s">
        <v>594</v>
      </c>
      <c r="D45" s="459"/>
      <c r="E45" s="460"/>
      <c r="F45" s="460"/>
      <c r="G45" s="466"/>
      <c r="H45" s="466"/>
      <c r="I45" s="466">
        <f t="shared" ref="I45:J45" si="53">I44/(I39-I43)</f>
        <v>0.74206522218074522</v>
      </c>
      <c r="J45" s="466">
        <f t="shared" si="53"/>
        <v>0.26790800367789774</v>
      </c>
      <c r="K45" s="649">
        <v>0.25</v>
      </c>
      <c r="L45" s="500">
        <f>K45</f>
        <v>0.25</v>
      </c>
      <c r="M45" s="500">
        <f t="shared" ref="M45:U45" si="54">L45</f>
        <v>0.25</v>
      </c>
      <c r="N45" s="500">
        <f t="shared" si="54"/>
        <v>0.25</v>
      </c>
      <c r="O45" s="500">
        <f t="shared" si="54"/>
        <v>0.25</v>
      </c>
      <c r="P45" s="500">
        <f t="shared" si="54"/>
        <v>0.25</v>
      </c>
      <c r="Q45" s="500">
        <f t="shared" si="54"/>
        <v>0.25</v>
      </c>
      <c r="R45" s="500">
        <f t="shared" si="54"/>
        <v>0.25</v>
      </c>
      <c r="S45" s="500">
        <f t="shared" si="54"/>
        <v>0.25</v>
      </c>
      <c r="T45" s="500">
        <f t="shared" si="54"/>
        <v>0.25</v>
      </c>
      <c r="U45" s="500">
        <f t="shared" si="54"/>
        <v>0.25</v>
      </c>
    </row>
    <row r="46" spans="2:22">
      <c r="C46" s="406"/>
      <c r="D46" s="406"/>
      <c r="E46" s="362"/>
      <c r="F46" s="362"/>
      <c r="G46" s="362"/>
      <c r="H46" s="362"/>
      <c r="I46" s="362"/>
      <c r="J46" s="362"/>
      <c r="K46" s="631"/>
      <c r="L46" s="363"/>
      <c r="M46" s="363"/>
      <c r="N46" s="363"/>
      <c r="O46" s="363"/>
      <c r="P46" s="363"/>
      <c r="Q46" s="363"/>
      <c r="R46" s="363"/>
      <c r="S46" s="363"/>
      <c r="T46" s="363"/>
      <c r="U46" s="363"/>
    </row>
    <row r="47" spans="2:22">
      <c r="C47" s="406"/>
      <c r="D47" s="406"/>
      <c r="E47" s="362"/>
      <c r="F47" s="362"/>
      <c r="G47" s="362"/>
      <c r="H47" s="362"/>
      <c r="I47" s="362"/>
      <c r="J47" s="362"/>
      <c r="K47" s="631"/>
      <c r="L47" s="363"/>
      <c r="M47" s="363"/>
      <c r="N47" s="363"/>
      <c r="O47" s="363"/>
      <c r="P47" s="363"/>
      <c r="Q47" s="363"/>
      <c r="R47" s="363"/>
      <c r="S47" s="363"/>
      <c r="T47" s="363"/>
      <c r="U47" s="363"/>
    </row>
    <row r="48" spans="2:22">
      <c r="B48" s="420" t="s">
        <v>610</v>
      </c>
      <c r="C48" s="476"/>
      <c r="D48" s="476"/>
      <c r="E48" s="356"/>
      <c r="F48" s="356"/>
      <c r="G48" s="421"/>
      <c r="H48" s="421"/>
      <c r="I48" s="478"/>
      <c r="J48" s="478"/>
      <c r="K48" s="648"/>
      <c r="L48" s="483"/>
      <c r="M48" s="483"/>
      <c r="N48" s="484"/>
      <c r="O48" s="483"/>
      <c r="P48" s="483"/>
      <c r="Q48" s="483"/>
      <c r="R48" s="483"/>
      <c r="S48" s="483"/>
      <c r="T48" s="483"/>
      <c r="U48" s="483"/>
      <c r="V48" s="392"/>
    </row>
    <row r="49" spans="2:22">
      <c r="C49" s="399" t="s">
        <v>719</v>
      </c>
      <c r="D49" s="406"/>
      <c r="E49" s="352"/>
      <c r="F49" s="352"/>
      <c r="G49" s="368"/>
      <c r="H49" s="508"/>
      <c r="I49" s="833">
        <v>545.46</v>
      </c>
      <c r="J49" s="833">
        <v>564.07899999999995</v>
      </c>
      <c r="K49" s="891">
        <f>J49+K52</f>
        <v>714.27541871127198</v>
      </c>
      <c r="L49" s="836">
        <f t="shared" ref="L49" si="55">K49+L52</f>
        <v>868.23816406983406</v>
      </c>
      <c r="M49" s="836">
        <f t="shared" ref="M49:U49" si="56">L49+M52</f>
        <v>1025.5880898262844</v>
      </c>
      <c r="N49" s="836">
        <f t="shared" si="56"/>
        <v>1186.6357388380115</v>
      </c>
      <c r="O49" s="836">
        <f t="shared" si="56"/>
        <v>1351.7095790750318</v>
      </c>
      <c r="P49" s="836">
        <f t="shared" si="56"/>
        <v>1520.6626545576221</v>
      </c>
      <c r="Q49" s="836">
        <f t="shared" si="56"/>
        <v>1693.6706038517946</v>
      </c>
      <c r="R49" s="836">
        <f t="shared" si="56"/>
        <v>1870.9172479036743</v>
      </c>
      <c r="S49" s="836">
        <f t="shared" si="56"/>
        <v>2052.595058056851</v>
      </c>
      <c r="T49" s="836">
        <f t="shared" si="56"/>
        <v>2238.8583097785486</v>
      </c>
      <c r="U49" s="836">
        <f t="shared" si="56"/>
        <v>2429.8677581251454</v>
      </c>
      <c r="V49" s="392"/>
    </row>
    <row r="50" spans="2:22">
      <c r="C50" s="399" t="s">
        <v>611</v>
      </c>
      <c r="D50" s="406"/>
      <c r="E50" s="352"/>
      <c r="F50" s="352"/>
      <c r="G50" s="368"/>
      <c r="H50" s="508"/>
      <c r="I50" s="833">
        <f>I24</f>
        <v>-75.427999999999997</v>
      </c>
      <c r="J50" s="833">
        <f>J24</f>
        <v>-67.100999999999999</v>
      </c>
      <c r="K50" s="891">
        <f>K51*K49</f>
        <v>-84.967876611157422</v>
      </c>
      <c r="L50" s="836">
        <f t="shared" ref="L50" si="57">L51*L49</f>
        <v>-103.28278316911273</v>
      </c>
      <c r="M50" s="836">
        <f t="shared" ref="M50" si="58">M51*M49</f>
        <v>-122.00061767134305</v>
      </c>
      <c r="N50" s="836">
        <f t="shared" ref="N50" si="59">N51*N49</f>
        <v>-141.1583212843758</v>
      </c>
      <c r="O50" s="836">
        <f t="shared" ref="O50" si="60">O51*O49</f>
        <v>-160.79496748773437</v>
      </c>
      <c r="P50" s="836">
        <f t="shared" ref="P50" si="61">P51*P49</f>
        <v>-180.89307487687188</v>
      </c>
      <c r="Q50" s="836">
        <f t="shared" ref="Q50" si="62">Q51*Q49</f>
        <v>-201.47353684334868</v>
      </c>
      <c r="R50" s="836">
        <f t="shared" ref="R50" si="63">R51*R49</f>
        <v>-222.55822012800417</v>
      </c>
      <c r="S50" s="836">
        <f t="shared" ref="S50" si="64">S51*S49</f>
        <v>-244.17002049477605</v>
      </c>
      <c r="T50" s="836">
        <f t="shared" ref="T50" si="65">T51*T49</f>
        <v>-266.32729005059645</v>
      </c>
      <c r="U50" s="836">
        <f t="shared" ref="U50" si="66">U51*U49</f>
        <v>-289.04915169321214</v>
      </c>
      <c r="V50" s="392"/>
    </row>
    <row r="51" spans="2:22">
      <c r="C51" s="352" t="s">
        <v>614</v>
      </c>
      <c r="D51" s="406"/>
      <c r="E51" s="352"/>
      <c r="F51" s="352"/>
      <c r="G51" s="368"/>
      <c r="H51" s="464"/>
      <c r="I51" s="464">
        <f>I50/((I49+I55)/2)</f>
        <v>-0.19552025631122316</v>
      </c>
      <c r="J51" s="464">
        <f t="shared" ref="J51" si="67">J50/J49</f>
        <v>-0.11895674187480833</v>
      </c>
      <c r="K51" s="892">
        <f>J51</f>
        <v>-0.11895674187480833</v>
      </c>
      <c r="L51" s="837">
        <f t="shared" ref="L51" si="68">K51</f>
        <v>-0.11895674187480833</v>
      </c>
      <c r="M51" s="837">
        <f t="shared" ref="M51:U51" si="69">L51</f>
        <v>-0.11895674187480833</v>
      </c>
      <c r="N51" s="837">
        <f t="shared" si="69"/>
        <v>-0.11895674187480833</v>
      </c>
      <c r="O51" s="837">
        <f t="shared" si="69"/>
        <v>-0.11895674187480833</v>
      </c>
      <c r="P51" s="837">
        <f t="shared" si="69"/>
        <v>-0.11895674187480833</v>
      </c>
      <c r="Q51" s="837">
        <f t="shared" si="69"/>
        <v>-0.11895674187480833</v>
      </c>
      <c r="R51" s="837">
        <f t="shared" si="69"/>
        <v>-0.11895674187480833</v>
      </c>
      <c r="S51" s="837">
        <f t="shared" si="69"/>
        <v>-0.11895674187480833</v>
      </c>
      <c r="T51" s="837">
        <f t="shared" si="69"/>
        <v>-0.11895674187480833</v>
      </c>
      <c r="U51" s="837">
        <f t="shared" si="69"/>
        <v>-0.11895674187480833</v>
      </c>
      <c r="V51" s="392"/>
    </row>
    <row r="52" spans="2:22">
      <c r="B52" s="392"/>
      <c r="C52" s="399" t="s">
        <v>612</v>
      </c>
      <c r="D52" s="406"/>
      <c r="E52" s="392"/>
      <c r="F52" s="392"/>
      <c r="G52" s="486"/>
      <c r="H52" s="509"/>
      <c r="I52" s="834">
        <v>102.999</v>
      </c>
      <c r="J52" s="834">
        <v>147.79300000000001</v>
      </c>
      <c r="K52" s="893">
        <f t="shared" ref="K52:U52" si="70">K53*K8</f>
        <v>150.19641871127206</v>
      </c>
      <c r="L52" s="838">
        <f t="shared" si="70"/>
        <v>153.9627453585621</v>
      </c>
      <c r="M52" s="838">
        <f t="shared" si="70"/>
        <v>157.34992575645046</v>
      </c>
      <c r="N52" s="838">
        <f t="shared" si="70"/>
        <v>161.04764901172706</v>
      </c>
      <c r="O52" s="838">
        <f t="shared" si="70"/>
        <v>165.07384023702022</v>
      </c>
      <c r="P52" s="838">
        <f t="shared" si="70"/>
        <v>168.95307548259021</v>
      </c>
      <c r="Q52" s="838">
        <f t="shared" si="70"/>
        <v>173.00794929417239</v>
      </c>
      <c r="R52" s="838">
        <f t="shared" si="70"/>
        <v>177.2466440518796</v>
      </c>
      <c r="S52" s="838">
        <f t="shared" si="70"/>
        <v>181.67781015317658</v>
      </c>
      <c r="T52" s="838">
        <f t="shared" si="70"/>
        <v>186.26325172169737</v>
      </c>
      <c r="U52" s="838">
        <f t="shared" si="70"/>
        <v>191.00944834659683</v>
      </c>
      <c r="V52" s="392"/>
    </row>
    <row r="53" spans="2:22" s="392" customFormat="1">
      <c r="C53" s="399" t="s">
        <v>615</v>
      </c>
      <c r="D53" s="406"/>
      <c r="G53" s="486"/>
      <c r="H53" s="727"/>
      <c r="I53" s="727">
        <f>I52/I8</f>
        <v>2.4200159346673938E-2</v>
      </c>
      <c r="J53" s="727">
        <f>J52/J8</f>
        <v>3.4073062746280601E-2</v>
      </c>
      <c r="K53" s="645">
        <f>J53</f>
        <v>3.4073062746280601E-2</v>
      </c>
      <c r="L53" s="723">
        <f>K53</f>
        <v>3.4073062746280601E-2</v>
      </c>
      <c r="M53" s="723">
        <f t="shared" ref="M53:U53" si="71">L53</f>
        <v>3.4073062746280601E-2</v>
      </c>
      <c r="N53" s="723">
        <f t="shared" si="71"/>
        <v>3.4073062746280601E-2</v>
      </c>
      <c r="O53" s="723">
        <f t="shared" si="71"/>
        <v>3.4073062746280601E-2</v>
      </c>
      <c r="P53" s="723">
        <f t="shared" si="71"/>
        <v>3.4073062746280601E-2</v>
      </c>
      <c r="Q53" s="723">
        <f t="shared" si="71"/>
        <v>3.4073062746280601E-2</v>
      </c>
      <c r="R53" s="723">
        <f t="shared" si="71"/>
        <v>3.4073062746280601E-2</v>
      </c>
      <c r="S53" s="723">
        <f t="shared" si="71"/>
        <v>3.4073062746280601E-2</v>
      </c>
      <c r="T53" s="723">
        <f t="shared" si="71"/>
        <v>3.4073062746280601E-2</v>
      </c>
      <c r="U53" s="723">
        <f t="shared" si="71"/>
        <v>3.4073062746280601E-2</v>
      </c>
    </row>
    <row r="54" spans="2:22">
      <c r="B54" s="356"/>
      <c r="C54" s="485" t="s">
        <v>720</v>
      </c>
      <c r="D54" s="476"/>
      <c r="E54" s="356"/>
      <c r="F54" s="356"/>
      <c r="G54" s="421"/>
      <c r="H54" s="314"/>
      <c r="I54" s="835">
        <v>-319.358</v>
      </c>
      <c r="J54" s="835">
        <v>-282.64999999999998</v>
      </c>
      <c r="K54" s="894">
        <f>J54+K50</f>
        <v>-367.61787661115739</v>
      </c>
      <c r="L54" s="839">
        <f t="shared" ref="L54:U54" si="72">K54+L50</f>
        <v>-470.90065978027013</v>
      </c>
      <c r="M54" s="839">
        <f t="shared" si="72"/>
        <v>-592.90127745161317</v>
      </c>
      <c r="N54" s="839">
        <f t="shared" si="72"/>
        <v>-734.05959873598897</v>
      </c>
      <c r="O54" s="839">
        <f t="shared" si="72"/>
        <v>-894.8545662237234</v>
      </c>
      <c r="P54" s="839">
        <f t="shared" si="72"/>
        <v>-1075.7476411005953</v>
      </c>
      <c r="Q54" s="839">
        <f t="shared" si="72"/>
        <v>-1277.221177943944</v>
      </c>
      <c r="R54" s="839">
        <f t="shared" si="72"/>
        <v>-1499.7793980719482</v>
      </c>
      <c r="S54" s="839">
        <f t="shared" si="72"/>
        <v>-1743.9494185667243</v>
      </c>
      <c r="T54" s="839">
        <f t="shared" si="72"/>
        <v>-2010.2767086173208</v>
      </c>
      <c r="U54" s="839">
        <f t="shared" si="72"/>
        <v>-2299.3258603105328</v>
      </c>
      <c r="V54" s="509"/>
    </row>
    <row r="55" spans="2:22">
      <c r="C55" s="401" t="s">
        <v>613</v>
      </c>
      <c r="D55" s="473"/>
      <c r="E55" s="371"/>
      <c r="F55" s="371"/>
      <c r="G55" s="413"/>
      <c r="H55" s="510"/>
      <c r="I55" s="510">
        <f>I49+I54</f>
        <v>226.10200000000003</v>
      </c>
      <c r="J55" s="510">
        <f>J49+J54</f>
        <v>281.42899999999997</v>
      </c>
      <c r="K55" s="895">
        <f t="shared" ref="K55" si="73">K49+K54</f>
        <v>346.6575421001146</v>
      </c>
      <c r="L55" s="840">
        <f t="shared" ref="L55" si="74">L49+L54</f>
        <v>397.33750428956392</v>
      </c>
      <c r="M55" s="840">
        <f t="shared" ref="M55" si="75">M49+M54</f>
        <v>432.68681237467126</v>
      </c>
      <c r="N55" s="840">
        <f t="shared" ref="N55" si="76">N49+N54</f>
        <v>452.57614010202258</v>
      </c>
      <c r="O55" s="840">
        <f t="shared" ref="O55" si="77">O49+O54</f>
        <v>456.8550128513084</v>
      </c>
      <c r="P55" s="840">
        <f t="shared" ref="P55" si="78">P49+P54</f>
        <v>444.91501345702682</v>
      </c>
      <c r="Q55" s="840">
        <f t="shared" ref="Q55" si="79">Q49+Q54</f>
        <v>416.44942590785058</v>
      </c>
      <c r="R55" s="840">
        <f t="shared" ref="R55" si="80">R49+R54</f>
        <v>371.13784983172604</v>
      </c>
      <c r="S55" s="840">
        <f t="shared" ref="S55" si="81">S49+S54</f>
        <v>308.64563949012677</v>
      </c>
      <c r="T55" s="840">
        <f t="shared" ref="T55" si="82">T49+T54</f>
        <v>228.58160116122781</v>
      </c>
      <c r="U55" s="840">
        <f t="shared" ref="U55" si="83">U49+U54</f>
        <v>130.54189781461264</v>
      </c>
      <c r="V55" s="392"/>
    </row>
    <row r="56" spans="2:22">
      <c r="C56" s="406"/>
      <c r="D56" s="406"/>
      <c r="E56" s="362"/>
      <c r="F56" s="362"/>
      <c r="G56" s="362"/>
      <c r="H56" s="362"/>
      <c r="I56" s="362"/>
      <c r="J56" s="362"/>
      <c r="K56" s="631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92"/>
    </row>
    <row r="57" spans="2:22">
      <c r="C57" s="406"/>
      <c r="D57" s="406"/>
      <c r="E57" s="362"/>
      <c r="F57" s="362"/>
      <c r="G57" s="362"/>
      <c r="H57" s="362"/>
      <c r="I57" s="595"/>
      <c r="J57" s="595"/>
      <c r="K57" s="896"/>
      <c r="L57" s="363"/>
      <c r="M57" s="363"/>
      <c r="N57" s="363"/>
      <c r="O57" s="363"/>
      <c r="P57" s="363"/>
      <c r="Q57" s="363"/>
      <c r="R57" s="363"/>
      <c r="S57" s="363"/>
      <c r="T57" s="363"/>
      <c r="U57" s="363"/>
    </row>
    <row r="58" spans="2:22">
      <c r="C58" s="406"/>
      <c r="D58" s="406"/>
      <c r="E58" s="362"/>
      <c r="F58" s="362"/>
      <c r="G58" s="362"/>
      <c r="H58" s="362"/>
      <c r="I58" s="362"/>
      <c r="J58" s="362"/>
      <c r="K58" s="682"/>
      <c r="L58" s="363"/>
      <c r="M58" s="363"/>
      <c r="N58" s="363"/>
      <c r="O58" s="363"/>
      <c r="P58" s="363"/>
      <c r="Q58" s="363"/>
      <c r="R58" s="363"/>
      <c r="S58" s="363"/>
      <c r="T58" s="363"/>
      <c r="U58" s="363"/>
    </row>
    <row r="59" spans="2:22">
      <c r="C59" s="397" t="s">
        <v>529</v>
      </c>
      <c r="D59" s="350"/>
      <c r="E59" s="398">
        <v>2006</v>
      </c>
      <c r="F59" s="398">
        <v>2007</v>
      </c>
      <c r="G59" s="398">
        <v>2008</v>
      </c>
      <c r="H59" s="398">
        <v>2009</v>
      </c>
      <c r="I59" s="398">
        <v>2010</v>
      </c>
      <c r="J59" s="398">
        <v>2011</v>
      </c>
      <c r="K59" s="644">
        <v>2012</v>
      </c>
      <c r="L59" s="398">
        <v>2013</v>
      </c>
      <c r="M59" s="398">
        <v>2014</v>
      </c>
      <c r="N59" s="398">
        <v>2015</v>
      </c>
      <c r="O59" s="398">
        <v>2016</v>
      </c>
      <c r="P59" s="398">
        <v>2017</v>
      </c>
      <c r="Q59" s="398">
        <v>2018</v>
      </c>
      <c r="R59" s="398">
        <v>2019</v>
      </c>
      <c r="S59" s="398">
        <v>2020</v>
      </c>
      <c r="T59" s="398">
        <v>2021</v>
      </c>
      <c r="U59" s="398">
        <v>2022</v>
      </c>
    </row>
    <row r="60" spans="2:22" s="376" customFormat="1" ht="6" customHeight="1">
      <c r="C60" s="445"/>
      <c r="D60" s="446"/>
      <c r="E60" s="447"/>
      <c r="F60" s="447"/>
      <c r="G60" s="447"/>
      <c r="H60" s="447"/>
      <c r="I60" s="447"/>
      <c r="J60" s="447"/>
      <c r="K60" s="655"/>
      <c r="L60" s="447"/>
      <c r="M60" s="447"/>
      <c r="N60" s="447"/>
      <c r="O60" s="447"/>
      <c r="P60" s="447"/>
      <c r="Q60" s="447"/>
      <c r="R60" s="447"/>
      <c r="S60" s="447"/>
      <c r="T60" s="447"/>
      <c r="U60" s="447"/>
    </row>
    <row r="61" spans="2:22">
      <c r="C61" s="401" t="s">
        <v>530</v>
      </c>
      <c r="D61" s="407"/>
      <c r="E61" s="563"/>
      <c r="F61" s="563"/>
      <c r="G61" s="563"/>
      <c r="H61" s="563"/>
      <c r="I61" s="563">
        <f>SUM(I62,I64,I65,I67,I69,I70)</f>
        <v>2218.866</v>
      </c>
      <c r="J61" s="563">
        <f>SUM(J62,J64,J65,J67,J69,J70)</f>
        <v>2885.6699999999996</v>
      </c>
      <c r="K61" s="689">
        <f t="shared" ref="K61:U61" si="84">SUM(K62,K64,K65,K67,K69,K70)</f>
        <v>2518.5149340648859</v>
      </c>
      <c r="L61" s="578">
        <f t="shared" si="84"/>
        <v>2416.2226739004027</v>
      </c>
      <c r="M61" s="578">
        <f t="shared" si="84"/>
        <v>2282.8193390396318</v>
      </c>
      <c r="N61" s="578">
        <f t="shared" si="84"/>
        <v>2129.2496779594217</v>
      </c>
      <c r="O61" s="578">
        <f t="shared" si="84"/>
        <v>2068.5576286376463</v>
      </c>
      <c r="P61" s="578">
        <f t="shared" si="84"/>
        <v>2151.7244079890693</v>
      </c>
      <c r="Q61" s="578">
        <f t="shared" si="84"/>
        <v>2295.4185531874355</v>
      </c>
      <c r="R61" s="578">
        <f t="shared" si="84"/>
        <v>2500.8638603587542</v>
      </c>
      <c r="S61" s="578">
        <f t="shared" si="84"/>
        <v>2725.6548578959037</v>
      </c>
      <c r="T61" s="578">
        <f t="shared" si="84"/>
        <v>2971.0167445976995</v>
      </c>
      <c r="U61" s="578">
        <f t="shared" si="84"/>
        <v>3236.4208197370567</v>
      </c>
    </row>
    <row r="62" spans="2:22">
      <c r="C62" s="410" t="s">
        <v>531</v>
      </c>
      <c r="D62" s="407"/>
      <c r="E62" s="565"/>
      <c r="F62" s="565"/>
      <c r="G62" s="565"/>
      <c r="H62" s="565"/>
      <c r="I62" s="831">
        <v>432.62700000000001</v>
      </c>
      <c r="J62" s="831">
        <v>1117.1790000000001</v>
      </c>
      <c r="K62" s="682">
        <f t="shared" ref="K62:U62" si="85">K63*K8</f>
        <v>440.80692079160809</v>
      </c>
      <c r="L62" s="573">
        <f t="shared" si="85"/>
        <v>451.86059881091433</v>
      </c>
      <c r="M62" s="573">
        <f t="shared" si="85"/>
        <v>461.80153198475449</v>
      </c>
      <c r="N62" s="573">
        <f t="shared" si="85"/>
        <v>472.65386798639622</v>
      </c>
      <c r="O62" s="573">
        <f t="shared" si="85"/>
        <v>484.47021468605612</v>
      </c>
      <c r="P62" s="573">
        <f t="shared" si="85"/>
        <v>495.85526473117847</v>
      </c>
      <c r="Q62" s="573">
        <f t="shared" si="85"/>
        <v>507.75579108472675</v>
      </c>
      <c r="R62" s="573">
        <f t="shared" si="85"/>
        <v>520.1958079663026</v>
      </c>
      <c r="S62" s="573">
        <f t="shared" si="85"/>
        <v>533.20070316546014</v>
      </c>
      <c r="T62" s="573">
        <f t="shared" si="85"/>
        <v>546.6583767613605</v>
      </c>
      <c r="U62" s="573">
        <f t="shared" si="85"/>
        <v>560.58784550398934</v>
      </c>
    </row>
    <row r="63" spans="2:22" hidden="1" outlineLevel="1">
      <c r="C63" s="728" t="s">
        <v>615</v>
      </c>
      <c r="D63" s="407"/>
      <c r="E63" s="565"/>
      <c r="F63" s="565"/>
      <c r="G63" s="565"/>
      <c r="H63" s="565"/>
      <c r="I63" s="730">
        <f>I62/I8</f>
        <v>0.10164799986090647</v>
      </c>
      <c r="J63" s="730">
        <f>J62/J8</f>
        <v>0.25756098168267116</v>
      </c>
      <c r="K63" s="897">
        <v>0.1</v>
      </c>
      <c r="L63" s="731">
        <f>K63</f>
        <v>0.1</v>
      </c>
      <c r="M63" s="731">
        <f t="shared" ref="M63:U63" si="86">L63</f>
        <v>0.1</v>
      </c>
      <c r="N63" s="731">
        <f t="shared" si="86"/>
        <v>0.1</v>
      </c>
      <c r="O63" s="731">
        <f t="shared" si="86"/>
        <v>0.1</v>
      </c>
      <c r="P63" s="731">
        <f t="shared" si="86"/>
        <v>0.1</v>
      </c>
      <c r="Q63" s="731">
        <f t="shared" si="86"/>
        <v>0.1</v>
      </c>
      <c r="R63" s="731">
        <f t="shared" si="86"/>
        <v>0.1</v>
      </c>
      <c r="S63" s="731">
        <f t="shared" si="86"/>
        <v>0.1</v>
      </c>
      <c r="T63" s="731">
        <f t="shared" si="86"/>
        <v>0.1</v>
      </c>
      <c r="U63" s="731">
        <f t="shared" si="86"/>
        <v>0.1</v>
      </c>
    </row>
    <row r="64" spans="2:22" collapsed="1">
      <c r="C64" s="442" t="s">
        <v>532</v>
      </c>
      <c r="D64" s="407"/>
      <c r="E64" s="586"/>
      <c r="F64" s="586"/>
      <c r="G64" s="586"/>
      <c r="H64" s="579"/>
      <c r="I64" s="832">
        <v>222.392</v>
      </c>
      <c r="J64" s="832">
        <v>144.09399999999999</v>
      </c>
      <c r="K64" s="690">
        <f>MAX(0,SUM(K85,K87,K89,K91:K92,K94,K102)-SUM(K62,K65,K67,K69:K70,K72:K72,K78))</f>
        <v>754.33935403966552</v>
      </c>
      <c r="L64" s="579">
        <f t="shared" ref="L64:U64" si="87">MAX(0,SUM(L85,L87,L89,L91:L92,L94,L102)-SUM(L62,L65,L67,L69:L70,L72:L72,L78))</f>
        <v>607.80861232842653</v>
      </c>
      <c r="M64" s="579">
        <f t="shared" si="87"/>
        <v>434.6201681130724</v>
      </c>
      <c r="N64" s="579">
        <f t="shared" si="87"/>
        <v>237.61782651608792</v>
      </c>
      <c r="O64" s="579">
        <f t="shared" si="87"/>
        <v>129.63498090822941</v>
      </c>
      <c r="P64" s="579">
        <f t="shared" si="87"/>
        <v>167.23707803801062</v>
      </c>
      <c r="Q64" s="579">
        <f t="shared" si="87"/>
        <v>263.30352731755193</v>
      </c>
      <c r="R64" s="579">
        <f t="shared" si="87"/>
        <v>418.96201635505804</v>
      </c>
      <c r="S64" s="579">
        <f t="shared" si="87"/>
        <v>591.70546779211509</v>
      </c>
      <c r="T64" s="579">
        <f t="shared" si="87"/>
        <v>783.20772116691569</v>
      </c>
      <c r="U64" s="579">
        <f t="shared" si="87"/>
        <v>992.86396785943361</v>
      </c>
    </row>
    <row r="65" spans="3:26">
      <c r="C65" s="410" t="s">
        <v>656</v>
      </c>
      <c r="D65" s="407"/>
      <c r="E65" s="587"/>
      <c r="F65" s="587"/>
      <c r="G65" s="587"/>
      <c r="H65" s="565"/>
      <c r="I65" s="831">
        <v>643.02599999999995</v>
      </c>
      <c r="J65" s="831">
        <v>1052.8599999999999</v>
      </c>
      <c r="K65" s="682">
        <f>K66/365*K$8</f>
        <v>1086.92117455465</v>
      </c>
      <c r="L65" s="573">
        <f t="shared" ref="L65:U65" si="88">L66/365*L$8</f>
        <v>1114.176818985816</v>
      </c>
      <c r="M65" s="573">
        <f t="shared" si="88"/>
        <v>1138.6887090035041</v>
      </c>
      <c r="N65" s="573">
        <f t="shared" si="88"/>
        <v>1165.4478936650864</v>
      </c>
      <c r="O65" s="573">
        <f t="shared" si="88"/>
        <v>1194.5840910067136</v>
      </c>
      <c r="P65" s="573">
        <f t="shared" si="88"/>
        <v>1222.6568171453714</v>
      </c>
      <c r="Q65" s="573">
        <f t="shared" si="88"/>
        <v>1252.0005807568605</v>
      </c>
      <c r="R65" s="573">
        <f t="shared" si="88"/>
        <v>1282.6745949854035</v>
      </c>
      <c r="S65" s="573">
        <f t="shared" si="88"/>
        <v>1314.7414598600385</v>
      </c>
      <c r="T65" s="573">
        <f t="shared" si="88"/>
        <v>1347.9247646170534</v>
      </c>
      <c r="U65" s="573">
        <f t="shared" si="88"/>
        <v>1382.2713998728502</v>
      </c>
    </row>
    <row r="66" spans="3:26" hidden="1" outlineLevel="1">
      <c r="C66" s="728" t="s">
        <v>721</v>
      </c>
      <c r="D66" s="407"/>
      <c r="E66" s="587"/>
      <c r="F66" s="587"/>
      <c r="G66" s="587"/>
      <c r="H66" s="565"/>
      <c r="I66" s="729">
        <f>I65*365/I$8</f>
        <v>55.145060217864639</v>
      </c>
      <c r="J66" s="729">
        <f>J65*365/J$8</f>
        <v>88.597363662100932</v>
      </c>
      <c r="K66" s="898">
        <v>90</v>
      </c>
      <c r="L66" s="732">
        <f>K66</f>
        <v>90</v>
      </c>
      <c r="M66" s="732">
        <f t="shared" ref="M66:U66" si="89">L66</f>
        <v>90</v>
      </c>
      <c r="N66" s="732">
        <f t="shared" si="89"/>
        <v>90</v>
      </c>
      <c r="O66" s="732">
        <f t="shared" si="89"/>
        <v>90</v>
      </c>
      <c r="P66" s="732">
        <f t="shared" si="89"/>
        <v>90</v>
      </c>
      <c r="Q66" s="732">
        <f t="shared" si="89"/>
        <v>90</v>
      </c>
      <c r="R66" s="732">
        <f t="shared" si="89"/>
        <v>90</v>
      </c>
      <c r="S66" s="732">
        <f t="shared" si="89"/>
        <v>90</v>
      </c>
      <c r="T66" s="732">
        <f t="shared" si="89"/>
        <v>90</v>
      </c>
      <c r="U66" s="732">
        <f t="shared" si="89"/>
        <v>90</v>
      </c>
    </row>
    <row r="67" spans="3:26" collapsed="1">
      <c r="C67" s="410" t="s">
        <v>657</v>
      </c>
      <c r="D67" s="407"/>
      <c r="E67" s="587"/>
      <c r="F67" s="587"/>
      <c r="G67" s="587"/>
      <c r="H67" s="565"/>
      <c r="I67" s="831">
        <v>75.063000000000002</v>
      </c>
      <c r="J67" s="831">
        <v>59.179000000000002</v>
      </c>
      <c r="K67" s="682">
        <f>-K68/365*K$11</f>
        <v>67.370857526016906</v>
      </c>
      <c r="L67" s="573">
        <f>-L68/365*L$11</f>
        <v>69.060249710785257</v>
      </c>
      <c r="M67" s="573">
        <f t="shared" ref="M67:U67" si="90">-M68/365*M$11</f>
        <v>70.57957520442254</v>
      </c>
      <c r="N67" s="573">
        <f t="shared" si="90"/>
        <v>72.238195221726471</v>
      </c>
      <c r="O67" s="573">
        <f t="shared" si="90"/>
        <v>74.044150102269626</v>
      </c>
      <c r="P67" s="573">
        <f t="shared" si="90"/>
        <v>75.784187629672971</v>
      </c>
      <c r="Q67" s="573">
        <f t="shared" si="90"/>
        <v>77.603008132785135</v>
      </c>
      <c r="R67" s="573">
        <f t="shared" si="90"/>
        <v>79.504281832038359</v>
      </c>
      <c r="S67" s="573">
        <f t="shared" si="90"/>
        <v>81.491888877839315</v>
      </c>
      <c r="T67" s="573">
        <f t="shared" si="90"/>
        <v>83.548696445272384</v>
      </c>
      <c r="U67" s="573">
        <f t="shared" si="90"/>
        <v>85.677610965006977</v>
      </c>
    </row>
    <row r="68" spans="3:26" hidden="1" outlineLevel="1">
      <c r="C68" s="728" t="s">
        <v>722</v>
      </c>
      <c r="D68" s="407"/>
      <c r="E68" s="587"/>
      <c r="F68" s="587"/>
      <c r="G68" s="587"/>
      <c r="H68" s="565"/>
      <c r="I68" s="729">
        <f>-I67*365/I$11</f>
        <v>8.2335181602930874</v>
      </c>
      <c r="J68" s="729">
        <f>-J67*365/J$11</f>
        <v>6.248838486230782</v>
      </c>
      <c r="K68" s="898">
        <v>7</v>
      </c>
      <c r="L68" s="732">
        <f>K68</f>
        <v>7</v>
      </c>
      <c r="M68" s="732">
        <f t="shared" ref="M68:U68" si="91">L68</f>
        <v>7</v>
      </c>
      <c r="N68" s="732">
        <f t="shared" si="91"/>
        <v>7</v>
      </c>
      <c r="O68" s="732">
        <f t="shared" si="91"/>
        <v>7</v>
      </c>
      <c r="P68" s="732">
        <f t="shared" si="91"/>
        <v>7</v>
      </c>
      <c r="Q68" s="732">
        <f t="shared" si="91"/>
        <v>7</v>
      </c>
      <c r="R68" s="732">
        <f t="shared" si="91"/>
        <v>7</v>
      </c>
      <c r="S68" s="732">
        <f t="shared" si="91"/>
        <v>7</v>
      </c>
      <c r="T68" s="732">
        <f t="shared" si="91"/>
        <v>7</v>
      </c>
      <c r="U68" s="732">
        <f t="shared" si="91"/>
        <v>7</v>
      </c>
    </row>
    <row r="69" spans="3:26" collapsed="1">
      <c r="C69" s="410" t="s">
        <v>604</v>
      </c>
      <c r="D69" s="407"/>
      <c r="E69" s="587"/>
      <c r="F69" s="587"/>
      <c r="G69" s="587"/>
      <c r="H69" s="565"/>
      <c r="I69" s="831">
        <f>650.131</f>
        <v>650.13099999999997</v>
      </c>
      <c r="J69" s="831">
        <v>365.00799999999998</v>
      </c>
      <c r="K69" s="682">
        <v>0</v>
      </c>
      <c r="L69" s="573">
        <v>0</v>
      </c>
      <c r="M69" s="573">
        <v>0</v>
      </c>
      <c r="N69" s="573">
        <v>0</v>
      </c>
      <c r="O69" s="573">
        <v>0</v>
      </c>
      <c r="P69" s="573">
        <v>0</v>
      </c>
      <c r="Q69" s="573">
        <v>0</v>
      </c>
      <c r="R69" s="573">
        <v>0</v>
      </c>
      <c r="S69" s="573">
        <v>0</v>
      </c>
      <c r="T69" s="573">
        <v>0</v>
      </c>
      <c r="U69" s="573">
        <v>0</v>
      </c>
    </row>
    <row r="70" spans="3:26">
      <c r="C70" s="410" t="s">
        <v>637</v>
      </c>
      <c r="D70" s="407"/>
      <c r="E70" s="587"/>
      <c r="F70" s="587"/>
      <c r="G70" s="587"/>
      <c r="H70" s="565"/>
      <c r="I70" s="831">
        <f>13.181+104.004+4.198+74.244</f>
        <v>195.62700000000001</v>
      </c>
      <c r="J70" s="831">
        <f>8.863+46.278+7.757+84.452</f>
        <v>147.35</v>
      </c>
      <c r="K70" s="682">
        <f>K71/365*K$8</f>
        <v>169.07662715294558</v>
      </c>
      <c r="L70" s="573">
        <f>L71/365*L$8</f>
        <v>173.3163940644603</v>
      </c>
      <c r="M70" s="573">
        <f t="shared" ref="M70:U70" si="92">M71/365*M$8</f>
        <v>177.12935473387844</v>
      </c>
      <c r="N70" s="573">
        <f t="shared" si="92"/>
        <v>181.29189457012458</v>
      </c>
      <c r="O70" s="573">
        <f t="shared" si="92"/>
        <v>185.82419193437769</v>
      </c>
      <c r="P70" s="573">
        <f t="shared" si="92"/>
        <v>190.19106044483559</v>
      </c>
      <c r="Q70" s="573">
        <f t="shared" si="92"/>
        <v>194.75564589551163</v>
      </c>
      <c r="R70" s="573">
        <f t="shared" si="92"/>
        <v>199.52715921995167</v>
      </c>
      <c r="S70" s="573">
        <f t="shared" si="92"/>
        <v>204.51533820045046</v>
      </c>
      <c r="T70" s="573">
        <f t="shared" si="92"/>
        <v>209.67718560709719</v>
      </c>
      <c r="U70" s="573">
        <f t="shared" si="92"/>
        <v>215.01999553577673</v>
      </c>
    </row>
    <row r="71" spans="3:26" hidden="1" outlineLevel="1">
      <c r="C71" s="728" t="s">
        <v>721</v>
      </c>
      <c r="D71" s="407"/>
      <c r="E71" s="587"/>
      <c r="F71" s="587"/>
      <c r="G71" s="587"/>
      <c r="H71" s="565"/>
      <c r="I71" s="729">
        <f>I70*365/I$8</f>
        <v>16.776713064853066</v>
      </c>
      <c r="J71" s="729">
        <f>J70*365/J$8</f>
        <v>12.399389791245344</v>
      </c>
      <c r="K71" s="898">
        <v>14</v>
      </c>
      <c r="L71" s="732">
        <f>K71</f>
        <v>14</v>
      </c>
      <c r="M71" s="732">
        <f t="shared" ref="M71:U71" si="93">L71</f>
        <v>14</v>
      </c>
      <c r="N71" s="732">
        <f t="shared" si="93"/>
        <v>14</v>
      </c>
      <c r="O71" s="732">
        <f t="shared" si="93"/>
        <v>14</v>
      </c>
      <c r="P71" s="732">
        <f t="shared" si="93"/>
        <v>14</v>
      </c>
      <c r="Q71" s="732">
        <f t="shared" si="93"/>
        <v>14</v>
      </c>
      <c r="R71" s="732">
        <f t="shared" si="93"/>
        <v>14</v>
      </c>
      <c r="S71" s="732">
        <f t="shared" si="93"/>
        <v>14</v>
      </c>
      <c r="T71" s="732">
        <f t="shared" si="93"/>
        <v>14</v>
      </c>
      <c r="U71" s="732">
        <f t="shared" si="93"/>
        <v>14</v>
      </c>
    </row>
    <row r="72" spans="3:26" collapsed="1">
      <c r="C72" s="401" t="s">
        <v>534</v>
      </c>
      <c r="D72" s="407"/>
      <c r="E72" s="563"/>
      <c r="F72" s="563"/>
      <c r="G72" s="563"/>
      <c r="H72" s="563"/>
      <c r="I72" s="563">
        <f>SUM(I73,I75,I76)</f>
        <v>1732.6460000000002</v>
      </c>
      <c r="J72" s="563">
        <f t="shared" ref="J72:K72" si="94">SUM(J73,J75,J76)</f>
        <v>1567.5859999999998</v>
      </c>
      <c r="K72" s="680">
        <f t="shared" si="94"/>
        <v>1574.5549385580216</v>
      </c>
      <c r="L72" s="580">
        <f t="shared" ref="L72" si="95">SUM(L73,L75,L76)</f>
        <v>1611.8043192806153</v>
      </c>
      <c r="M72" s="580">
        <f t="shared" ref="M72" si="96">SUM(M73,M75,M76)</f>
        <v>1645.3039023047888</v>
      </c>
      <c r="N72" s="580">
        <f t="shared" ref="N72" si="97">SUM(N73,N75,N76)</f>
        <v>1681.8747880089513</v>
      </c>
      <c r="O72" s="580">
        <f t="shared" ref="O72" si="98">SUM(O73,O75,O76)</f>
        <v>1721.6942577091752</v>
      </c>
      <c r="P72" s="580">
        <f t="shared" ref="P72" si="99">SUM(P73,P75,P76)</f>
        <v>1760.0603167653408</v>
      </c>
      <c r="Q72" s="580">
        <f t="shared" ref="Q72" si="100">SUM(Q73,Q75,Q76)</f>
        <v>1800.1634603677094</v>
      </c>
      <c r="R72" s="580">
        <f t="shared" ref="R72" si="101">SUM(R73,R75,R76)</f>
        <v>1842.0846131467181</v>
      </c>
      <c r="S72" s="580">
        <f t="shared" ref="S72" si="102">SUM(S73,S75,S76)</f>
        <v>1885.9093284753858</v>
      </c>
      <c r="T72" s="580">
        <f t="shared" ref="T72" si="103">SUM(T73,T75,T76)</f>
        <v>1931.2598449766394</v>
      </c>
      <c r="U72" s="580">
        <f t="shared" ref="U72" si="104">SUM(U73,U75,U76)</f>
        <v>1978.2002464928955</v>
      </c>
      <c r="V72" s="357"/>
      <c r="W72" s="357"/>
      <c r="X72" s="357"/>
      <c r="Y72" s="357"/>
      <c r="Z72" s="357"/>
    </row>
    <row r="73" spans="3:26">
      <c r="C73" s="410" t="s">
        <v>656</v>
      </c>
      <c r="D73" s="407"/>
      <c r="E73" s="587"/>
      <c r="F73" s="587"/>
      <c r="G73" s="587"/>
      <c r="H73" s="565"/>
      <c r="I73" s="831">
        <v>1168.202</v>
      </c>
      <c r="J73" s="831">
        <v>1016.66</v>
      </c>
      <c r="K73" s="682">
        <f>K74/365*K$8</f>
        <v>1026.5366648571694</v>
      </c>
      <c r="L73" s="573">
        <f>L74/365*L$8</f>
        <v>1052.2781068199374</v>
      </c>
      <c r="M73" s="573">
        <f t="shared" ref="M73:U73" si="105">M74/365*M$8</f>
        <v>1075.428225169976</v>
      </c>
      <c r="N73" s="573">
        <f t="shared" si="105"/>
        <v>1100.7007884614704</v>
      </c>
      <c r="O73" s="573">
        <f t="shared" si="105"/>
        <v>1128.2183081730072</v>
      </c>
      <c r="P73" s="573">
        <f t="shared" si="105"/>
        <v>1154.7314384150729</v>
      </c>
      <c r="Q73" s="573">
        <f t="shared" si="105"/>
        <v>1182.4449929370348</v>
      </c>
      <c r="R73" s="573">
        <f t="shared" si="105"/>
        <v>1211.4148952639921</v>
      </c>
      <c r="S73" s="573">
        <f t="shared" si="105"/>
        <v>1241.7002676455918</v>
      </c>
      <c r="T73" s="573">
        <f t="shared" si="105"/>
        <v>1273.0400554716614</v>
      </c>
      <c r="U73" s="573">
        <f t="shared" si="105"/>
        <v>1305.4785443243586</v>
      </c>
    </row>
    <row r="74" spans="3:26" hidden="1" outlineLevel="1">
      <c r="C74" s="728" t="s">
        <v>721</v>
      </c>
      <c r="D74" s="407"/>
      <c r="E74" s="587"/>
      <c r="F74" s="587"/>
      <c r="G74" s="587"/>
      <c r="H74" s="565"/>
      <c r="I74" s="729">
        <f>I73*365/I$8</f>
        <v>100.18346013478444</v>
      </c>
      <c r="J74" s="729">
        <f>J73*365/J$8</f>
        <v>85.551161351662643</v>
      </c>
      <c r="K74" s="898">
        <v>85</v>
      </c>
      <c r="L74" s="732">
        <f>K74</f>
        <v>85</v>
      </c>
      <c r="M74" s="732">
        <f t="shared" ref="M74:U74" si="106">L74</f>
        <v>85</v>
      </c>
      <c r="N74" s="732">
        <f t="shared" si="106"/>
        <v>85</v>
      </c>
      <c r="O74" s="732">
        <f t="shared" si="106"/>
        <v>85</v>
      </c>
      <c r="P74" s="732">
        <f t="shared" si="106"/>
        <v>85</v>
      </c>
      <c r="Q74" s="732">
        <f t="shared" si="106"/>
        <v>85</v>
      </c>
      <c r="R74" s="732">
        <f t="shared" si="106"/>
        <v>85</v>
      </c>
      <c r="S74" s="732">
        <f t="shared" si="106"/>
        <v>85</v>
      </c>
      <c r="T74" s="732">
        <f t="shared" si="106"/>
        <v>85</v>
      </c>
      <c r="U74" s="732">
        <f t="shared" si="106"/>
        <v>85</v>
      </c>
    </row>
    <row r="75" spans="3:26" collapsed="1">
      <c r="C75" s="410" t="s">
        <v>536</v>
      </c>
      <c r="D75" s="407"/>
      <c r="E75" s="565"/>
      <c r="F75" s="565"/>
      <c r="G75" s="565"/>
      <c r="H75" s="565"/>
      <c r="I75" s="831">
        <v>36.673999999999999</v>
      </c>
      <c r="J75" s="831">
        <v>89.096000000000004</v>
      </c>
      <c r="K75" s="682">
        <f t="shared" ref="K75:U75" si="107">J75</f>
        <v>89.096000000000004</v>
      </c>
      <c r="L75" s="573">
        <f t="shared" si="107"/>
        <v>89.096000000000004</v>
      </c>
      <c r="M75" s="573">
        <f t="shared" si="107"/>
        <v>89.096000000000004</v>
      </c>
      <c r="N75" s="573">
        <f t="shared" si="107"/>
        <v>89.096000000000004</v>
      </c>
      <c r="O75" s="573">
        <f t="shared" si="107"/>
        <v>89.096000000000004</v>
      </c>
      <c r="P75" s="573">
        <f t="shared" si="107"/>
        <v>89.096000000000004</v>
      </c>
      <c r="Q75" s="573">
        <f t="shared" si="107"/>
        <v>89.096000000000004</v>
      </c>
      <c r="R75" s="573">
        <f t="shared" si="107"/>
        <v>89.096000000000004</v>
      </c>
      <c r="S75" s="573">
        <f t="shared" si="107"/>
        <v>89.096000000000004</v>
      </c>
      <c r="T75" s="573">
        <f t="shared" si="107"/>
        <v>89.096000000000004</v>
      </c>
      <c r="U75" s="573">
        <f t="shared" si="107"/>
        <v>89.096000000000004</v>
      </c>
      <c r="V75" s="357"/>
      <c r="W75" s="357"/>
      <c r="X75" s="357"/>
      <c r="Y75" s="357"/>
      <c r="Z75" s="357"/>
    </row>
    <row r="76" spans="3:26">
      <c r="C76" s="410" t="s">
        <v>535</v>
      </c>
      <c r="D76" s="407"/>
      <c r="E76" s="565"/>
      <c r="F76" s="565"/>
      <c r="G76" s="565"/>
      <c r="H76" s="565"/>
      <c r="I76" s="831">
        <f>47.229+23.307+344.494+19.79+4.208+88.742</f>
        <v>527.7700000000001</v>
      </c>
      <c r="J76" s="831">
        <f>40.895+28.727+297.693+8.618+85.897</f>
        <v>461.83</v>
      </c>
      <c r="K76" s="682">
        <f>K77/365*K$8</f>
        <v>458.92227370085226</v>
      </c>
      <c r="L76" s="573">
        <f>L77/365*L$8</f>
        <v>470.43021246067792</v>
      </c>
      <c r="M76" s="573">
        <f t="shared" ref="M76:U76" si="108">M77/365*M$8</f>
        <v>480.77967713481286</v>
      </c>
      <c r="N76" s="573">
        <f t="shared" si="108"/>
        <v>492.077999547481</v>
      </c>
      <c r="O76" s="573">
        <f t="shared" si="108"/>
        <v>504.379949536168</v>
      </c>
      <c r="P76" s="573">
        <f t="shared" si="108"/>
        <v>516.23287835026792</v>
      </c>
      <c r="Q76" s="573">
        <f t="shared" si="108"/>
        <v>528.62246743067442</v>
      </c>
      <c r="R76" s="573">
        <f t="shared" si="108"/>
        <v>541.57371788272599</v>
      </c>
      <c r="S76" s="573">
        <f t="shared" si="108"/>
        <v>555.11306082979411</v>
      </c>
      <c r="T76" s="573">
        <f t="shared" si="108"/>
        <v>569.12378950497805</v>
      </c>
      <c r="U76" s="573">
        <f t="shared" si="108"/>
        <v>583.6257021685368</v>
      </c>
      <c r="V76" s="357"/>
      <c r="W76" s="357"/>
      <c r="X76" s="357"/>
      <c r="Y76" s="357"/>
      <c r="Z76" s="357"/>
    </row>
    <row r="77" spans="3:26" hidden="1" outlineLevel="1">
      <c r="C77" s="728" t="s">
        <v>721</v>
      </c>
      <c r="D77" s="407"/>
      <c r="E77" s="565"/>
      <c r="F77" s="565"/>
      <c r="G77" s="565"/>
      <c r="H77" s="565"/>
      <c r="I77" s="729">
        <f>I76*365/I$8</f>
        <v>45.260857929823096</v>
      </c>
      <c r="J77" s="729">
        <f>J76*365/J$8</f>
        <v>38.862641243914737</v>
      </c>
      <c r="K77" s="898">
        <v>38</v>
      </c>
      <c r="L77" s="732">
        <f>K77</f>
        <v>38</v>
      </c>
      <c r="M77" s="732">
        <f t="shared" ref="M77:U77" si="109">L77</f>
        <v>38</v>
      </c>
      <c r="N77" s="732">
        <f t="shared" si="109"/>
        <v>38</v>
      </c>
      <c r="O77" s="732">
        <f t="shared" si="109"/>
        <v>38</v>
      </c>
      <c r="P77" s="732">
        <f t="shared" si="109"/>
        <v>38</v>
      </c>
      <c r="Q77" s="732">
        <f t="shared" si="109"/>
        <v>38</v>
      </c>
      <c r="R77" s="732">
        <f t="shared" si="109"/>
        <v>38</v>
      </c>
      <c r="S77" s="732">
        <f t="shared" si="109"/>
        <v>38</v>
      </c>
      <c r="T77" s="732">
        <f t="shared" si="109"/>
        <v>38</v>
      </c>
      <c r="U77" s="732">
        <f t="shared" si="109"/>
        <v>38</v>
      </c>
      <c r="V77" s="357"/>
      <c r="W77" s="357"/>
      <c r="X77" s="357"/>
      <c r="Y77" s="357"/>
      <c r="Z77" s="357"/>
    </row>
    <row r="78" spans="3:26" collapsed="1">
      <c r="C78" s="401" t="s">
        <v>537</v>
      </c>
      <c r="D78" s="407"/>
      <c r="E78" s="583"/>
      <c r="F78" s="583"/>
      <c r="G78" s="583"/>
      <c r="H78" s="583"/>
      <c r="I78" s="583">
        <f t="shared" ref="I78" si="110">I79+I80+I81</f>
        <v>714.07499999999993</v>
      </c>
      <c r="J78" s="583">
        <f>J79+J80+J81</f>
        <v>988.08500000000004</v>
      </c>
      <c r="K78" s="680">
        <f>K79+K80+K81</f>
        <v>1194.0280564563382</v>
      </c>
      <c r="L78" s="580">
        <f t="shared" ref="L78:U78" si="111">L79+L80+L81</f>
        <v>1389.5039681106991</v>
      </c>
      <c r="M78" s="580">
        <f t="shared" si="111"/>
        <v>1573.197741588946</v>
      </c>
      <c r="N78" s="580">
        <f t="shared" si="111"/>
        <v>1745.3676531101758</v>
      </c>
      <c r="O78" s="580">
        <f t="shared" si="111"/>
        <v>1906.2812627081869</v>
      </c>
      <c r="P78" s="580">
        <f t="shared" si="111"/>
        <v>2055.1250306109355</v>
      </c>
      <c r="Q78" s="580">
        <f t="shared" si="111"/>
        <v>2191.7183114418863</v>
      </c>
      <c r="R78" s="580">
        <f t="shared" si="111"/>
        <v>2316.2038489505976</v>
      </c>
      <c r="S78" s="580">
        <f t="shared" si="111"/>
        <v>2428.3609550334559</v>
      </c>
      <c r="T78" s="580">
        <f t="shared" si="111"/>
        <v>2528.0021862471685</v>
      </c>
      <c r="U78" s="580">
        <f t="shared" si="111"/>
        <v>2614.9360133773484</v>
      </c>
      <c r="V78" s="414"/>
      <c r="W78" s="414"/>
      <c r="X78" s="357"/>
      <c r="Y78" s="357"/>
      <c r="Z78" s="357"/>
    </row>
    <row r="79" spans="3:26">
      <c r="C79" s="410" t="s">
        <v>365</v>
      </c>
      <c r="D79" s="407"/>
      <c r="E79" s="565"/>
      <c r="F79" s="565"/>
      <c r="G79" s="565"/>
      <c r="H79" s="733"/>
      <c r="I79" s="831">
        <v>486.26499999999999</v>
      </c>
      <c r="J79" s="831">
        <v>705.46400000000006</v>
      </c>
      <c r="K79" s="682">
        <f>J79+K18-K116</f>
        <v>846.53611435622361</v>
      </c>
      <c r="L79" s="573">
        <f t="shared" ref="L79:U79" si="112">K79+L18-L116</f>
        <v>991.58238382113518</v>
      </c>
      <c r="M79" s="573">
        <f t="shared" si="112"/>
        <v>1140.1020732142747</v>
      </c>
      <c r="N79" s="573">
        <f t="shared" si="112"/>
        <v>1292.505313808153</v>
      </c>
      <c r="O79" s="573">
        <f t="shared" si="112"/>
        <v>1449.2259104168784</v>
      </c>
      <c r="P79" s="573">
        <f t="shared" si="112"/>
        <v>1610.0697795459087</v>
      </c>
      <c r="Q79" s="573">
        <f t="shared" si="112"/>
        <v>1775.2688855340357</v>
      </c>
      <c r="R79" s="573">
        <f t="shared" si="112"/>
        <v>1945.0659991188718</v>
      </c>
      <c r="S79" s="573">
        <f t="shared" si="112"/>
        <v>2119.7153155433289</v>
      </c>
      <c r="T79" s="573">
        <f t="shared" si="112"/>
        <v>2299.4205850859407</v>
      </c>
      <c r="U79" s="573">
        <f t="shared" si="112"/>
        <v>2484.3941155627358</v>
      </c>
      <c r="V79" s="414"/>
      <c r="W79" s="414"/>
      <c r="X79" s="357"/>
      <c r="Y79" s="357"/>
      <c r="Z79" s="357"/>
    </row>
    <row r="80" spans="3:26">
      <c r="C80" s="410" t="s">
        <v>423</v>
      </c>
      <c r="D80" s="407"/>
      <c r="E80" s="565"/>
      <c r="F80" s="565"/>
      <c r="G80" s="565"/>
      <c r="H80" s="565"/>
      <c r="I80" s="831">
        <v>226.102</v>
      </c>
      <c r="J80" s="831">
        <v>281.42899999999997</v>
      </c>
      <c r="K80" s="682">
        <f>K55</f>
        <v>346.6575421001146</v>
      </c>
      <c r="L80" s="573">
        <f t="shared" ref="L80:U80" si="113">L55</f>
        <v>397.33750428956392</v>
      </c>
      <c r="M80" s="573">
        <f t="shared" si="113"/>
        <v>432.68681237467126</v>
      </c>
      <c r="N80" s="573">
        <f t="shared" si="113"/>
        <v>452.57614010202258</v>
      </c>
      <c r="O80" s="573">
        <f t="shared" si="113"/>
        <v>456.8550128513084</v>
      </c>
      <c r="P80" s="573">
        <f t="shared" si="113"/>
        <v>444.91501345702682</v>
      </c>
      <c r="Q80" s="573">
        <f t="shared" si="113"/>
        <v>416.44942590785058</v>
      </c>
      <c r="R80" s="573">
        <f t="shared" si="113"/>
        <v>371.13784983172604</v>
      </c>
      <c r="S80" s="573">
        <f t="shared" si="113"/>
        <v>308.64563949012677</v>
      </c>
      <c r="T80" s="573">
        <f t="shared" si="113"/>
        <v>228.58160116122781</v>
      </c>
      <c r="U80" s="573">
        <f t="shared" si="113"/>
        <v>130.54189781461264</v>
      </c>
      <c r="V80" s="414"/>
      <c r="W80" s="414"/>
      <c r="X80" s="357"/>
      <c r="Y80" s="357"/>
      <c r="Z80" s="357"/>
    </row>
    <row r="81" spans="3:72">
      <c r="C81" s="410" t="s">
        <v>394</v>
      </c>
      <c r="D81" s="407"/>
      <c r="E81" s="565"/>
      <c r="F81" s="565"/>
      <c r="G81" s="565"/>
      <c r="H81" s="565"/>
      <c r="I81" s="831">
        <v>1.708</v>
      </c>
      <c r="J81" s="831">
        <v>1.1919999999999999</v>
      </c>
      <c r="K81" s="682">
        <f>J81*(1-30%)</f>
        <v>0.83439999999999992</v>
      </c>
      <c r="L81" s="573">
        <f t="shared" ref="L81:P81" si="114">K81*(1-30%)</f>
        <v>0.58407999999999993</v>
      </c>
      <c r="M81" s="573">
        <f t="shared" si="114"/>
        <v>0.40885599999999994</v>
      </c>
      <c r="N81" s="573">
        <f t="shared" si="114"/>
        <v>0.28619919999999993</v>
      </c>
      <c r="O81" s="573">
        <f>N81*(1-30%)</f>
        <v>0.20033943999999995</v>
      </c>
      <c r="P81" s="573">
        <f t="shared" si="114"/>
        <v>0.14023760799999996</v>
      </c>
      <c r="Q81" s="573">
        <v>0</v>
      </c>
      <c r="R81" s="573">
        <v>0</v>
      </c>
      <c r="S81" s="573">
        <v>0</v>
      </c>
      <c r="T81" s="573">
        <v>0</v>
      </c>
      <c r="U81" s="573">
        <v>0</v>
      </c>
      <c r="V81" s="357"/>
      <c r="W81" s="357"/>
      <c r="X81" s="357"/>
      <c r="Y81" s="357"/>
      <c r="Z81" s="357"/>
    </row>
    <row r="82" spans="3:72">
      <c r="C82" s="415" t="s">
        <v>545</v>
      </c>
      <c r="D82" s="415"/>
      <c r="E82" s="416"/>
      <c r="F82" s="416"/>
      <c r="G82" s="416"/>
      <c r="H82" s="416"/>
      <c r="I82" s="416">
        <f t="shared" ref="I82:U82" si="115">I78+I72+I61</f>
        <v>4665.5869999999995</v>
      </c>
      <c r="J82" s="416">
        <f t="shared" si="115"/>
        <v>5441.3409999999994</v>
      </c>
      <c r="K82" s="692">
        <f t="shared" si="115"/>
        <v>5287.0979290792457</v>
      </c>
      <c r="L82" s="416">
        <f t="shared" si="115"/>
        <v>5417.5309612917172</v>
      </c>
      <c r="M82" s="416">
        <f t="shared" si="115"/>
        <v>5501.3209829333664</v>
      </c>
      <c r="N82" s="416">
        <f t="shared" si="115"/>
        <v>5556.4921190785481</v>
      </c>
      <c r="O82" s="416">
        <f t="shared" si="115"/>
        <v>5696.5331490550088</v>
      </c>
      <c r="P82" s="416">
        <f t="shared" si="115"/>
        <v>5966.9097553653455</v>
      </c>
      <c r="Q82" s="416">
        <f t="shared" si="115"/>
        <v>6287.3003249970316</v>
      </c>
      <c r="R82" s="416">
        <f t="shared" si="115"/>
        <v>6659.1523224560697</v>
      </c>
      <c r="S82" s="416">
        <f t="shared" si="115"/>
        <v>7039.9251414047458</v>
      </c>
      <c r="T82" s="416">
        <f t="shared" si="115"/>
        <v>7430.2787758215072</v>
      </c>
      <c r="U82" s="416">
        <f t="shared" si="115"/>
        <v>7829.5570796073007</v>
      </c>
      <c r="V82" s="357"/>
      <c r="W82" s="357"/>
      <c r="X82" s="357"/>
      <c r="Y82" s="357"/>
      <c r="Z82" s="357"/>
    </row>
    <row r="83" spans="3:72" ht="6" customHeight="1">
      <c r="C83" s="399"/>
      <c r="D83" s="399"/>
      <c r="E83" s="407"/>
      <c r="F83" s="407"/>
      <c r="G83" s="407"/>
      <c r="I83" s="407"/>
      <c r="J83" s="407"/>
      <c r="K83" s="693"/>
      <c r="L83" s="408"/>
      <c r="M83" s="408"/>
      <c r="N83" s="408"/>
      <c r="O83" s="408"/>
      <c r="P83" s="408"/>
      <c r="Q83" s="408"/>
      <c r="R83" s="408"/>
      <c r="S83" s="408"/>
      <c r="T83" s="408"/>
      <c r="U83" s="408"/>
      <c r="V83" s="357"/>
      <c r="W83" s="357"/>
      <c r="X83" s="357"/>
      <c r="Y83" s="357"/>
      <c r="Z83" s="357"/>
    </row>
    <row r="84" spans="3:72">
      <c r="C84" s="401" t="s">
        <v>538</v>
      </c>
      <c r="D84" s="407"/>
      <c r="E84" s="563"/>
      <c r="F84" s="563"/>
      <c r="G84" s="563"/>
      <c r="H84" s="563"/>
      <c r="I84" s="563">
        <f>SUM(I85,I86,I87,I89,I91,I92)</f>
        <v>1229.845</v>
      </c>
      <c r="J84" s="563">
        <f t="shared" ref="J84:U84" si="116">SUM(J85,J86,J87,J89,J91,J92)</f>
        <v>1267.9670000000001</v>
      </c>
      <c r="K84" s="689">
        <f t="shared" si="116"/>
        <v>1056.3828224424067</v>
      </c>
      <c r="L84" s="578">
        <f t="shared" si="116"/>
        <v>1118.7524986992405</v>
      </c>
      <c r="M84" s="578">
        <f t="shared" si="116"/>
        <v>1178.3035685436623</v>
      </c>
      <c r="N84" s="578">
        <f t="shared" si="116"/>
        <v>1161.6014330331923</v>
      </c>
      <c r="O84" s="578">
        <f t="shared" si="116"/>
        <v>979.69750298857457</v>
      </c>
      <c r="P84" s="578">
        <f t="shared" si="116"/>
        <v>953.76810480056315</v>
      </c>
      <c r="Q84" s="578">
        <f t="shared" si="116"/>
        <v>930.72098469520324</v>
      </c>
      <c r="R84" s="578">
        <f t="shared" si="116"/>
        <v>953.47723402001225</v>
      </c>
      <c r="S84" s="578">
        <f t="shared" si="116"/>
        <v>977.29703899770789</v>
      </c>
      <c r="T84" s="578">
        <f t="shared" si="116"/>
        <v>1001.957499226264</v>
      </c>
      <c r="U84" s="578">
        <f t="shared" si="116"/>
        <v>1027.4673280010511</v>
      </c>
      <c r="V84" s="357"/>
      <c r="W84" s="357"/>
      <c r="X84" s="357"/>
      <c r="Y84" s="357"/>
      <c r="Z84" s="357"/>
    </row>
    <row r="85" spans="3:72">
      <c r="C85" s="410" t="s">
        <v>663</v>
      </c>
      <c r="D85" s="407"/>
      <c r="E85" s="563"/>
      <c r="F85" s="563"/>
      <c r="G85" s="563"/>
      <c r="H85" s="563"/>
      <c r="I85" s="831">
        <f>339.188+4.22</f>
        <v>343.40800000000002</v>
      </c>
      <c r="J85" s="831">
        <f>197.692+1.156</f>
        <v>198.84800000000001</v>
      </c>
      <c r="K85" s="682">
        <f>-L161-L186</f>
        <v>26</v>
      </c>
      <c r="L85" s="573">
        <f t="shared" ref="L85:U85" si="117">-M161-M186</f>
        <v>42</v>
      </c>
      <c r="M85" s="573">
        <f t="shared" si="117"/>
        <v>78</v>
      </c>
      <c r="N85" s="573">
        <f t="shared" si="117"/>
        <v>35.701999999999998</v>
      </c>
      <c r="O85" s="573">
        <f t="shared" si="117"/>
        <v>25</v>
      </c>
      <c r="P85" s="573">
        <f>-Q161-Q186</f>
        <v>44.769000000000005</v>
      </c>
      <c r="Q85" s="573">
        <f t="shared" si="117"/>
        <v>0</v>
      </c>
      <c r="R85" s="573">
        <f>-S161-S186</f>
        <v>0</v>
      </c>
      <c r="S85" s="573">
        <f t="shared" si="117"/>
        <v>0</v>
      </c>
      <c r="T85" s="573">
        <f t="shared" si="117"/>
        <v>0</v>
      </c>
      <c r="U85" s="573">
        <f t="shared" si="117"/>
        <v>0</v>
      </c>
      <c r="V85" s="357"/>
      <c r="W85" s="357"/>
      <c r="X85" s="357"/>
      <c r="Y85" s="357"/>
      <c r="Z85" s="357"/>
    </row>
    <row r="86" spans="3:72">
      <c r="C86" s="442" t="s">
        <v>628</v>
      </c>
      <c r="D86" s="407"/>
      <c r="E86" s="579"/>
      <c r="F86" s="579"/>
      <c r="G86" s="579"/>
      <c r="H86" s="579"/>
      <c r="I86" s="579">
        <v>0</v>
      </c>
      <c r="J86" s="579">
        <v>0</v>
      </c>
      <c r="K86" s="690">
        <f>MAX(0,SUM(K62,K65,K67,K69:K70,K72:K72,K78)-SUM(K85,K87,K89,K91:K92,K94,K102))</f>
        <v>0</v>
      </c>
      <c r="L86" s="579">
        <f t="shared" ref="L86:U86" si="118">MAX(0,SUM(L62,L65,L67,L69:L70,L72:L72,L78)-SUM(L85,L87,L89,L91:L92,L94,L102))</f>
        <v>0</v>
      </c>
      <c r="M86" s="579">
        <f t="shared" si="118"/>
        <v>0</v>
      </c>
      <c r="N86" s="579">
        <f t="shared" si="118"/>
        <v>0</v>
      </c>
      <c r="O86" s="579">
        <f t="shared" si="118"/>
        <v>0</v>
      </c>
      <c r="P86" s="579">
        <f t="shared" si="118"/>
        <v>0</v>
      </c>
      <c r="Q86" s="579">
        <f t="shared" si="118"/>
        <v>0</v>
      </c>
      <c r="R86" s="579">
        <f t="shared" si="118"/>
        <v>0</v>
      </c>
      <c r="S86" s="579">
        <f t="shared" si="118"/>
        <v>0</v>
      </c>
      <c r="T86" s="579">
        <f t="shared" si="118"/>
        <v>0</v>
      </c>
      <c r="U86" s="579">
        <f t="shared" si="118"/>
        <v>0</v>
      </c>
      <c r="V86" s="417"/>
    </row>
    <row r="87" spans="3:72">
      <c r="C87" s="410" t="s">
        <v>658</v>
      </c>
      <c r="D87" s="407"/>
      <c r="E87" s="565"/>
      <c r="F87" s="565"/>
      <c r="G87" s="565"/>
      <c r="H87" s="565"/>
      <c r="I87" s="831">
        <v>212.435</v>
      </c>
      <c r="J87" s="831">
        <v>211.27500000000001</v>
      </c>
      <c r="K87" s="682">
        <f>-K88/365*K$11</f>
        <v>211.73698079605313</v>
      </c>
      <c r="L87" s="573">
        <f t="shared" ref="L87" si="119">-L88/365*L$11</f>
        <v>217.04649909103941</v>
      </c>
      <c r="M87" s="573">
        <f t="shared" ref="M87" si="120">-M88/365*M$11</f>
        <v>221.82152207104227</v>
      </c>
      <c r="N87" s="573">
        <f t="shared" ref="N87" si="121">-N88/365*N$11</f>
        <v>227.03432783971175</v>
      </c>
      <c r="O87" s="573">
        <f t="shared" ref="O87" si="122">-O88/365*O$11</f>
        <v>232.71018603570454</v>
      </c>
      <c r="P87" s="573">
        <f t="shared" ref="P87" si="123">-P88/365*P$11</f>
        <v>238.17887540754361</v>
      </c>
      <c r="Q87" s="573">
        <f t="shared" ref="Q87" si="124">-Q88/365*Q$11</f>
        <v>243.8951684173247</v>
      </c>
      <c r="R87" s="573">
        <f t="shared" ref="R87" si="125">-R88/365*R$11</f>
        <v>249.87060004354913</v>
      </c>
      <c r="S87" s="573">
        <f t="shared" ref="S87" si="126">-S88/365*S$11</f>
        <v>256.11736504463784</v>
      </c>
      <c r="T87" s="573">
        <f t="shared" ref="T87" si="127">-T88/365*T$11</f>
        <v>262.5816173994275</v>
      </c>
      <c r="U87" s="573">
        <f t="shared" ref="U87" si="128">-U88/365*U$11</f>
        <v>269.27249160430762</v>
      </c>
      <c r="V87" s="417"/>
    </row>
    <row r="88" spans="3:72" hidden="1" outlineLevel="1">
      <c r="C88" s="728" t="s">
        <v>722</v>
      </c>
      <c r="D88" s="407"/>
      <c r="E88" s="565"/>
      <c r="F88" s="565"/>
      <c r="G88" s="565"/>
      <c r="H88" s="565"/>
      <c r="I88" s="729">
        <f>-I87*365/I$11</f>
        <v>23.301592400808143</v>
      </c>
      <c r="J88" s="729">
        <f>-J87*365/J$11</f>
        <v>22.308983781044095</v>
      </c>
      <c r="K88" s="898">
        <v>22</v>
      </c>
      <c r="L88" s="732">
        <f>K88</f>
        <v>22</v>
      </c>
      <c r="M88" s="732">
        <f t="shared" ref="M88:U88" si="129">L88</f>
        <v>22</v>
      </c>
      <c r="N88" s="732">
        <f t="shared" si="129"/>
        <v>22</v>
      </c>
      <c r="O88" s="732">
        <f t="shared" si="129"/>
        <v>22</v>
      </c>
      <c r="P88" s="732">
        <f t="shared" si="129"/>
        <v>22</v>
      </c>
      <c r="Q88" s="732">
        <f t="shared" si="129"/>
        <v>22</v>
      </c>
      <c r="R88" s="732">
        <f t="shared" si="129"/>
        <v>22</v>
      </c>
      <c r="S88" s="732">
        <f t="shared" si="129"/>
        <v>22</v>
      </c>
      <c r="T88" s="732">
        <f t="shared" si="129"/>
        <v>22</v>
      </c>
      <c r="U88" s="732">
        <f t="shared" si="129"/>
        <v>22</v>
      </c>
      <c r="V88" s="417"/>
    </row>
    <row r="89" spans="3:72" collapsed="1">
      <c r="C89" s="410" t="s">
        <v>662</v>
      </c>
      <c r="D89" s="407"/>
      <c r="E89" s="565"/>
      <c r="F89" s="565"/>
      <c r="G89" s="565"/>
      <c r="H89" s="565"/>
      <c r="I89" s="831">
        <v>220.44900000000001</v>
      </c>
      <c r="J89" s="831">
        <v>372.41399999999999</v>
      </c>
      <c r="K89" s="682">
        <f>K90/365*K$8</f>
        <v>362.30705818488332</v>
      </c>
      <c r="L89" s="573">
        <f>L90/365*L$8</f>
        <v>371.39227299527204</v>
      </c>
      <c r="M89" s="573">
        <f t="shared" ref="M89:U89" si="130">M90/365*M$8</f>
        <v>379.56290300116802</v>
      </c>
      <c r="N89" s="573">
        <f t="shared" si="130"/>
        <v>388.4826312216955</v>
      </c>
      <c r="O89" s="573">
        <f t="shared" si="130"/>
        <v>199.09734850111892</v>
      </c>
      <c r="P89" s="573">
        <f t="shared" si="130"/>
        <v>135.85075746059681</v>
      </c>
      <c r="Q89" s="573">
        <f t="shared" si="130"/>
        <v>139.11117563965115</v>
      </c>
      <c r="R89" s="573">
        <f t="shared" si="130"/>
        <v>142.51939944282259</v>
      </c>
      <c r="S89" s="573">
        <f t="shared" si="130"/>
        <v>146.08238442889316</v>
      </c>
      <c r="T89" s="573">
        <f t="shared" si="130"/>
        <v>149.7694182907837</v>
      </c>
      <c r="U89" s="573">
        <f t="shared" si="130"/>
        <v>153.58571109698337</v>
      </c>
      <c r="V89" s="417"/>
    </row>
    <row r="90" spans="3:72" hidden="1" outlineLevel="1">
      <c r="C90" s="728" t="s">
        <v>721</v>
      </c>
      <c r="D90" s="407"/>
      <c r="E90" s="565"/>
      <c r="F90" s="565"/>
      <c r="G90" s="565"/>
      <c r="H90" s="565"/>
      <c r="I90" s="729">
        <f>I89*365/I$8</f>
        <v>18.905414990945999</v>
      </c>
      <c r="J90" s="729">
        <f>J89*365/J$8</f>
        <v>31.338353238661981</v>
      </c>
      <c r="K90" s="898">
        <v>30</v>
      </c>
      <c r="L90" s="732">
        <f>K90</f>
        <v>30</v>
      </c>
      <c r="M90" s="732">
        <f t="shared" ref="M90:U90" si="131">L90</f>
        <v>30</v>
      </c>
      <c r="N90" s="732">
        <f t="shared" si="131"/>
        <v>30</v>
      </c>
      <c r="O90" s="732">
        <v>15</v>
      </c>
      <c r="P90" s="732">
        <v>10</v>
      </c>
      <c r="Q90" s="732">
        <f t="shared" si="131"/>
        <v>10</v>
      </c>
      <c r="R90" s="732">
        <f t="shared" si="131"/>
        <v>10</v>
      </c>
      <c r="S90" s="732">
        <f t="shared" si="131"/>
        <v>10</v>
      </c>
      <c r="T90" s="732">
        <f t="shared" si="131"/>
        <v>10</v>
      </c>
      <c r="U90" s="732">
        <f t="shared" si="131"/>
        <v>10</v>
      </c>
      <c r="V90" s="417"/>
    </row>
    <row r="91" spans="3:72" collapsed="1">
      <c r="C91" s="410" t="s">
        <v>659</v>
      </c>
      <c r="D91" s="407"/>
      <c r="E91" s="565"/>
      <c r="F91" s="565"/>
      <c r="G91" s="565"/>
      <c r="H91" s="565"/>
      <c r="I91" s="831">
        <v>6.742</v>
      </c>
      <c r="J91" s="831">
        <v>1.577</v>
      </c>
      <c r="K91" s="682">
        <f>5%*K44</f>
        <v>5.3396078211219411</v>
      </c>
      <c r="L91" s="573">
        <f t="shared" ref="L91:U91" si="132">5%*L44</f>
        <v>5.50377171907546</v>
      </c>
      <c r="M91" s="573">
        <f t="shared" si="132"/>
        <v>5.4873695699335094</v>
      </c>
      <c r="N91" s="573">
        <f t="shared" si="132"/>
        <v>5.3550533835808487</v>
      </c>
      <c r="O91" s="573">
        <f t="shared" si="132"/>
        <v>5.2368623488419148</v>
      </c>
      <c r="P91" s="573">
        <f t="shared" si="132"/>
        <v>5.1515178360950449</v>
      </c>
      <c r="Q91" s="573">
        <f t="shared" si="132"/>
        <v>5.1810556435878512</v>
      </c>
      <c r="R91" s="573">
        <f t="shared" si="132"/>
        <v>5.2615767066323773</v>
      </c>
      <c r="S91" s="573">
        <f t="shared" si="132"/>
        <v>5.3759902514934312</v>
      </c>
      <c r="T91" s="573">
        <f t="shared" si="132"/>
        <v>5.5057322019962118</v>
      </c>
      <c r="U91" s="573">
        <f t="shared" si="132"/>
        <v>5.6248520215249158</v>
      </c>
    </row>
    <row r="92" spans="3:72">
      <c r="C92" s="410" t="s">
        <v>661</v>
      </c>
      <c r="D92" s="407"/>
      <c r="E92" s="565"/>
      <c r="F92" s="565"/>
      <c r="G92" s="565"/>
      <c r="H92" s="565"/>
      <c r="I92" s="831">
        <f>16.589+155.615+129.417+108.871+4.012+32.307</f>
        <v>446.81099999999998</v>
      </c>
      <c r="J92" s="831">
        <f>163.598+113.037+159.242+4.012+43.964</f>
        <v>483.85299999999995</v>
      </c>
      <c r="K92" s="682">
        <f>K93/365*K$8+K38</f>
        <v>450.99917564034837</v>
      </c>
      <c r="L92" s="573">
        <f>L93/365*L$8</f>
        <v>482.80995489385367</v>
      </c>
      <c r="M92" s="573">
        <f t="shared" ref="M92:U92" si="133">M93/365*M$8</f>
        <v>493.43177390151851</v>
      </c>
      <c r="N92" s="573">
        <f t="shared" si="133"/>
        <v>505.02742058820417</v>
      </c>
      <c r="O92" s="573">
        <f t="shared" si="133"/>
        <v>517.65310610290931</v>
      </c>
      <c r="P92" s="573">
        <f t="shared" si="133"/>
        <v>529.81795409632764</v>
      </c>
      <c r="Q92" s="573">
        <f t="shared" si="133"/>
        <v>542.53358499463957</v>
      </c>
      <c r="R92" s="573">
        <f t="shared" si="133"/>
        <v>555.82565782700817</v>
      </c>
      <c r="S92" s="573">
        <f t="shared" si="133"/>
        <v>569.72129927268338</v>
      </c>
      <c r="T92" s="573">
        <f t="shared" si="133"/>
        <v>584.10073133405649</v>
      </c>
      <c r="U92" s="573">
        <f t="shared" si="133"/>
        <v>598.98427327823515</v>
      </c>
    </row>
    <row r="93" spans="3:72" hidden="1" outlineLevel="1">
      <c r="C93" s="728" t="s">
        <v>721</v>
      </c>
      <c r="D93" s="407"/>
      <c r="E93" s="565"/>
      <c r="F93" s="565"/>
      <c r="G93" s="565"/>
      <c r="H93" s="565"/>
      <c r="I93" s="729">
        <f>I92*365/I$8</f>
        <v>38.317921049855393</v>
      </c>
      <c r="J93" s="729">
        <f>J92*365/J$8</f>
        <v>40.715859848411483</v>
      </c>
      <c r="K93" s="898">
        <v>39</v>
      </c>
      <c r="L93" s="732">
        <f>K93</f>
        <v>39</v>
      </c>
      <c r="M93" s="732">
        <f t="shared" ref="M93:U93" si="134">L93</f>
        <v>39</v>
      </c>
      <c r="N93" s="732">
        <f t="shared" si="134"/>
        <v>39</v>
      </c>
      <c r="O93" s="732">
        <f t="shared" si="134"/>
        <v>39</v>
      </c>
      <c r="P93" s="732">
        <f t="shared" si="134"/>
        <v>39</v>
      </c>
      <c r="Q93" s="732">
        <f t="shared" si="134"/>
        <v>39</v>
      </c>
      <c r="R93" s="732">
        <f t="shared" si="134"/>
        <v>39</v>
      </c>
      <c r="S93" s="732">
        <f t="shared" si="134"/>
        <v>39</v>
      </c>
      <c r="T93" s="732">
        <f t="shared" si="134"/>
        <v>39</v>
      </c>
      <c r="U93" s="732">
        <f t="shared" si="134"/>
        <v>39</v>
      </c>
    </row>
    <row r="94" spans="3:72" collapsed="1">
      <c r="C94" s="401" t="s">
        <v>543</v>
      </c>
      <c r="D94" s="407"/>
      <c r="E94" s="563"/>
      <c r="F94" s="563"/>
      <c r="G94" s="563"/>
      <c r="H94" s="563"/>
      <c r="I94" s="563">
        <f>SUM(I95,I96,I98,I100)</f>
        <v>1350.729</v>
      </c>
      <c r="J94" s="563">
        <f>SUM(J95,J96,J98,J100)</f>
        <v>1668.04</v>
      </c>
      <c r="K94" s="689">
        <f t="shared" ref="K94:U94" si="135">SUM(K95,K96,K98,K100)</f>
        <v>1382.5220781226938</v>
      </c>
      <c r="L94" s="578">
        <f t="shared" si="135"/>
        <v>1097.1853552745381</v>
      </c>
      <c r="M94" s="578">
        <f t="shared" si="135"/>
        <v>769.07741889708882</v>
      </c>
      <c r="N94" s="578">
        <f t="shared" si="135"/>
        <v>497.09989434386506</v>
      </c>
      <c r="O94" s="578">
        <f t="shared" si="135"/>
        <v>482.7831667024617</v>
      </c>
      <c r="P94" s="578">
        <f t="shared" si="135"/>
        <v>448.30749961996958</v>
      </c>
      <c r="Q94" s="578">
        <f t="shared" si="135"/>
        <v>459.06687961084884</v>
      </c>
      <c r="R94" s="578">
        <f t="shared" si="135"/>
        <v>470.31401816131461</v>
      </c>
      <c r="S94" s="578">
        <f t="shared" si="135"/>
        <v>482.07186861534746</v>
      </c>
      <c r="T94" s="578">
        <f t="shared" si="135"/>
        <v>494.23908035958624</v>
      </c>
      <c r="U94" s="578">
        <f t="shared" si="135"/>
        <v>506.83284662004513</v>
      </c>
    </row>
    <row r="95" spans="3:72">
      <c r="C95" s="410" t="s">
        <v>663</v>
      </c>
      <c r="D95" s="407"/>
      <c r="E95" s="565"/>
      <c r="F95" s="565"/>
      <c r="G95" s="565"/>
      <c r="H95" s="565"/>
      <c r="I95" s="831">
        <f>437.809+1.529</f>
        <v>439.33800000000002</v>
      </c>
      <c r="J95" s="831">
        <v>250.779</v>
      </c>
      <c r="K95" s="682">
        <f t="shared" ref="K95:U95" si="136">K164+K191-K85</f>
        <v>225.471</v>
      </c>
      <c r="L95" s="573">
        <f t="shared" si="136"/>
        <v>183.471</v>
      </c>
      <c r="M95" s="573">
        <f t="shared" si="136"/>
        <v>105.471</v>
      </c>
      <c r="N95" s="573">
        <f t="shared" si="136"/>
        <v>69.769000000000005</v>
      </c>
      <c r="O95" s="573">
        <f t="shared" si="136"/>
        <v>44.769000000000005</v>
      </c>
      <c r="P95" s="573">
        <f t="shared" si="136"/>
        <v>0</v>
      </c>
      <c r="Q95" s="573">
        <f t="shared" si="136"/>
        <v>0</v>
      </c>
      <c r="R95" s="573">
        <f t="shared" si="136"/>
        <v>0</v>
      </c>
      <c r="S95" s="573">
        <f t="shared" si="136"/>
        <v>0</v>
      </c>
      <c r="T95" s="573">
        <f t="shared" si="136"/>
        <v>0</v>
      </c>
      <c r="U95" s="573">
        <f t="shared" si="136"/>
        <v>0</v>
      </c>
      <c r="AX95" s="418"/>
      <c r="AY95" s="418"/>
      <c r="BG95" s="418"/>
      <c r="BH95" s="418"/>
      <c r="BI95" s="418"/>
      <c r="BJ95" s="418"/>
      <c r="BL95" s="418"/>
      <c r="BM95" s="418"/>
      <c r="BR95" s="418"/>
      <c r="BS95" s="418"/>
      <c r="BT95" s="418"/>
    </row>
    <row r="96" spans="3:72">
      <c r="C96" s="410" t="s">
        <v>660</v>
      </c>
      <c r="D96" s="407"/>
      <c r="E96" s="565"/>
      <c r="F96" s="565"/>
      <c r="G96" s="565"/>
      <c r="H96" s="565"/>
      <c r="I96" s="831">
        <v>55.664000000000001</v>
      </c>
      <c r="J96" s="831">
        <v>981.93600000000004</v>
      </c>
      <c r="K96" s="682">
        <f>J96+K97</f>
        <v>740.39796121007782</v>
      </c>
      <c r="L96" s="573">
        <f t="shared" ref="L96:M96" si="137">K96+L97</f>
        <v>492.80311254656317</v>
      </c>
      <c r="M96" s="573">
        <f t="shared" si="137"/>
        <v>239.76117721245117</v>
      </c>
      <c r="N96" s="573">
        <f>M96+N97</f>
        <v>0</v>
      </c>
      <c r="O96" s="573">
        <f t="shared" ref="O96" si="138">N96+O97</f>
        <v>0</v>
      </c>
      <c r="P96" s="573">
        <f>O96+P97</f>
        <v>0</v>
      </c>
      <c r="Q96" s="573">
        <f t="shared" ref="Q96" si="139">P96+Q97</f>
        <v>0</v>
      </c>
      <c r="R96" s="573">
        <f>Q96+R97</f>
        <v>0</v>
      </c>
      <c r="S96" s="573">
        <f t="shared" ref="S96" si="140">R96+S97</f>
        <v>0</v>
      </c>
      <c r="T96" s="573">
        <f>S96+T97</f>
        <v>0</v>
      </c>
      <c r="U96" s="573">
        <v>0</v>
      </c>
    </row>
    <row r="97" spans="3:29" hidden="1" outlineLevel="1">
      <c r="C97" s="728" t="s">
        <v>433</v>
      </c>
      <c r="D97" s="407"/>
      <c r="E97" s="565"/>
      <c r="F97" s="565"/>
      <c r="G97" s="565"/>
      <c r="H97" s="565"/>
      <c r="I97" s="565"/>
      <c r="J97" s="565"/>
      <c r="K97" s="898">
        <f>-2/3*K89</f>
        <v>-241.53803878992221</v>
      </c>
      <c r="L97" s="732">
        <f t="shared" ref="L97:M97" si="141">-2/3*L89</f>
        <v>-247.59484866351468</v>
      </c>
      <c r="M97" s="732">
        <f t="shared" si="141"/>
        <v>-253.041935334112</v>
      </c>
      <c r="N97" s="732">
        <f>-M96</f>
        <v>-239.76117721245117</v>
      </c>
      <c r="O97" s="732">
        <v>0</v>
      </c>
      <c r="P97" s="732">
        <f>O97</f>
        <v>0</v>
      </c>
      <c r="Q97" s="732">
        <f>P97</f>
        <v>0</v>
      </c>
      <c r="R97" s="732">
        <v>0</v>
      </c>
      <c r="S97" s="732">
        <v>0</v>
      </c>
      <c r="T97" s="732">
        <v>0</v>
      </c>
      <c r="U97" s="732">
        <v>0</v>
      </c>
    </row>
    <row r="98" spans="3:29" collapsed="1">
      <c r="C98" s="410" t="s">
        <v>662</v>
      </c>
      <c r="D98" s="407"/>
      <c r="E98" s="565"/>
      <c r="F98" s="565"/>
      <c r="G98" s="565"/>
      <c r="H98" s="565"/>
      <c r="I98" s="831">
        <v>505.93200000000002</v>
      </c>
      <c r="J98" s="831">
        <v>29.263000000000002</v>
      </c>
      <c r="K98" s="682">
        <f>K99/365*K$8</f>
        <v>18.115352909244166</v>
      </c>
      <c r="L98" s="573">
        <f t="shared" ref="L98:U98" si="142">L99/365*L$8</f>
        <v>12.379742433175736</v>
      </c>
      <c r="M98" s="573">
        <f t="shared" si="142"/>
        <v>6.3260483833528012</v>
      </c>
      <c r="N98" s="573">
        <f t="shared" si="142"/>
        <v>0</v>
      </c>
      <c r="O98" s="573">
        <f t="shared" si="142"/>
        <v>0</v>
      </c>
      <c r="P98" s="573">
        <f t="shared" si="142"/>
        <v>0</v>
      </c>
      <c r="Q98" s="573">
        <f t="shared" si="142"/>
        <v>0</v>
      </c>
      <c r="R98" s="573">
        <f t="shared" si="142"/>
        <v>0</v>
      </c>
      <c r="S98" s="573">
        <f t="shared" si="142"/>
        <v>0</v>
      </c>
      <c r="T98" s="573">
        <f t="shared" si="142"/>
        <v>0</v>
      </c>
      <c r="U98" s="573">
        <f t="shared" si="142"/>
        <v>0</v>
      </c>
    </row>
    <row r="99" spans="3:29" hidden="1" outlineLevel="1">
      <c r="C99" s="728" t="s">
        <v>721</v>
      </c>
      <c r="D99" s="407"/>
      <c r="E99" s="565"/>
      <c r="F99" s="565"/>
      <c r="G99" s="565"/>
      <c r="H99" s="565"/>
      <c r="I99" s="729">
        <f>I98*365/I$8</f>
        <v>43.388059901379869</v>
      </c>
      <c r="J99" s="729">
        <f>J98*365/J$8</f>
        <v>2.4624590665844082</v>
      </c>
      <c r="K99" s="898">
        <v>1.5</v>
      </c>
      <c r="L99" s="732">
        <v>1</v>
      </c>
      <c r="M99" s="732">
        <v>0.5</v>
      </c>
      <c r="N99" s="732">
        <v>0</v>
      </c>
      <c r="O99" s="732">
        <f>N99</f>
        <v>0</v>
      </c>
      <c r="P99" s="732">
        <f t="shared" ref="P99:U99" si="143">O99</f>
        <v>0</v>
      </c>
      <c r="Q99" s="732">
        <f t="shared" si="143"/>
        <v>0</v>
      </c>
      <c r="R99" s="732">
        <f t="shared" si="143"/>
        <v>0</v>
      </c>
      <c r="S99" s="732">
        <f t="shared" si="143"/>
        <v>0</v>
      </c>
      <c r="T99" s="732">
        <f t="shared" si="143"/>
        <v>0</v>
      </c>
      <c r="U99" s="732">
        <f t="shared" si="143"/>
        <v>0</v>
      </c>
    </row>
    <row r="100" spans="3:29" collapsed="1">
      <c r="C100" s="410" t="s">
        <v>664</v>
      </c>
      <c r="D100" s="407"/>
      <c r="E100" s="565"/>
      <c r="F100" s="565"/>
      <c r="G100" s="565"/>
      <c r="H100" s="565"/>
      <c r="I100" s="831">
        <f>207.666+60.95+1.022+56.16+23.997</f>
        <v>349.79500000000002</v>
      </c>
      <c r="J100" s="831">
        <f>195.347+70.76+66.22+54.7+19.035</f>
        <v>406.06200000000001</v>
      </c>
      <c r="K100" s="682">
        <f>K101/365*K$8</f>
        <v>398.53776400337171</v>
      </c>
      <c r="L100" s="573">
        <f>L101/365*L$8</f>
        <v>408.53150029479929</v>
      </c>
      <c r="M100" s="573">
        <f t="shared" ref="M100:U100" si="144">M101/365*M$8</f>
        <v>417.51919330128487</v>
      </c>
      <c r="N100" s="573">
        <f t="shared" si="144"/>
        <v>427.33089434386505</v>
      </c>
      <c r="O100" s="573">
        <f t="shared" si="144"/>
        <v>438.01416670246169</v>
      </c>
      <c r="P100" s="573">
        <f t="shared" si="144"/>
        <v>448.30749961996958</v>
      </c>
      <c r="Q100" s="573">
        <f t="shared" si="144"/>
        <v>459.06687961084884</v>
      </c>
      <c r="R100" s="573">
        <f t="shared" si="144"/>
        <v>470.31401816131461</v>
      </c>
      <c r="S100" s="573">
        <f t="shared" si="144"/>
        <v>482.07186861534746</v>
      </c>
      <c r="T100" s="573">
        <f t="shared" si="144"/>
        <v>494.23908035958624</v>
      </c>
      <c r="U100" s="573">
        <f t="shared" si="144"/>
        <v>506.83284662004513</v>
      </c>
    </row>
    <row r="101" spans="3:29" hidden="1" outlineLevel="1">
      <c r="C101" s="728" t="s">
        <v>721</v>
      </c>
      <c r="D101" s="407"/>
      <c r="E101" s="565"/>
      <c r="F101" s="565"/>
      <c r="G101" s="565"/>
      <c r="H101" s="565"/>
      <c r="I101" s="729">
        <f>I100*365/I$8</f>
        <v>29.997957063801405</v>
      </c>
      <c r="J101" s="729">
        <f>J100*365/J$8</f>
        <v>34.16980670113788</v>
      </c>
      <c r="K101" s="898">
        <v>33</v>
      </c>
      <c r="L101" s="732">
        <f>K101</f>
        <v>33</v>
      </c>
      <c r="M101" s="732">
        <f t="shared" ref="M101:U101" si="145">L101</f>
        <v>33</v>
      </c>
      <c r="N101" s="732">
        <f t="shared" si="145"/>
        <v>33</v>
      </c>
      <c r="O101" s="732">
        <f t="shared" si="145"/>
        <v>33</v>
      </c>
      <c r="P101" s="732">
        <f t="shared" si="145"/>
        <v>33</v>
      </c>
      <c r="Q101" s="732">
        <f t="shared" si="145"/>
        <v>33</v>
      </c>
      <c r="R101" s="732">
        <f t="shared" si="145"/>
        <v>33</v>
      </c>
      <c r="S101" s="732">
        <f t="shared" si="145"/>
        <v>33</v>
      </c>
      <c r="T101" s="732">
        <f t="shared" si="145"/>
        <v>33</v>
      </c>
      <c r="U101" s="732">
        <f t="shared" si="145"/>
        <v>33</v>
      </c>
    </row>
    <row r="102" spans="3:29" collapsed="1">
      <c r="C102" s="401" t="s">
        <v>544</v>
      </c>
      <c r="D102" s="407"/>
      <c r="E102" s="563"/>
      <c r="F102" s="563"/>
      <c r="G102" s="563"/>
      <c r="H102" s="563"/>
      <c r="I102" s="563">
        <f t="shared" ref="I102:K102" si="146">SUM(I103:I106)</f>
        <v>2085.0129999999999</v>
      </c>
      <c r="J102" s="563">
        <f t="shared" si="146"/>
        <v>2505.3340000000003</v>
      </c>
      <c r="K102" s="689">
        <f t="shared" si="146"/>
        <v>2848.1930285141457</v>
      </c>
      <c r="L102" s="578">
        <f t="shared" ref="L102:U102" si="147">SUM(L103:L106)</f>
        <v>3201.5931073179381</v>
      </c>
      <c r="M102" s="578">
        <f t="shared" si="147"/>
        <v>3553.9399954926162</v>
      </c>
      <c r="N102" s="578">
        <f t="shared" si="147"/>
        <v>3897.7907917014918</v>
      </c>
      <c r="O102" s="578">
        <f t="shared" si="147"/>
        <v>4234.0524793639725</v>
      </c>
      <c r="P102" s="578">
        <f t="shared" si="147"/>
        <v>4564.8341509448128</v>
      </c>
      <c r="Q102" s="578">
        <f t="shared" si="147"/>
        <v>4897.5124606909794</v>
      </c>
      <c r="R102" s="578">
        <f t="shared" si="147"/>
        <v>5235.3610702747428</v>
      </c>
      <c r="S102" s="578">
        <f t="shared" si="147"/>
        <v>5580.556233791689</v>
      </c>
      <c r="T102" s="578">
        <f t="shared" si="147"/>
        <v>5934.0821962356567</v>
      </c>
      <c r="U102" s="578">
        <f t="shared" si="147"/>
        <v>6295.256904986205</v>
      </c>
    </row>
    <row r="103" spans="3:29">
      <c r="C103" s="410" t="s">
        <v>548</v>
      </c>
      <c r="D103" s="407"/>
      <c r="E103" s="565"/>
      <c r="F103" s="565"/>
      <c r="G103" s="565"/>
      <c r="H103" s="565"/>
      <c r="I103" s="831">
        <v>1605.675</v>
      </c>
      <c r="J103" s="831">
        <v>1698.915</v>
      </c>
      <c r="K103" s="682">
        <f>J103</f>
        <v>1698.915</v>
      </c>
      <c r="L103" s="573">
        <f t="shared" ref="L103:U103" si="148">K103</f>
        <v>1698.915</v>
      </c>
      <c r="M103" s="573">
        <f t="shared" si="148"/>
        <v>1698.915</v>
      </c>
      <c r="N103" s="573">
        <f t="shared" si="148"/>
        <v>1698.915</v>
      </c>
      <c r="O103" s="573">
        <f t="shared" si="148"/>
        <v>1698.915</v>
      </c>
      <c r="P103" s="573">
        <f t="shared" si="148"/>
        <v>1698.915</v>
      </c>
      <c r="Q103" s="573">
        <f t="shared" si="148"/>
        <v>1698.915</v>
      </c>
      <c r="R103" s="573">
        <f t="shared" si="148"/>
        <v>1698.915</v>
      </c>
      <c r="S103" s="573">
        <f t="shared" si="148"/>
        <v>1698.915</v>
      </c>
      <c r="T103" s="573">
        <f t="shared" si="148"/>
        <v>1698.915</v>
      </c>
      <c r="U103" s="573">
        <f t="shared" si="148"/>
        <v>1698.915</v>
      </c>
    </row>
    <row r="104" spans="3:29">
      <c r="C104" s="410" t="s">
        <v>549</v>
      </c>
      <c r="D104" s="407"/>
      <c r="E104" s="565"/>
      <c r="F104" s="565"/>
      <c r="G104" s="565"/>
      <c r="H104" s="565"/>
      <c r="I104" s="831">
        <v>3.4000000000000002E-2</v>
      </c>
      <c r="J104" s="831">
        <v>3.4000000000000002E-2</v>
      </c>
      <c r="K104" s="682">
        <f t="shared" ref="K104:U104" si="149">J104+K43</f>
        <v>22.516559246829225</v>
      </c>
      <c r="L104" s="573">
        <f t="shared" si="149"/>
        <v>45.690334906094321</v>
      </c>
      <c r="M104" s="573">
        <f t="shared" si="149"/>
        <v>68.795048884761727</v>
      </c>
      <c r="N104" s="573">
        <f t="shared" si="149"/>
        <v>91.342642078786355</v>
      </c>
      <c r="O104" s="573">
        <f t="shared" si="149"/>
        <v>113.39258881075231</v>
      </c>
      <c r="P104" s="573">
        <f t="shared" si="149"/>
        <v>135.08319022588935</v>
      </c>
      <c r="Q104" s="573">
        <f t="shared" si="149"/>
        <v>156.89816135678558</v>
      </c>
      <c r="R104" s="573">
        <f t="shared" si="149"/>
        <v>179.05216854260613</v>
      </c>
      <c r="S104" s="573">
        <f t="shared" si="149"/>
        <v>201.68791696994688</v>
      </c>
      <c r="T104" s="573">
        <f t="shared" si="149"/>
        <v>224.86994729414147</v>
      </c>
      <c r="U104" s="573">
        <f t="shared" si="149"/>
        <v>248.55353475319373</v>
      </c>
    </row>
    <row r="105" spans="3:29">
      <c r="C105" s="410" t="s">
        <v>550</v>
      </c>
      <c r="D105" s="407"/>
      <c r="E105" s="565"/>
      <c r="F105" s="565"/>
      <c r="G105" s="565"/>
      <c r="H105" s="565"/>
      <c r="I105" s="831">
        <f>1.323+573.745</f>
        <v>575.06799999999998</v>
      </c>
      <c r="J105" s="831">
        <f>1.323+875.908</f>
        <v>877.23099999999999</v>
      </c>
      <c r="K105" s="682">
        <f t="shared" ref="K105:U105" si="150">J105+(K39-K43)-K44</f>
        <v>1197.6074692673164</v>
      </c>
      <c r="L105" s="573">
        <f t="shared" si="150"/>
        <v>1527.8337724118439</v>
      </c>
      <c r="M105" s="573">
        <f t="shared" si="150"/>
        <v>1857.0759466078543</v>
      </c>
      <c r="N105" s="573">
        <f t="shared" si="150"/>
        <v>2178.3791496227054</v>
      </c>
      <c r="O105" s="573">
        <f t="shared" si="150"/>
        <v>2492.5908905532201</v>
      </c>
      <c r="P105" s="573">
        <f t="shared" si="150"/>
        <v>2801.6819607189227</v>
      </c>
      <c r="Q105" s="573">
        <f t="shared" si="150"/>
        <v>3112.5452993341942</v>
      </c>
      <c r="R105" s="573">
        <f t="shared" si="150"/>
        <v>3428.2399017321368</v>
      </c>
      <c r="S105" s="573">
        <f t="shared" si="150"/>
        <v>3750.7993168217427</v>
      </c>
      <c r="T105" s="573">
        <f t="shared" si="150"/>
        <v>4081.1432489415156</v>
      </c>
      <c r="U105" s="573">
        <f t="shared" si="150"/>
        <v>4418.6343702330105</v>
      </c>
    </row>
    <row r="106" spans="3:29">
      <c r="C106" s="410" t="s">
        <v>551</v>
      </c>
      <c r="D106" s="407"/>
      <c r="E106" s="565"/>
      <c r="F106" s="565"/>
      <c r="G106" s="565"/>
      <c r="H106" s="565"/>
      <c r="I106" s="831">
        <v>-95.763999999999996</v>
      </c>
      <c r="J106" s="831">
        <v>-70.846000000000004</v>
      </c>
      <c r="K106" s="682">
        <f>J106</f>
        <v>-70.846000000000004</v>
      </c>
      <c r="L106" s="573">
        <f t="shared" ref="L106:U106" si="151">K106</f>
        <v>-70.846000000000004</v>
      </c>
      <c r="M106" s="573">
        <f t="shared" si="151"/>
        <v>-70.846000000000004</v>
      </c>
      <c r="N106" s="573">
        <f t="shared" si="151"/>
        <v>-70.846000000000004</v>
      </c>
      <c r="O106" s="573">
        <f t="shared" si="151"/>
        <v>-70.846000000000004</v>
      </c>
      <c r="P106" s="573">
        <f t="shared" si="151"/>
        <v>-70.846000000000004</v>
      </c>
      <c r="Q106" s="573">
        <f t="shared" si="151"/>
        <v>-70.846000000000004</v>
      </c>
      <c r="R106" s="573">
        <f t="shared" si="151"/>
        <v>-70.846000000000004</v>
      </c>
      <c r="S106" s="573">
        <f t="shared" si="151"/>
        <v>-70.846000000000004</v>
      </c>
      <c r="T106" s="573">
        <f t="shared" si="151"/>
        <v>-70.846000000000004</v>
      </c>
      <c r="U106" s="573">
        <f t="shared" si="151"/>
        <v>-70.846000000000004</v>
      </c>
    </row>
    <row r="107" spans="3:29">
      <c r="C107" s="415" t="s">
        <v>552</v>
      </c>
      <c r="D107" s="415"/>
      <c r="E107" s="416"/>
      <c r="F107" s="416"/>
      <c r="G107" s="416"/>
      <c r="H107" s="416"/>
      <c r="I107" s="416">
        <f t="shared" ref="I107:U107" si="152">I102+I94+I84</f>
        <v>4665.5870000000004</v>
      </c>
      <c r="J107" s="416">
        <f t="shared" si="152"/>
        <v>5441.3410000000003</v>
      </c>
      <c r="K107" s="692">
        <f t="shared" si="152"/>
        <v>5287.0979290792466</v>
      </c>
      <c r="L107" s="416">
        <f t="shared" si="152"/>
        <v>5417.5309612917163</v>
      </c>
      <c r="M107" s="416">
        <f t="shared" si="152"/>
        <v>5501.3209829333673</v>
      </c>
      <c r="N107" s="416">
        <f t="shared" si="152"/>
        <v>5556.4921190785499</v>
      </c>
      <c r="O107" s="416">
        <f t="shared" si="152"/>
        <v>5696.5331490550088</v>
      </c>
      <c r="P107" s="416">
        <f t="shared" si="152"/>
        <v>5966.9097553653455</v>
      </c>
      <c r="Q107" s="416">
        <f t="shared" si="152"/>
        <v>6287.3003249970316</v>
      </c>
      <c r="R107" s="416">
        <f t="shared" si="152"/>
        <v>6659.1523224560697</v>
      </c>
      <c r="S107" s="416">
        <f t="shared" si="152"/>
        <v>7039.9251414047449</v>
      </c>
      <c r="T107" s="416">
        <f t="shared" si="152"/>
        <v>7430.2787758215072</v>
      </c>
      <c r="U107" s="416">
        <f t="shared" si="152"/>
        <v>7829.5570796073016</v>
      </c>
    </row>
    <row r="108" spans="3:29">
      <c r="C108" s="352"/>
      <c r="D108" s="352"/>
      <c r="E108" s="295"/>
      <c r="F108" s="295"/>
      <c r="G108" s="295"/>
      <c r="H108" s="295"/>
      <c r="I108" s="295" t="str">
        <f t="shared" ref="I108:U108" si="153">IF(ABS(I107-I82)&lt;0.0000001,"ü","û")</f>
        <v>ü</v>
      </c>
      <c r="J108" s="295" t="str">
        <f t="shared" si="153"/>
        <v>ü</v>
      </c>
      <c r="K108" s="662" t="str">
        <f t="shared" si="153"/>
        <v>ü</v>
      </c>
      <c r="L108" s="295" t="str">
        <f t="shared" si="153"/>
        <v>ü</v>
      </c>
      <c r="M108" s="295" t="str">
        <f t="shared" si="153"/>
        <v>ü</v>
      </c>
      <c r="N108" s="295" t="str">
        <f t="shared" si="153"/>
        <v>ü</v>
      </c>
      <c r="O108" s="295" t="str">
        <f t="shared" si="153"/>
        <v>ü</v>
      </c>
      <c r="P108" s="295" t="str">
        <f t="shared" si="153"/>
        <v>ü</v>
      </c>
      <c r="Q108" s="295" t="str">
        <f t="shared" si="153"/>
        <v>ü</v>
      </c>
      <c r="R108" s="295" t="str">
        <f t="shared" si="153"/>
        <v>ü</v>
      </c>
      <c r="S108" s="295" t="str">
        <f t="shared" si="153"/>
        <v>ü</v>
      </c>
      <c r="T108" s="295" t="str">
        <f t="shared" si="153"/>
        <v>ü</v>
      </c>
      <c r="U108" s="295" t="str">
        <f t="shared" si="153"/>
        <v>ü</v>
      </c>
    </row>
    <row r="109" spans="3:29">
      <c r="C109" s="352"/>
      <c r="D109" s="352"/>
      <c r="E109" s="507"/>
      <c r="F109" s="507"/>
      <c r="G109" s="507"/>
      <c r="H109" s="507"/>
      <c r="I109" s="507"/>
      <c r="J109" s="507"/>
      <c r="K109" s="626"/>
    </row>
    <row r="110" spans="3:29">
      <c r="C110" s="352"/>
      <c r="D110" s="352"/>
      <c r="E110" s="295"/>
      <c r="F110" s="295"/>
      <c r="G110" s="295"/>
      <c r="H110" s="295"/>
      <c r="I110" s="295"/>
      <c r="J110" s="295"/>
      <c r="K110" s="626"/>
    </row>
    <row r="111" spans="3:29">
      <c r="C111" s="397" t="s">
        <v>553</v>
      </c>
      <c r="D111" s="350"/>
      <c r="E111" s="398">
        <v>2006</v>
      </c>
      <c r="F111" s="398">
        <v>2007</v>
      </c>
      <c r="G111" s="398">
        <v>2008</v>
      </c>
      <c r="H111" s="398"/>
      <c r="I111" s="398">
        <v>2010</v>
      </c>
      <c r="J111" s="398">
        <v>2011</v>
      </c>
      <c r="K111" s="644">
        <v>2012</v>
      </c>
      <c r="L111" s="398">
        <v>2013</v>
      </c>
      <c r="M111" s="398">
        <v>2014</v>
      </c>
      <c r="N111" s="398">
        <v>2015</v>
      </c>
      <c r="O111" s="398">
        <v>2016</v>
      </c>
      <c r="P111" s="398">
        <v>2017</v>
      </c>
      <c r="Q111" s="398">
        <v>2018</v>
      </c>
      <c r="R111" s="398">
        <v>2019</v>
      </c>
      <c r="S111" s="398">
        <v>2020</v>
      </c>
      <c r="T111" s="398">
        <v>2021</v>
      </c>
      <c r="U111" s="398">
        <v>2022</v>
      </c>
      <c r="V111" s="417"/>
      <c r="W111" s="417"/>
      <c r="X111" s="417"/>
      <c r="Y111" s="417"/>
      <c r="Z111" s="417"/>
      <c r="AA111" s="417"/>
      <c r="AB111" s="417"/>
      <c r="AC111" s="417"/>
    </row>
    <row r="112" spans="3:29">
      <c r="K112" s="694"/>
      <c r="L112" s="361"/>
      <c r="M112" s="361"/>
      <c r="N112" s="361"/>
      <c r="O112" s="361"/>
      <c r="P112" s="361"/>
      <c r="Q112" s="361"/>
      <c r="R112" s="361"/>
      <c r="S112" s="361"/>
      <c r="T112" s="361"/>
      <c r="U112" s="361"/>
      <c r="V112" s="417"/>
      <c r="W112" s="417"/>
      <c r="X112" s="417"/>
      <c r="Y112" s="417"/>
      <c r="Z112" s="417"/>
      <c r="AA112" s="417"/>
      <c r="AB112" s="417"/>
      <c r="AC112" s="417"/>
    </row>
    <row r="113" spans="3:29">
      <c r="C113" s="419" t="s">
        <v>338</v>
      </c>
      <c r="D113" s="419"/>
      <c r="E113" s="507"/>
      <c r="F113" s="507"/>
      <c r="G113" s="507"/>
      <c r="H113" s="507"/>
      <c r="I113" s="507">
        <f t="shared" ref="I113" si="154">I39</f>
        <v>364.19269999999972</v>
      </c>
      <c r="J113" s="507">
        <f>J39</f>
        <v>396.27900000000022</v>
      </c>
      <c r="K113" s="678">
        <f t="shared" ref="K113:U113" si="155">K39</f>
        <v>449.65118493658451</v>
      </c>
      <c r="L113" s="614">
        <f t="shared" si="155"/>
        <v>463.47551318530191</v>
      </c>
      <c r="M113" s="614">
        <f t="shared" si="155"/>
        <v>462.0942795733481</v>
      </c>
      <c r="N113" s="614">
        <f t="shared" si="155"/>
        <v>450.95186388049251</v>
      </c>
      <c r="O113" s="614">
        <f t="shared" si="155"/>
        <v>440.99893463931915</v>
      </c>
      <c r="P113" s="614">
        <f t="shared" si="155"/>
        <v>433.8120283027406</v>
      </c>
      <c r="Q113" s="614">
        <f t="shared" si="155"/>
        <v>436.29942261792428</v>
      </c>
      <c r="R113" s="614">
        <f t="shared" si="155"/>
        <v>443.0801437164107</v>
      </c>
      <c r="S113" s="614">
        <f t="shared" si="155"/>
        <v>452.71496854681527</v>
      </c>
      <c r="T113" s="614">
        <f t="shared" si="155"/>
        <v>463.64060648389147</v>
      </c>
      <c r="U113" s="614">
        <f t="shared" si="155"/>
        <v>473.67174918104553</v>
      </c>
      <c r="V113" s="417"/>
      <c r="W113" s="417"/>
      <c r="X113" s="417"/>
      <c r="Y113" s="417"/>
      <c r="Z113" s="417"/>
      <c r="AA113" s="417"/>
      <c r="AB113" s="417"/>
      <c r="AC113" s="417"/>
    </row>
    <row r="114" spans="3:29">
      <c r="C114" s="419" t="s">
        <v>665</v>
      </c>
      <c r="D114" s="419"/>
      <c r="E114" s="507"/>
      <c r="F114" s="507"/>
      <c r="G114" s="507"/>
      <c r="H114" s="507"/>
      <c r="I114" s="507">
        <f t="shared" ref="I114" si="156">-I24</f>
        <v>75.427999999999997</v>
      </c>
      <c r="J114" s="507">
        <f>-J24</f>
        <v>67.100999999999999</v>
      </c>
      <c r="K114" s="678">
        <f t="shared" ref="K114:U114" si="157">-K24</f>
        <v>84.967876611157422</v>
      </c>
      <c r="L114" s="614">
        <f t="shared" si="157"/>
        <v>103.28278316911273</v>
      </c>
      <c r="M114" s="614">
        <f t="shared" si="157"/>
        <v>122.00061767134305</v>
      </c>
      <c r="N114" s="614">
        <f t="shared" si="157"/>
        <v>141.1583212843758</v>
      </c>
      <c r="O114" s="614">
        <f t="shared" si="157"/>
        <v>160.79496748773437</v>
      </c>
      <c r="P114" s="614">
        <f t="shared" si="157"/>
        <v>180.89307487687188</v>
      </c>
      <c r="Q114" s="614">
        <f t="shared" si="157"/>
        <v>201.47353684334868</v>
      </c>
      <c r="R114" s="614">
        <f t="shared" si="157"/>
        <v>222.55822012800417</v>
      </c>
      <c r="S114" s="614">
        <f t="shared" si="157"/>
        <v>244.17002049477605</v>
      </c>
      <c r="T114" s="614">
        <f t="shared" si="157"/>
        <v>266.32729005059645</v>
      </c>
      <c r="U114" s="614">
        <f t="shared" si="157"/>
        <v>289.04915169321214</v>
      </c>
      <c r="V114" s="417"/>
      <c r="W114" s="417"/>
      <c r="X114" s="417"/>
      <c r="Y114" s="417"/>
      <c r="Z114" s="417"/>
      <c r="AA114" s="417"/>
      <c r="AB114" s="417"/>
      <c r="AC114" s="417"/>
    </row>
    <row r="115" spans="3:29">
      <c r="C115" s="419" t="s">
        <v>666</v>
      </c>
      <c r="D115" s="419"/>
      <c r="E115" s="507"/>
      <c r="F115" s="507"/>
      <c r="G115" s="507"/>
      <c r="H115" s="507"/>
      <c r="I115" s="507">
        <f t="shared" ref="I115" si="158">-I18</f>
        <v>-91.328000000000003</v>
      </c>
      <c r="J115" s="507">
        <f>-J18</f>
        <v>-200.84700000000001</v>
      </c>
      <c r="K115" s="678">
        <f t="shared" ref="K115:U115" si="159">-K18</f>
        <v>-198.36311435622363</v>
      </c>
      <c r="L115" s="614">
        <f t="shared" si="159"/>
        <v>-203.33726946491143</v>
      </c>
      <c r="M115" s="614">
        <f t="shared" si="159"/>
        <v>-207.81068939313948</v>
      </c>
      <c r="N115" s="614">
        <f t="shared" si="159"/>
        <v>-212.69424059387828</v>
      </c>
      <c r="O115" s="614">
        <f t="shared" si="159"/>
        <v>-218.01159660872523</v>
      </c>
      <c r="P115" s="614">
        <f t="shared" si="159"/>
        <v>-223.13486912903028</v>
      </c>
      <c r="Q115" s="614">
        <f t="shared" si="159"/>
        <v>-228.49010598812703</v>
      </c>
      <c r="R115" s="614">
        <f t="shared" si="159"/>
        <v>-234.08811358483612</v>
      </c>
      <c r="S115" s="614">
        <f t="shared" si="159"/>
        <v>-239.94031642445702</v>
      </c>
      <c r="T115" s="614">
        <f t="shared" si="159"/>
        <v>-245.99626954261223</v>
      </c>
      <c r="U115" s="614">
        <f t="shared" si="159"/>
        <v>-252.26453047679519</v>
      </c>
    </row>
    <row r="116" spans="3:29">
      <c r="C116" s="419" t="s">
        <v>556</v>
      </c>
      <c r="D116" s="419"/>
      <c r="E116" s="507"/>
      <c r="F116" s="507"/>
      <c r="G116" s="507"/>
      <c r="H116" s="507"/>
      <c r="I116" s="507">
        <v>55.290999999999997</v>
      </c>
      <c r="J116" s="507">
        <v>56.290999999999997</v>
      </c>
      <c r="K116" s="678">
        <v>57.290999999999997</v>
      </c>
      <c r="L116" s="614">
        <v>58.290999999999997</v>
      </c>
      <c r="M116" s="614">
        <v>59.290999999999997</v>
      </c>
      <c r="N116" s="614">
        <v>60.290999999999997</v>
      </c>
      <c r="O116" s="614">
        <v>61.290999999999997</v>
      </c>
      <c r="P116" s="614">
        <v>62.290999999999997</v>
      </c>
      <c r="Q116" s="614">
        <v>63.290999999999997</v>
      </c>
      <c r="R116" s="614">
        <v>64.290999999999997</v>
      </c>
      <c r="S116" s="614">
        <v>65.290999999999997</v>
      </c>
      <c r="T116" s="614">
        <v>66.290999999999997</v>
      </c>
      <c r="U116" s="614">
        <v>67.290999999999997</v>
      </c>
    </row>
    <row r="117" spans="3:29">
      <c r="C117" s="419" t="s">
        <v>667</v>
      </c>
      <c r="D117" s="419"/>
      <c r="E117" s="582"/>
      <c r="F117" s="582"/>
      <c r="G117" s="582"/>
      <c r="H117" s="582"/>
      <c r="I117" s="582">
        <f>I137</f>
        <v>-1498.6650000000004</v>
      </c>
      <c r="J117" s="582">
        <f>J137</f>
        <v>793.06200000000126</v>
      </c>
      <c r="K117" s="696">
        <f t="shared" ref="K117:U117" si="160">K137</f>
        <v>-4.8866972265341246</v>
      </c>
      <c r="L117" s="613">
        <f t="shared" si="160"/>
        <v>-267.40123084136508</v>
      </c>
      <c r="M117" s="613">
        <f t="shared" si="160"/>
        <v>-289.90062573794444</v>
      </c>
      <c r="N117" s="613">
        <f t="shared" si="160"/>
        <v>-279.83089028298878</v>
      </c>
      <c r="O117" s="613">
        <f t="shared" si="160"/>
        <v>-235.81257697266824</v>
      </c>
      <c r="P117" s="613">
        <f t="shared" si="160"/>
        <v>-107.95075650318881</v>
      </c>
      <c r="Q117" s="613">
        <f t="shared" si="160"/>
        <v>-43.349053282125396</v>
      </c>
      <c r="R117" s="613">
        <f t="shared" si="160"/>
        <v>-45.264566155970442</v>
      </c>
      <c r="S117" s="613">
        <f t="shared" si="160"/>
        <v>-47.28971079787425</v>
      </c>
      <c r="T117" s="613">
        <f t="shared" si="160"/>
        <v>-48.924804259553639</v>
      </c>
      <c r="U117" s="613">
        <f t="shared" si="160"/>
        <v>-50.655166185220878</v>
      </c>
    </row>
    <row r="118" spans="3:29">
      <c r="C118" s="371" t="s">
        <v>555</v>
      </c>
      <c r="D118" s="371"/>
      <c r="E118" s="583"/>
      <c r="F118" s="583"/>
      <c r="G118" s="583"/>
      <c r="H118" s="583"/>
      <c r="I118" s="583">
        <f t="shared" ref="I118" si="161">SUM(I113:I117)</f>
        <v>-1095.0813000000007</v>
      </c>
      <c r="J118" s="583">
        <f>SUM(J113:J117)</f>
        <v>1111.8860000000016</v>
      </c>
      <c r="K118" s="680">
        <f t="shared" ref="K118:U118" si="162">SUM(K113:K117)</f>
        <v>388.66024996498419</v>
      </c>
      <c r="L118" s="580">
        <f t="shared" si="162"/>
        <v>154.31079604813812</v>
      </c>
      <c r="M118" s="580">
        <f t="shared" si="162"/>
        <v>145.6745821136073</v>
      </c>
      <c r="N118" s="580">
        <f t="shared" si="162"/>
        <v>159.87605428800128</v>
      </c>
      <c r="O118" s="580">
        <f t="shared" si="162"/>
        <v>209.26072854566013</v>
      </c>
      <c r="P118" s="580">
        <f t="shared" si="162"/>
        <v>345.91047754739338</v>
      </c>
      <c r="Q118" s="580">
        <f t="shared" si="162"/>
        <v>429.22480019102056</v>
      </c>
      <c r="R118" s="580">
        <f t="shared" si="162"/>
        <v>450.57668410360833</v>
      </c>
      <c r="S118" s="580">
        <f t="shared" si="162"/>
        <v>474.94596181925999</v>
      </c>
      <c r="T118" s="580">
        <f t="shared" si="162"/>
        <v>501.33782273232191</v>
      </c>
      <c r="U118" s="580">
        <f t="shared" si="162"/>
        <v>527.09220421224165</v>
      </c>
    </row>
    <row r="119" spans="3:29">
      <c r="C119" s="352"/>
      <c r="D119" s="352"/>
      <c r="E119" s="507"/>
      <c r="F119" s="507"/>
      <c r="G119" s="507"/>
      <c r="H119" s="507"/>
      <c r="I119" s="507"/>
      <c r="J119" s="507"/>
      <c r="K119" s="678"/>
      <c r="L119" s="614"/>
      <c r="M119" s="614"/>
      <c r="N119" s="614"/>
      <c r="O119" s="614"/>
      <c r="P119" s="614"/>
      <c r="Q119" s="614"/>
      <c r="R119" s="614"/>
      <c r="S119" s="614"/>
      <c r="T119" s="614"/>
      <c r="U119" s="614"/>
    </row>
    <row r="120" spans="3:29">
      <c r="C120" s="596" t="s">
        <v>668</v>
      </c>
      <c r="D120" s="352"/>
      <c r="E120" s="507"/>
      <c r="F120" s="507"/>
      <c r="G120" s="507"/>
      <c r="H120" s="507"/>
      <c r="I120" s="507">
        <f t="shared" ref="I120" si="163">H79-I79-I116-I115</f>
        <v>-450.22800000000007</v>
      </c>
      <c r="J120" s="507">
        <f>I79-J79-J116-J115</f>
        <v>-74.643000000000058</v>
      </c>
      <c r="K120" s="678">
        <f t="shared" ref="K120:U120" si="164">J79-K79-K116-K115</f>
        <v>0</v>
      </c>
      <c r="L120" s="614">
        <f t="shared" si="164"/>
        <v>0</v>
      </c>
      <c r="M120" s="614">
        <f t="shared" si="164"/>
        <v>0</v>
      </c>
      <c r="N120" s="614">
        <f t="shared" si="164"/>
        <v>0</v>
      </c>
      <c r="O120" s="614">
        <f t="shared" si="164"/>
        <v>0</v>
      </c>
      <c r="P120" s="614">
        <f t="shared" si="164"/>
        <v>0</v>
      </c>
      <c r="Q120" s="614">
        <f t="shared" si="164"/>
        <v>0</v>
      </c>
      <c r="R120" s="614">
        <f t="shared" si="164"/>
        <v>0</v>
      </c>
      <c r="S120" s="614">
        <f t="shared" si="164"/>
        <v>0</v>
      </c>
      <c r="T120" s="614">
        <f t="shared" si="164"/>
        <v>3.694822225952521E-13</v>
      </c>
      <c r="U120" s="614">
        <f t="shared" si="164"/>
        <v>0</v>
      </c>
    </row>
    <row r="121" spans="3:29">
      <c r="C121" s="596" t="s">
        <v>669</v>
      </c>
      <c r="D121" s="419"/>
      <c r="E121" s="507"/>
      <c r="F121" s="507"/>
      <c r="G121" s="507"/>
      <c r="H121" s="507"/>
      <c r="I121" s="507">
        <f t="shared" ref="I121" si="165">H80+H81-I80-I81-I114</f>
        <v>-303.238</v>
      </c>
      <c r="J121" s="507">
        <f>I80+I81-J80-J81-J114</f>
        <v>-121.91199999999998</v>
      </c>
      <c r="K121" s="678">
        <f t="shared" ref="K121:U121" si="166">J80+J81-K80-K81-K114</f>
        <v>-149.83881871127204</v>
      </c>
      <c r="L121" s="614">
        <f t="shared" si="166"/>
        <v>-153.71242535856203</v>
      </c>
      <c r="M121" s="614">
        <f t="shared" si="166"/>
        <v>-157.17470175645042</v>
      </c>
      <c r="N121" s="614">
        <f t="shared" si="166"/>
        <v>-160.9249922117271</v>
      </c>
      <c r="O121" s="614">
        <f t="shared" si="166"/>
        <v>-164.98798047702019</v>
      </c>
      <c r="P121" s="614">
        <f t="shared" si="166"/>
        <v>-168.89297365059031</v>
      </c>
      <c r="Q121" s="614">
        <f t="shared" si="166"/>
        <v>-172.86771168617244</v>
      </c>
      <c r="R121" s="614">
        <f t="shared" si="166"/>
        <v>-177.24664405187963</v>
      </c>
      <c r="S121" s="614">
        <f t="shared" si="166"/>
        <v>-181.67781015317678</v>
      </c>
      <c r="T121" s="614">
        <f t="shared" si="166"/>
        <v>-186.26325172169749</v>
      </c>
      <c r="U121" s="614">
        <f t="shared" si="166"/>
        <v>-191.00944834659697</v>
      </c>
    </row>
    <row r="122" spans="3:29">
      <c r="C122" s="371" t="s">
        <v>557</v>
      </c>
      <c r="D122" s="371"/>
      <c r="E122" s="583"/>
      <c r="F122" s="583"/>
      <c r="G122" s="583"/>
      <c r="H122" s="583"/>
      <c r="I122" s="583">
        <f t="shared" ref="I122" si="167">I121+I120</f>
        <v>-753.46600000000012</v>
      </c>
      <c r="J122" s="583">
        <f>J121+J120</f>
        <v>-196.55500000000004</v>
      </c>
      <c r="K122" s="680">
        <f t="shared" ref="K122:U122" si="168">K121+K120</f>
        <v>-149.83881871127204</v>
      </c>
      <c r="L122" s="580">
        <f t="shared" si="168"/>
        <v>-153.71242535856203</v>
      </c>
      <c r="M122" s="580">
        <f t="shared" si="168"/>
        <v>-157.17470175645042</v>
      </c>
      <c r="N122" s="580">
        <f t="shared" si="168"/>
        <v>-160.9249922117271</v>
      </c>
      <c r="O122" s="580">
        <f t="shared" si="168"/>
        <v>-164.98798047702019</v>
      </c>
      <c r="P122" s="580">
        <f t="shared" si="168"/>
        <v>-168.89297365059031</v>
      </c>
      <c r="Q122" s="580">
        <f t="shared" si="168"/>
        <v>-172.86771168617244</v>
      </c>
      <c r="R122" s="580">
        <f t="shared" si="168"/>
        <v>-177.24664405187963</v>
      </c>
      <c r="S122" s="580">
        <f t="shared" si="168"/>
        <v>-181.67781015317678</v>
      </c>
      <c r="T122" s="580">
        <f t="shared" si="168"/>
        <v>-186.26325172169712</v>
      </c>
      <c r="U122" s="580">
        <f t="shared" si="168"/>
        <v>-191.00944834659697</v>
      </c>
    </row>
    <row r="123" spans="3:29">
      <c r="C123" s="352"/>
      <c r="D123" s="352"/>
      <c r="E123" s="507"/>
      <c r="F123" s="507"/>
      <c r="G123" s="507"/>
      <c r="H123" s="507"/>
      <c r="I123" s="507"/>
      <c r="J123" s="507"/>
      <c r="K123" s="678"/>
      <c r="L123" s="614"/>
      <c r="M123" s="614"/>
      <c r="N123" s="614"/>
      <c r="O123" s="614"/>
      <c r="P123" s="614"/>
      <c r="Q123" s="614"/>
      <c r="R123" s="614"/>
      <c r="S123" s="614"/>
      <c r="T123" s="614"/>
      <c r="U123" s="614"/>
    </row>
    <row r="124" spans="3:29">
      <c r="C124" s="419" t="s">
        <v>558</v>
      </c>
      <c r="D124" s="419"/>
      <c r="E124" s="507"/>
      <c r="F124" s="507"/>
      <c r="G124" s="507"/>
      <c r="H124" s="507"/>
      <c r="I124" s="507">
        <f>I140-H140</f>
        <v>782.74600000000009</v>
      </c>
      <c r="J124" s="507">
        <f>J140-I140</f>
        <v>-333.11900000000009</v>
      </c>
      <c r="K124" s="678">
        <f t="shared" ref="K124:N124" si="169">K140-J140</f>
        <v>-198.15600000000001</v>
      </c>
      <c r="L124" s="614">
        <f t="shared" si="169"/>
        <v>-26</v>
      </c>
      <c r="M124" s="614">
        <f t="shared" si="169"/>
        <v>-42</v>
      </c>
      <c r="N124" s="614">
        <f t="shared" si="169"/>
        <v>-78</v>
      </c>
      <c r="O124" s="614">
        <f>O140-N140</f>
        <v>-35.701999999999998</v>
      </c>
      <c r="P124" s="614">
        <f>P140-O140</f>
        <v>-25</v>
      </c>
      <c r="Q124" s="614">
        <f t="shared" ref="Q124:R124" si="170">Q140-P140</f>
        <v>-44.769000000000005</v>
      </c>
      <c r="R124" s="614">
        <f t="shared" si="170"/>
        <v>0</v>
      </c>
      <c r="S124" s="614">
        <f>S140-R140</f>
        <v>0</v>
      </c>
      <c r="T124" s="614">
        <f>T140-S140</f>
        <v>0</v>
      </c>
      <c r="U124" s="614">
        <f t="shared" ref="U124" si="171">U140-T140</f>
        <v>0</v>
      </c>
    </row>
    <row r="125" spans="3:29">
      <c r="C125" s="419" t="s">
        <v>559</v>
      </c>
      <c r="D125" s="419"/>
      <c r="E125" s="507"/>
      <c r="F125" s="507"/>
      <c r="G125" s="507"/>
      <c r="H125" s="507"/>
      <c r="I125" s="507">
        <f>I102-H102-I39-I126</f>
        <v>1970.8203000000003</v>
      </c>
      <c r="J125" s="507">
        <f>J102-I102-J39-J126</f>
        <v>123.32300000000015</v>
      </c>
      <c r="K125" s="678">
        <f t="shared" ref="K125:N125" si="172">K102-J102-K39-K126</f>
        <v>-5.3396078211222431</v>
      </c>
      <c r="L125" s="614">
        <f t="shared" si="172"/>
        <v>-5.5037717190757292</v>
      </c>
      <c r="M125" s="614">
        <f t="shared" si="172"/>
        <v>-5.4873695699333922</v>
      </c>
      <c r="N125" s="614">
        <f t="shared" si="172"/>
        <v>-5.3550533835807528</v>
      </c>
      <c r="O125" s="614">
        <f>O102-N102-O39-O126</f>
        <v>-5.2368623488421093</v>
      </c>
      <c r="P125" s="614">
        <f>P102-O102-P39-P126</f>
        <v>-5.1515178360944134</v>
      </c>
      <c r="Q125" s="614">
        <f t="shared" ref="Q125" si="173">Q102-P102-Q39-Q126</f>
        <v>-5.1810556435884791</v>
      </c>
      <c r="R125" s="614">
        <f t="shared" ref="R125" si="174">R102-Q102-R39-R126</f>
        <v>-5.2615767066321553</v>
      </c>
      <c r="S125" s="614">
        <f>S102-R102-S39-S126</f>
        <v>-5.3759902514938886</v>
      </c>
      <c r="T125" s="614">
        <f>T102-S102-T39-T126</f>
        <v>-5.5057322019957269</v>
      </c>
      <c r="U125" s="614">
        <f t="shared" ref="U125" si="175">U102-T102-U39-U126</f>
        <v>-5.6248520215238926</v>
      </c>
    </row>
    <row r="126" spans="3:29">
      <c r="C126" s="419" t="s">
        <v>727</v>
      </c>
      <c r="D126" s="419"/>
      <c r="E126" s="507"/>
      <c r="F126" s="507"/>
      <c r="G126" s="507"/>
      <c r="H126" s="507"/>
      <c r="I126" s="507">
        <f>-I44+I91</f>
        <v>-250.00000000000003</v>
      </c>
      <c r="J126" s="507">
        <f>-J44+J91</f>
        <v>-99.281000000000006</v>
      </c>
      <c r="K126" s="678">
        <f t="shared" ref="K126:N126" si="176">-K44+K91</f>
        <v>-101.45254860131688</v>
      </c>
      <c r="L126" s="614">
        <f t="shared" si="176"/>
        <v>-104.57166266243374</v>
      </c>
      <c r="M126" s="614">
        <f t="shared" si="176"/>
        <v>-104.26002182873667</v>
      </c>
      <c r="N126" s="614">
        <f t="shared" si="176"/>
        <v>-101.74601428803612</v>
      </c>
      <c r="O126" s="614">
        <f>-O44+O91</f>
        <v>-99.500384627996382</v>
      </c>
      <c r="P126" s="614">
        <f>-P44+P91</f>
        <v>-97.878838885805848</v>
      </c>
      <c r="Q126" s="614">
        <f t="shared" ref="Q126:R126" si="177">-Q44+Q91</f>
        <v>-98.440057228169167</v>
      </c>
      <c r="R126" s="614">
        <f t="shared" si="177"/>
        <v>-99.969957426015156</v>
      </c>
      <c r="S126" s="614">
        <f>-S44+S91</f>
        <v>-102.14381477837519</v>
      </c>
      <c r="T126" s="614">
        <f>-T44+T91</f>
        <v>-104.60891183792802</v>
      </c>
      <c r="U126" s="614">
        <f t="shared" ref="U126" si="178">-U44+U91</f>
        <v>-106.8721884089734</v>
      </c>
    </row>
    <row r="127" spans="3:29">
      <c r="C127" s="371" t="s">
        <v>560</v>
      </c>
      <c r="D127" s="371"/>
      <c r="E127" s="583"/>
      <c r="F127" s="583"/>
      <c r="G127" s="583"/>
      <c r="H127" s="583"/>
      <c r="I127" s="583">
        <f>I124+I125+I126</f>
        <v>2503.5663000000004</v>
      </c>
      <c r="J127" s="583">
        <f>J124+J125+J126</f>
        <v>-309.07699999999994</v>
      </c>
      <c r="K127" s="680">
        <f t="shared" ref="K127:N127" si="179">K124+K125+K126</f>
        <v>-304.94815642243913</v>
      </c>
      <c r="L127" s="580">
        <f t="shared" si="179"/>
        <v>-136.07543438150947</v>
      </c>
      <c r="M127" s="580">
        <f t="shared" si="179"/>
        <v>-151.74739139867006</v>
      </c>
      <c r="N127" s="580">
        <f t="shared" si="179"/>
        <v>-185.10106767161687</v>
      </c>
      <c r="O127" s="580">
        <f>O124+O125+O126</f>
        <v>-140.43924697683849</v>
      </c>
      <c r="P127" s="580">
        <f>P124+P125+P126</f>
        <v>-128.03035672190026</v>
      </c>
      <c r="Q127" s="580">
        <f t="shared" ref="Q127" si="180">Q124+Q125+Q126</f>
        <v>-148.39011287175765</v>
      </c>
      <c r="R127" s="580">
        <f t="shared" ref="R127" si="181">R124+R125+R126</f>
        <v>-105.23153413264731</v>
      </c>
      <c r="S127" s="580">
        <f>S124+S125+S126</f>
        <v>-107.51980502986908</v>
      </c>
      <c r="T127" s="580">
        <f>T124+T125+T126</f>
        <v>-110.11464403992375</v>
      </c>
      <c r="U127" s="580">
        <f t="shared" ref="U127" si="182">U124+U125+U126</f>
        <v>-112.49704043049729</v>
      </c>
    </row>
    <row r="128" spans="3:29">
      <c r="C128" s="352"/>
      <c r="D128" s="352"/>
      <c r="E128" s="507"/>
      <c r="F128" s="507"/>
      <c r="G128" s="507"/>
      <c r="H128" s="507"/>
      <c r="I128" s="507"/>
      <c r="J128" s="507"/>
      <c r="K128" s="678"/>
      <c r="L128" s="614"/>
      <c r="M128" s="614"/>
      <c r="N128" s="614"/>
      <c r="O128" s="614"/>
      <c r="P128" s="614"/>
      <c r="Q128" s="614"/>
      <c r="R128" s="614"/>
      <c r="S128" s="614"/>
      <c r="T128" s="614"/>
      <c r="U128" s="614"/>
    </row>
    <row r="129" spans="3:21">
      <c r="C129" s="371" t="s">
        <v>561</v>
      </c>
      <c r="D129" s="371"/>
      <c r="E129" s="583"/>
      <c r="F129" s="583"/>
      <c r="G129" s="583"/>
      <c r="H129" s="583"/>
      <c r="I129" s="583">
        <f>I118+I122+I127</f>
        <v>655.01899999999955</v>
      </c>
      <c r="J129" s="583">
        <f>J118+J122+J127</f>
        <v>606.2540000000015</v>
      </c>
      <c r="K129" s="680">
        <f t="shared" ref="K129:U129" si="183">K118+K122+K127</f>
        <v>-66.126725168726978</v>
      </c>
      <c r="L129" s="580">
        <f t="shared" si="183"/>
        <v>-135.47706369193338</v>
      </c>
      <c r="M129" s="580">
        <f t="shared" si="183"/>
        <v>-163.24751104151318</v>
      </c>
      <c r="N129" s="580">
        <f t="shared" si="183"/>
        <v>-186.15000559534269</v>
      </c>
      <c r="O129" s="580">
        <f t="shared" si="183"/>
        <v>-96.166498908198548</v>
      </c>
      <c r="P129" s="580">
        <f t="shared" si="183"/>
        <v>48.987147174902816</v>
      </c>
      <c r="Q129" s="580">
        <f t="shared" si="183"/>
        <v>107.96697563309044</v>
      </c>
      <c r="R129" s="580">
        <f t="shared" si="183"/>
        <v>168.09850591908139</v>
      </c>
      <c r="S129" s="580">
        <f t="shared" si="183"/>
        <v>185.74834663621414</v>
      </c>
      <c r="T129" s="580">
        <f t="shared" si="183"/>
        <v>204.95992697070108</v>
      </c>
      <c r="U129" s="580">
        <f t="shared" si="183"/>
        <v>223.58571543514739</v>
      </c>
    </row>
    <row r="130" spans="3:21" hidden="1" outlineLevel="1">
      <c r="C130" s="419" t="s">
        <v>360</v>
      </c>
      <c r="D130" s="419"/>
      <c r="E130" s="584"/>
      <c r="F130" s="584"/>
      <c r="G130" s="585"/>
      <c r="H130" s="585"/>
      <c r="I130" s="585">
        <f>H62+H64</f>
        <v>0</v>
      </c>
      <c r="J130" s="585">
        <f>I62+I64</f>
        <v>655.01900000000001</v>
      </c>
      <c r="K130" s="899">
        <f t="shared" ref="K130:U130" si="184">J62+J64</f>
        <v>1261.2730000000001</v>
      </c>
      <c r="L130" s="841">
        <f t="shared" si="184"/>
        <v>1195.1462748312736</v>
      </c>
      <c r="M130" s="841">
        <f t="shared" si="184"/>
        <v>1059.6692111393409</v>
      </c>
      <c r="N130" s="841">
        <f t="shared" si="184"/>
        <v>896.42170009782694</v>
      </c>
      <c r="O130" s="841">
        <f t="shared" si="184"/>
        <v>710.27169450248414</v>
      </c>
      <c r="P130" s="841">
        <f t="shared" si="184"/>
        <v>614.10519559428553</v>
      </c>
      <c r="Q130" s="841">
        <f t="shared" si="184"/>
        <v>663.09234276918914</v>
      </c>
      <c r="R130" s="841">
        <f t="shared" si="184"/>
        <v>771.05931840227868</v>
      </c>
      <c r="S130" s="841">
        <f t="shared" si="184"/>
        <v>939.15782432136064</v>
      </c>
      <c r="T130" s="841">
        <f t="shared" si="184"/>
        <v>1124.9061709575753</v>
      </c>
      <c r="U130" s="841">
        <f t="shared" si="184"/>
        <v>1329.8660979282763</v>
      </c>
    </row>
    <row r="131" spans="3:21" hidden="1" outlineLevel="1">
      <c r="C131" s="419" t="s">
        <v>361</v>
      </c>
      <c r="D131" s="419"/>
      <c r="E131" s="584"/>
      <c r="F131" s="584"/>
      <c r="G131" s="585"/>
      <c r="H131" s="585"/>
      <c r="I131" s="585">
        <f>I62+I64</f>
        <v>655.01900000000001</v>
      </c>
      <c r="J131" s="585">
        <f>J62+J64</f>
        <v>1261.2730000000001</v>
      </c>
      <c r="K131" s="899">
        <f t="shared" ref="K131:U131" si="185">K62+K64</f>
        <v>1195.1462748312736</v>
      </c>
      <c r="L131" s="841">
        <f t="shared" si="185"/>
        <v>1059.6692111393409</v>
      </c>
      <c r="M131" s="841">
        <f t="shared" si="185"/>
        <v>896.42170009782694</v>
      </c>
      <c r="N131" s="841">
        <f t="shared" si="185"/>
        <v>710.27169450248414</v>
      </c>
      <c r="O131" s="841">
        <f t="shared" si="185"/>
        <v>614.10519559428553</v>
      </c>
      <c r="P131" s="841">
        <f t="shared" si="185"/>
        <v>663.09234276918914</v>
      </c>
      <c r="Q131" s="841">
        <f t="shared" si="185"/>
        <v>771.05931840227868</v>
      </c>
      <c r="R131" s="841">
        <f t="shared" si="185"/>
        <v>939.15782432136064</v>
      </c>
      <c r="S131" s="841">
        <f t="shared" si="185"/>
        <v>1124.9061709575753</v>
      </c>
      <c r="T131" s="841">
        <f t="shared" si="185"/>
        <v>1329.8660979282763</v>
      </c>
      <c r="U131" s="841">
        <f t="shared" si="185"/>
        <v>1553.4518133634228</v>
      </c>
    </row>
    <row r="132" spans="3:21" collapsed="1">
      <c r="C132" s="352"/>
      <c r="D132" s="352"/>
      <c r="E132" s="295"/>
      <c r="F132" s="295"/>
      <c r="G132" s="295"/>
      <c r="H132" s="295"/>
      <c r="I132" s="295" t="str">
        <f t="shared" ref="I132" si="186">IF(ABS(I131-I130-I129)&lt;0.0000001,"ü","û")</f>
        <v>ü</v>
      </c>
      <c r="J132" s="295" t="str">
        <f t="shared" ref="J132" si="187">IF(ABS(J131-J130-J129)&lt;0.0000001,"ü","û")</f>
        <v>ü</v>
      </c>
      <c r="K132" s="662" t="str">
        <f t="shared" ref="K132:U132" si="188">IF(ABS(K131-K130-K129)&lt;0.0000001,"ü","û")</f>
        <v>ü</v>
      </c>
      <c r="L132" s="295" t="str">
        <f t="shared" si="188"/>
        <v>ü</v>
      </c>
      <c r="M132" s="295" t="str">
        <f t="shared" si="188"/>
        <v>ü</v>
      </c>
      <c r="N132" s="295" t="str">
        <f t="shared" si="188"/>
        <v>ü</v>
      </c>
      <c r="O132" s="295" t="str">
        <f t="shared" si="188"/>
        <v>ü</v>
      </c>
      <c r="P132" s="295" t="str">
        <f t="shared" si="188"/>
        <v>ü</v>
      </c>
      <c r="Q132" s="295" t="str">
        <f t="shared" si="188"/>
        <v>ü</v>
      </c>
      <c r="R132" s="295" t="str">
        <f t="shared" si="188"/>
        <v>ü</v>
      </c>
      <c r="S132" s="295" t="str">
        <f t="shared" si="188"/>
        <v>ü</v>
      </c>
      <c r="T132" s="295" t="str">
        <f t="shared" si="188"/>
        <v>ü</v>
      </c>
      <c r="U132" s="295" t="str">
        <f t="shared" si="188"/>
        <v>ü</v>
      </c>
    </row>
    <row r="133" spans="3:21">
      <c r="C133" s="352"/>
      <c r="D133" s="352"/>
      <c r="E133" s="295"/>
      <c r="F133" s="295"/>
      <c r="G133" s="295"/>
      <c r="H133" s="295"/>
      <c r="I133" s="295"/>
      <c r="J133" s="585"/>
      <c r="K133" s="697"/>
      <c r="L133" s="585"/>
      <c r="M133" s="585"/>
      <c r="N133" s="585"/>
      <c r="O133" s="585"/>
      <c r="P133" s="585"/>
      <c r="Q133" s="585"/>
      <c r="R133" s="585"/>
      <c r="S133" s="585"/>
      <c r="T133" s="585"/>
      <c r="U133" s="585"/>
    </row>
    <row r="134" spans="3:21">
      <c r="C134" s="420" t="s">
        <v>562</v>
      </c>
      <c r="D134" s="420"/>
      <c r="E134" s="536"/>
      <c r="F134" s="536"/>
      <c r="G134" s="536"/>
      <c r="H134" s="536"/>
      <c r="I134" s="536"/>
      <c r="J134" s="536"/>
      <c r="K134" s="698"/>
      <c r="L134" s="536"/>
      <c r="M134" s="536"/>
      <c r="N134" s="421"/>
      <c r="O134" s="421"/>
      <c r="P134" s="421"/>
      <c r="Q134" s="421"/>
      <c r="R134" s="421"/>
      <c r="S134" s="421"/>
      <c r="T134" s="421"/>
      <c r="U134" s="421"/>
    </row>
    <row r="135" spans="3:21">
      <c r="K135" s="694"/>
      <c r="L135" s="361"/>
      <c r="M135" s="361"/>
      <c r="N135" s="361"/>
      <c r="O135" s="361"/>
      <c r="P135" s="361"/>
      <c r="Q135" s="361"/>
      <c r="R135" s="361"/>
      <c r="S135" s="361"/>
      <c r="T135" s="361"/>
      <c r="U135" s="361"/>
    </row>
    <row r="136" spans="3:21">
      <c r="C136" s="399" t="s">
        <v>563</v>
      </c>
      <c r="D136" s="399"/>
      <c r="I136" s="361">
        <f>-((I61-I62-I64)+I76+I73+I75)+((I84-I86-I85)+I96+I98+I100)</f>
        <v>-1498.6650000000004</v>
      </c>
      <c r="J136" s="361">
        <f>-((J61-J62-J64)+J76+J73+J75)+((J84-J86-J85)+J96+J98+J100)</f>
        <v>-705.60299999999916</v>
      </c>
      <c r="K136" s="665">
        <f t="shared" ref="K136:R136" si="189">-((K61-K62-K64)+K76+K73+K75)+((K84-K86-K85)+K96+K98+K100)</f>
        <v>-710.48969722653328</v>
      </c>
      <c r="L136" s="615">
        <f t="shared" si="189"/>
        <v>-977.89092806789836</v>
      </c>
      <c r="M136" s="615">
        <f t="shared" si="189"/>
        <v>-1267.7915538058428</v>
      </c>
      <c r="N136" s="615">
        <f t="shared" si="189"/>
        <v>-1547.6224440888316</v>
      </c>
      <c r="O136" s="615">
        <f t="shared" si="189"/>
        <v>-1783.4350210614998</v>
      </c>
      <c r="P136" s="615">
        <f t="shared" si="189"/>
        <v>-1891.3857775646886</v>
      </c>
      <c r="Q136" s="615">
        <f t="shared" si="189"/>
        <v>-1934.734830846814</v>
      </c>
      <c r="R136" s="615">
        <f t="shared" si="189"/>
        <v>-1979.9993970027845</v>
      </c>
      <c r="S136" s="615">
        <f>-((S61-S62-S64)+S76+S73+S75)+((S84-S86-S85)+S96+S98+S100)</f>
        <v>-2027.2891078006587</v>
      </c>
      <c r="T136" s="615">
        <f t="shared" ref="T136:U136" si="190">-((T61-T62-T64)+T76+T73+T75)+((T84-T86-T85)+T96+T98+T100)</f>
        <v>-2076.2139120602124</v>
      </c>
      <c r="U136" s="615">
        <f t="shared" si="190"/>
        <v>-2126.8690782454332</v>
      </c>
    </row>
    <row r="137" spans="3:21" hidden="1" outlineLevel="1">
      <c r="C137" s="357" t="s">
        <v>565</v>
      </c>
      <c r="I137" s="361">
        <f t="shared" ref="I137:J137" si="191">I136-H136</f>
        <v>-1498.6650000000004</v>
      </c>
      <c r="J137" s="361">
        <f t="shared" si="191"/>
        <v>793.06200000000126</v>
      </c>
      <c r="K137" s="665">
        <f t="shared" ref="K137" si="192">K136-J136</f>
        <v>-4.8866972265341246</v>
      </c>
      <c r="L137" s="615">
        <f t="shared" ref="L137" si="193">L136-K136</f>
        <v>-267.40123084136508</v>
      </c>
      <c r="M137" s="615">
        <f t="shared" ref="M137" si="194">M136-L136</f>
        <v>-289.90062573794444</v>
      </c>
      <c r="N137" s="615">
        <f t="shared" ref="N137" si="195">N136-M136</f>
        <v>-279.83089028298878</v>
      </c>
      <c r="O137" s="615">
        <f t="shared" ref="O137" si="196">O136-N136</f>
        <v>-235.81257697266824</v>
      </c>
      <c r="P137" s="615">
        <f t="shared" ref="P137" si="197">P136-O136</f>
        <v>-107.95075650318881</v>
      </c>
      <c r="Q137" s="615">
        <f t="shared" ref="Q137" si="198">Q136-P136</f>
        <v>-43.349053282125396</v>
      </c>
      <c r="R137" s="615">
        <f t="shared" ref="R137" si="199">R136-Q136</f>
        <v>-45.264566155970442</v>
      </c>
      <c r="S137" s="615">
        <f t="shared" ref="S137" si="200">S136-R136</f>
        <v>-47.28971079787425</v>
      </c>
      <c r="T137" s="615">
        <f t="shared" ref="T137" si="201">T136-S136</f>
        <v>-48.924804259553639</v>
      </c>
      <c r="U137" s="615">
        <f t="shared" ref="U137" si="202">U136-T136</f>
        <v>-50.655166185220878</v>
      </c>
    </row>
    <row r="138" spans="3:21" hidden="1" outlineLevel="1">
      <c r="C138" s="410" t="s">
        <v>566</v>
      </c>
      <c r="D138" s="410"/>
      <c r="I138" s="361">
        <f>I86+I85</f>
        <v>343.40800000000002</v>
      </c>
      <c r="J138" s="361">
        <f>J86+J85</f>
        <v>198.84800000000001</v>
      </c>
      <c r="K138" s="665">
        <f t="shared" ref="K138:R138" si="203">K86+K85</f>
        <v>26</v>
      </c>
      <c r="L138" s="615">
        <f t="shared" si="203"/>
        <v>42</v>
      </c>
      <c r="M138" s="615">
        <f t="shared" si="203"/>
        <v>78</v>
      </c>
      <c r="N138" s="615">
        <f t="shared" si="203"/>
        <v>35.701999999999998</v>
      </c>
      <c r="O138" s="615">
        <f t="shared" si="203"/>
        <v>25</v>
      </c>
      <c r="P138" s="615">
        <f t="shared" si="203"/>
        <v>44.769000000000005</v>
      </c>
      <c r="Q138" s="615">
        <f t="shared" si="203"/>
        <v>0</v>
      </c>
      <c r="R138" s="615">
        <f t="shared" si="203"/>
        <v>0</v>
      </c>
      <c r="S138" s="615">
        <f>S86+S85</f>
        <v>0</v>
      </c>
      <c r="T138" s="615">
        <f t="shared" ref="T138:U138" si="204">T86+T85</f>
        <v>0</v>
      </c>
      <c r="U138" s="615">
        <f t="shared" si="204"/>
        <v>0</v>
      </c>
    </row>
    <row r="139" spans="3:21" hidden="1" outlineLevel="1">
      <c r="C139" s="410" t="s">
        <v>567</v>
      </c>
      <c r="D139" s="410"/>
      <c r="I139" s="361">
        <f>I95</f>
        <v>439.33800000000002</v>
      </c>
      <c r="J139" s="361">
        <f>J95</f>
        <v>250.779</v>
      </c>
      <c r="K139" s="665">
        <f t="shared" ref="K139:R139" si="205">K95</f>
        <v>225.471</v>
      </c>
      <c r="L139" s="615">
        <f t="shared" si="205"/>
        <v>183.471</v>
      </c>
      <c r="M139" s="615">
        <f t="shared" si="205"/>
        <v>105.471</v>
      </c>
      <c r="N139" s="615">
        <f t="shared" si="205"/>
        <v>69.769000000000005</v>
      </c>
      <c r="O139" s="615">
        <f t="shared" si="205"/>
        <v>44.769000000000005</v>
      </c>
      <c r="P139" s="615">
        <f t="shared" si="205"/>
        <v>0</v>
      </c>
      <c r="Q139" s="615">
        <f t="shared" si="205"/>
        <v>0</v>
      </c>
      <c r="R139" s="615">
        <f t="shared" si="205"/>
        <v>0</v>
      </c>
      <c r="S139" s="615">
        <f>S95</f>
        <v>0</v>
      </c>
      <c r="T139" s="615">
        <f t="shared" ref="T139:U139" si="206">T95</f>
        <v>0</v>
      </c>
      <c r="U139" s="615">
        <f t="shared" si="206"/>
        <v>0</v>
      </c>
    </row>
    <row r="140" spans="3:21" collapsed="1">
      <c r="C140" s="399" t="s">
        <v>326</v>
      </c>
      <c r="D140" s="399"/>
      <c r="I140" s="361">
        <f t="shared" ref="I140:J140" si="207">SUM(I138:I139)</f>
        <v>782.74600000000009</v>
      </c>
      <c r="J140" s="361">
        <f t="shared" si="207"/>
        <v>449.62700000000001</v>
      </c>
      <c r="K140" s="665">
        <f t="shared" ref="K140:S140" si="208">SUM(K138:K139)</f>
        <v>251.471</v>
      </c>
      <c r="L140" s="615">
        <f t="shared" si="208"/>
        <v>225.471</v>
      </c>
      <c r="M140" s="615">
        <f t="shared" si="208"/>
        <v>183.471</v>
      </c>
      <c r="N140" s="615">
        <f t="shared" si="208"/>
        <v>105.471</v>
      </c>
      <c r="O140" s="615">
        <f t="shared" si="208"/>
        <v>69.769000000000005</v>
      </c>
      <c r="P140" s="615">
        <f t="shared" si="208"/>
        <v>44.769000000000005</v>
      </c>
      <c r="Q140" s="615">
        <f t="shared" si="208"/>
        <v>0</v>
      </c>
      <c r="R140" s="615">
        <f t="shared" si="208"/>
        <v>0</v>
      </c>
      <c r="S140" s="615">
        <f t="shared" si="208"/>
        <v>0</v>
      </c>
      <c r="T140" s="615">
        <f t="shared" ref="T140:U140" si="209">SUM(T138:T139)</f>
        <v>0</v>
      </c>
      <c r="U140" s="615">
        <f t="shared" si="209"/>
        <v>0</v>
      </c>
    </row>
    <row r="141" spans="3:21">
      <c r="C141" s="357" t="s">
        <v>726</v>
      </c>
      <c r="I141" s="361">
        <f>I62+I64</f>
        <v>655.01900000000001</v>
      </c>
      <c r="J141" s="361">
        <f>J62+J64</f>
        <v>1261.2730000000001</v>
      </c>
      <c r="K141" s="665">
        <f t="shared" ref="K141:R141" si="210">K62+K64</f>
        <v>1195.1462748312736</v>
      </c>
      <c r="L141" s="615">
        <f t="shared" si="210"/>
        <v>1059.6692111393409</v>
      </c>
      <c r="M141" s="615">
        <f t="shared" si="210"/>
        <v>896.42170009782694</v>
      </c>
      <c r="N141" s="615">
        <f t="shared" si="210"/>
        <v>710.27169450248414</v>
      </c>
      <c r="O141" s="615">
        <f t="shared" si="210"/>
        <v>614.10519559428553</v>
      </c>
      <c r="P141" s="615">
        <f t="shared" si="210"/>
        <v>663.09234276918914</v>
      </c>
      <c r="Q141" s="615">
        <f t="shared" si="210"/>
        <v>771.05931840227868</v>
      </c>
      <c r="R141" s="615">
        <f t="shared" si="210"/>
        <v>939.15782432136064</v>
      </c>
      <c r="S141" s="615">
        <f>S62+S64</f>
        <v>1124.9061709575753</v>
      </c>
      <c r="T141" s="615">
        <f t="shared" ref="T141:U141" si="211">T62+T64</f>
        <v>1329.8660979282763</v>
      </c>
      <c r="U141" s="615">
        <f t="shared" si="211"/>
        <v>1553.4518133634228</v>
      </c>
    </row>
    <row r="142" spans="3:21" s="371" customFormat="1">
      <c r="C142" s="393" t="s">
        <v>327</v>
      </c>
      <c r="D142" s="393"/>
      <c r="E142" s="592"/>
      <c r="F142" s="592"/>
      <c r="G142" s="592"/>
      <c r="H142" s="592"/>
      <c r="I142" s="592">
        <f t="shared" ref="I142:J142" si="212">I140-I141</f>
        <v>127.72700000000009</v>
      </c>
      <c r="J142" s="592">
        <f t="shared" si="212"/>
        <v>-811.64600000000019</v>
      </c>
      <c r="K142" s="699">
        <f t="shared" ref="K142:S142" si="213">K140-K141</f>
        <v>-943.67527483127355</v>
      </c>
      <c r="L142" s="616">
        <f t="shared" si="213"/>
        <v>-834.19821113934086</v>
      </c>
      <c r="M142" s="616">
        <f t="shared" si="213"/>
        <v>-712.95070009782694</v>
      </c>
      <c r="N142" s="616">
        <f t="shared" si="213"/>
        <v>-604.80069450248413</v>
      </c>
      <c r="O142" s="616">
        <f t="shared" si="213"/>
        <v>-544.33619559428553</v>
      </c>
      <c r="P142" s="616">
        <f t="shared" si="213"/>
        <v>-618.32334276918914</v>
      </c>
      <c r="Q142" s="616">
        <f t="shared" si="213"/>
        <v>-771.05931840227868</v>
      </c>
      <c r="R142" s="616">
        <f t="shared" si="213"/>
        <v>-939.15782432136064</v>
      </c>
      <c r="S142" s="616">
        <f t="shared" si="213"/>
        <v>-1124.9061709575753</v>
      </c>
      <c r="T142" s="616">
        <f t="shared" ref="T142:U142" si="214">T140-T141</f>
        <v>-1329.8660979282763</v>
      </c>
      <c r="U142" s="616">
        <f t="shared" si="214"/>
        <v>-1553.4518133634228</v>
      </c>
    </row>
    <row r="143" spans="3:21" s="371" customFormat="1">
      <c r="C143" s="393" t="s">
        <v>729</v>
      </c>
      <c r="D143" s="393"/>
      <c r="E143" s="592"/>
      <c r="F143" s="592"/>
      <c r="G143" s="592"/>
      <c r="H143" s="592"/>
      <c r="I143" s="590">
        <f>I142/I21</f>
        <v>0.22645788011439316</v>
      </c>
      <c r="J143" s="590">
        <f t="shared" ref="J143:O143" si="215">J142/J21</f>
        <v>-1.1884743846742933</v>
      </c>
      <c r="K143" s="700">
        <f t="shared" si="215"/>
        <v>-1.4457661429529389</v>
      </c>
      <c r="L143" s="617">
        <f t="shared" si="215"/>
        <v>-1.2467766470119341</v>
      </c>
      <c r="M143" s="617">
        <f t="shared" si="215"/>
        <v>-1.0426246990748167</v>
      </c>
      <c r="N143" s="617">
        <f t="shared" si="215"/>
        <v>-0.86415757902170909</v>
      </c>
      <c r="O143" s="617">
        <f t="shared" si="215"/>
        <v>-0.75879421344619902</v>
      </c>
      <c r="P143" s="617">
        <f t="shared" ref="P143" si="216">P142/P21</f>
        <v>-0.84214057366679962</v>
      </c>
      <c r="Q143" s="617">
        <f t="shared" ref="Q143" si="217">Q142/Q21</f>
        <v>-1.0255498680485937</v>
      </c>
      <c r="R143" s="617">
        <f t="shared" ref="R143" si="218">R142/R21</f>
        <v>-1.2192579929531708</v>
      </c>
      <c r="S143" s="617">
        <f t="shared" ref="S143" si="219">S142/S21</f>
        <v>-1.4247854259327397</v>
      </c>
      <c r="T143" s="617">
        <f t="shared" ref="T143:U143" si="220">T142/T21</f>
        <v>-1.6429176136006562</v>
      </c>
      <c r="U143" s="617">
        <f t="shared" si="220"/>
        <v>-1.8714489615240597</v>
      </c>
    </row>
    <row r="144" spans="3:21" s="371" customFormat="1">
      <c r="C144" s="393" t="s">
        <v>568</v>
      </c>
      <c r="D144" s="393"/>
      <c r="E144" s="590"/>
      <c r="F144" s="590"/>
      <c r="G144" s="590"/>
      <c r="H144" s="590"/>
      <c r="I144" s="590">
        <f>I140/I102</f>
        <v>0.37541540508380528</v>
      </c>
      <c r="J144" s="590">
        <f>J140/J102</f>
        <v>0.17946788731562338</v>
      </c>
      <c r="K144" s="700">
        <f t="shared" ref="K144:R144" si="221">K140/K102</f>
        <v>8.8291417569822575E-2</v>
      </c>
      <c r="L144" s="617">
        <f t="shared" si="221"/>
        <v>7.0424626878611452E-2</v>
      </c>
      <c r="M144" s="617">
        <f t="shared" si="221"/>
        <v>5.1624675777501093E-2</v>
      </c>
      <c r="N144" s="617">
        <f t="shared" si="221"/>
        <v>2.7059174192866069E-2</v>
      </c>
      <c r="O144" s="617">
        <f t="shared" si="221"/>
        <v>1.647806689691303E-2</v>
      </c>
      <c r="P144" s="617">
        <f t="shared" si="221"/>
        <v>9.8073661648219752E-3</v>
      </c>
      <c r="Q144" s="617">
        <f t="shared" si="221"/>
        <v>0</v>
      </c>
      <c r="R144" s="617">
        <f t="shared" si="221"/>
        <v>0</v>
      </c>
      <c r="S144" s="617">
        <f>S140/S102</f>
        <v>0</v>
      </c>
      <c r="T144" s="617">
        <f t="shared" ref="T144:U144" si="222">T140/T102</f>
        <v>0</v>
      </c>
      <c r="U144" s="617">
        <f t="shared" si="222"/>
        <v>0</v>
      </c>
    </row>
    <row r="145" spans="3:21" s="371" customFormat="1">
      <c r="C145" s="393" t="s">
        <v>730</v>
      </c>
      <c r="D145" s="393"/>
      <c r="E145" s="590"/>
      <c r="F145" s="590"/>
      <c r="G145" s="590"/>
      <c r="H145" s="590"/>
      <c r="I145" s="590">
        <f>I21/-(I30+I31)</f>
        <v>-26.228655133928569</v>
      </c>
      <c r="J145" s="590">
        <f t="shared" ref="J145:U145" si="223">J21/-(J30+J31)</f>
        <v>26.759570549743358</v>
      </c>
      <c r="K145" s="700">
        <f t="shared" si="223"/>
        <v>-7.8905158302139728</v>
      </c>
      <c r="L145" s="617">
        <f t="shared" si="223"/>
        <v>-8.2763333179687049</v>
      </c>
      <c r="M145" s="617">
        <f t="shared" si="223"/>
        <v>-8.3511584204961888</v>
      </c>
      <c r="N145" s="617">
        <f t="shared" si="223"/>
        <v>-9.9617580297329873</v>
      </c>
      <c r="O145" s="617">
        <f>O21/-(O30+O31)</f>
        <v>-12.28181378913769</v>
      </c>
      <c r="P145" s="617">
        <f t="shared" si="223"/>
        <v>-14.188643094403211</v>
      </c>
      <c r="Q145" s="617">
        <f t="shared" si="223"/>
        <v>-12.957762562046659</v>
      </c>
      <c r="R145" s="617">
        <f t="shared" si="223"/>
        <v>-11.046712310536627</v>
      </c>
      <c r="S145" s="617">
        <f>S21/-(S30+S31)</f>
        <v>-9.296214118937808</v>
      </c>
      <c r="T145" s="617">
        <f t="shared" si="223"/>
        <v>-7.9570794426114562</v>
      </c>
      <c r="U145" s="617">
        <f t="shared" si="223"/>
        <v>-7.0826856980232114</v>
      </c>
    </row>
    <row r="146" spans="3:21">
      <c r="C146" s="410" t="s">
        <v>649</v>
      </c>
      <c r="I146" s="361">
        <f>(I118+I122-I116)</f>
        <v>-1903.8383000000008</v>
      </c>
      <c r="J146" s="361">
        <f>(J118+J122)</f>
        <v>915.3310000000015</v>
      </c>
      <c r="K146" s="665">
        <f t="shared" ref="K146:R146" si="224">(K118+K122)</f>
        <v>238.82143125371215</v>
      </c>
      <c r="L146" s="615">
        <f t="shared" si="224"/>
        <v>0.59837068957608608</v>
      </c>
      <c r="M146" s="615">
        <f t="shared" si="224"/>
        <v>-11.500119642843117</v>
      </c>
      <c r="N146" s="615">
        <f t="shared" si="224"/>
        <v>-1.0489379237258163</v>
      </c>
      <c r="O146" s="615">
        <f t="shared" si="224"/>
        <v>44.272748068639942</v>
      </c>
      <c r="P146" s="615">
        <f t="shared" si="224"/>
        <v>177.01750389680308</v>
      </c>
      <c r="Q146" s="615">
        <f t="shared" si="224"/>
        <v>256.35708850484809</v>
      </c>
      <c r="R146" s="615">
        <f t="shared" si="224"/>
        <v>273.3300400517287</v>
      </c>
      <c r="S146" s="615">
        <f>(S118+S122)</f>
        <v>293.26815166608321</v>
      </c>
      <c r="T146" s="615">
        <f t="shared" ref="T146:U146" si="225">(T118+T122)</f>
        <v>315.07457101062482</v>
      </c>
      <c r="U146" s="615">
        <f t="shared" si="225"/>
        <v>336.08275586564469</v>
      </c>
    </row>
    <row r="147" spans="3:21">
      <c r="C147" s="410" t="s">
        <v>650</v>
      </c>
      <c r="I147" s="361">
        <f>(MIN(0,I124)+I31)</f>
        <v>-153.53800000000001</v>
      </c>
      <c r="J147" s="361">
        <f>(MIN(0,J124)+J31)</f>
        <v>-411.95900000000006</v>
      </c>
      <c r="K147" s="665">
        <f>K31+K32+K161+K170+K171+K186</f>
        <v>-244.56704809077399</v>
      </c>
      <c r="L147" s="615">
        <f t="shared" ref="L147:U147" si="226">L31+L32+L161+L170+L171+L186</f>
        <v>-44.059237867943509</v>
      </c>
      <c r="M147" s="615">
        <f t="shared" si="226"/>
        <v>-58.817647095906011</v>
      </c>
      <c r="N147" s="615">
        <f t="shared" si="226"/>
        <v>-90.482983263070452</v>
      </c>
      <c r="O147" s="615">
        <f t="shared" si="226"/>
        <v>-43.547716006875007</v>
      </c>
      <c r="P147" s="615">
        <f t="shared" si="226"/>
        <v>-30.261016685000001</v>
      </c>
      <c r="Q147" s="615">
        <f t="shared" si="226"/>
        <v>-46.774315432500003</v>
      </c>
      <c r="R147" s="615">
        <f t="shared" si="226"/>
        <v>0</v>
      </c>
      <c r="S147" s="615">
        <f t="shared" si="226"/>
        <v>0</v>
      </c>
      <c r="T147" s="615">
        <f t="shared" si="226"/>
        <v>0</v>
      </c>
      <c r="U147" s="615">
        <f t="shared" si="226"/>
        <v>0</v>
      </c>
    </row>
    <row r="148" spans="3:21" s="371" customFormat="1">
      <c r="C148" s="371" t="s">
        <v>648</v>
      </c>
      <c r="E148" s="591"/>
      <c r="F148" s="591"/>
      <c r="G148" s="591"/>
      <c r="H148" s="591"/>
      <c r="I148" s="591">
        <f>I146/-I147</f>
        <v>-12.399785720798764</v>
      </c>
      <c r="J148" s="591">
        <f t="shared" ref="J148:N148" si="227">J146/-J147</f>
        <v>2.2218982957041873</v>
      </c>
      <c r="K148" s="701">
        <f t="shared" si="227"/>
        <v>0.97650698701270133</v>
      </c>
      <c r="L148" s="618">
        <f t="shared" si="227"/>
        <v>1.3581049480918209E-2</v>
      </c>
      <c r="M148" s="618">
        <f t="shared" si="227"/>
        <v>-0.19552158596367211</v>
      </c>
      <c r="N148" s="618">
        <f t="shared" si="227"/>
        <v>-1.1592654064865784E-2</v>
      </c>
      <c r="O148" s="618">
        <f t="shared" ref="O148" si="228">O146/-O147</f>
        <v>1.0166491409480689</v>
      </c>
      <c r="P148" s="618">
        <f t="shared" ref="P148" si="229">P146/-P147</f>
        <v>5.8496879248788884</v>
      </c>
      <c r="Q148" s="618">
        <f t="shared" ref="Q148" si="230">Q146/-Q147</f>
        <v>5.4807234725818041</v>
      </c>
      <c r="R148" s="618" t="e">
        <f t="shared" ref="R148:S148" si="231">R146/-R147</f>
        <v>#DIV/0!</v>
      </c>
      <c r="S148" s="618" t="e">
        <f t="shared" si="231"/>
        <v>#DIV/0!</v>
      </c>
      <c r="T148" s="618" t="e">
        <f t="shared" ref="T148" si="232">T146/-T147</f>
        <v>#DIV/0!</v>
      </c>
      <c r="U148" s="618" t="e">
        <f t="shared" ref="U148" si="233">U146/-U147</f>
        <v>#DIV/0!</v>
      </c>
    </row>
    <row r="149" spans="3:21">
      <c r="C149" s="352"/>
      <c r="D149" s="352"/>
      <c r="E149" s="368"/>
      <c r="F149" s="368"/>
      <c r="G149" s="368"/>
      <c r="K149" s="626"/>
    </row>
    <row r="150" spans="3:21">
      <c r="C150" s="352"/>
      <c r="D150" s="352"/>
      <c r="E150" s="368"/>
      <c r="F150" s="368"/>
      <c r="G150" s="368"/>
      <c r="K150" s="626"/>
    </row>
    <row r="151" spans="3:21">
      <c r="C151" s="397" t="s">
        <v>685</v>
      </c>
      <c r="D151" s="350"/>
      <c r="E151" s="398"/>
      <c r="F151" s="398"/>
      <c r="G151" s="398"/>
      <c r="H151" s="398"/>
      <c r="I151" s="398"/>
      <c r="J151" s="398">
        <v>2011</v>
      </c>
      <c r="K151" s="644">
        <v>2012</v>
      </c>
      <c r="L151" s="398">
        <v>2013</v>
      </c>
      <c r="M151" s="398">
        <v>2014</v>
      </c>
      <c r="N151" s="398">
        <v>2015</v>
      </c>
      <c r="O151" s="398">
        <v>2016</v>
      </c>
      <c r="P151" s="398">
        <v>2017</v>
      </c>
      <c r="Q151" s="398">
        <v>2018</v>
      </c>
      <c r="R151" s="398">
        <v>2019</v>
      </c>
      <c r="S151" s="398">
        <v>2020</v>
      </c>
      <c r="T151" s="398">
        <v>2021</v>
      </c>
      <c r="U151" s="398">
        <v>2022</v>
      </c>
    </row>
    <row r="152" spans="3:21">
      <c r="C152" s="352"/>
      <c r="D152" s="352" t="s">
        <v>692</v>
      </c>
      <c r="E152" s="368"/>
      <c r="F152" s="368"/>
      <c r="G152" s="368"/>
      <c r="I152" s="361" t="s">
        <v>696</v>
      </c>
      <c r="J152" s="725" t="s">
        <v>716</v>
      </c>
      <c r="K152" s="626"/>
    </row>
    <row r="153" spans="3:21">
      <c r="C153" s="357" t="s">
        <v>690</v>
      </c>
      <c r="D153" s="357" t="s">
        <v>693</v>
      </c>
      <c r="I153" s="843">
        <f>(1+J210)*(1+3.9%)-1</f>
        <v>0.10133999999999999</v>
      </c>
      <c r="J153" s="548">
        <v>149.97</v>
      </c>
      <c r="K153" s="626"/>
    </row>
    <row r="154" spans="3:21">
      <c r="C154" s="357" t="s">
        <v>691</v>
      </c>
      <c r="D154" s="357" t="s">
        <v>694</v>
      </c>
      <c r="I154" s="597">
        <f>10.44%+0.5%</f>
        <v>0.1094</v>
      </c>
      <c r="J154" s="548">
        <v>38.167000000000002</v>
      </c>
      <c r="K154" s="626"/>
    </row>
    <row r="155" spans="3:21">
      <c r="C155" s="357" t="s">
        <v>691</v>
      </c>
      <c r="D155" s="844">
        <v>1.38E-2</v>
      </c>
      <c r="I155" s="843">
        <v>1.38E-2</v>
      </c>
      <c r="J155" s="548">
        <v>1.7549999999999999</v>
      </c>
      <c r="K155" s="626"/>
    </row>
    <row r="156" spans="3:21" ht="13.5" thickBot="1">
      <c r="C156" s="357" t="s">
        <v>691</v>
      </c>
      <c r="D156" s="357" t="s">
        <v>695</v>
      </c>
      <c r="I156" s="843">
        <f>(1+J210)*(1+2.22%)-1</f>
        <v>8.3532000000000162E-2</v>
      </c>
      <c r="J156" s="842">
        <v>91.876999999999995</v>
      </c>
      <c r="K156" s="626"/>
    </row>
    <row r="157" spans="3:21" ht="13.5" thickBot="1">
      <c r="D157" s="709" t="s">
        <v>697</v>
      </c>
      <c r="I157" s="710">
        <f>SUMPRODUCT(I153:I156,J153:J156)/J157</f>
        <v>9.6079831933250315E-2</v>
      </c>
      <c r="J157" s="592">
        <f>SUM(J153:J156)</f>
        <v>281.76900000000001</v>
      </c>
      <c r="K157" s="626"/>
    </row>
    <row r="158" spans="3:21">
      <c r="C158" s="352"/>
      <c r="D158" s="352"/>
      <c r="E158" s="368"/>
      <c r="F158" s="368"/>
      <c r="G158" s="368"/>
      <c r="I158" s="146"/>
      <c r="K158" s="626"/>
    </row>
    <row r="159" spans="3:21">
      <c r="C159" s="715" t="s">
        <v>470</v>
      </c>
      <c r="D159" s="715"/>
      <c r="E159" s="716"/>
      <c r="F159" s="716"/>
      <c r="G159" s="716"/>
      <c r="H159" s="717"/>
      <c r="I159" s="717"/>
      <c r="J159" s="717">
        <v>416.73500000000001</v>
      </c>
      <c r="K159" s="900">
        <f>J164</f>
        <v>281.76900000000001</v>
      </c>
      <c r="L159" s="718">
        <f t="shared" ref="L159:U159" si="234">K164</f>
        <v>171.76900000000001</v>
      </c>
      <c r="M159" s="718">
        <f t="shared" si="234"/>
        <v>165.76900000000001</v>
      </c>
      <c r="N159" s="718">
        <f t="shared" si="234"/>
        <v>143.76900000000001</v>
      </c>
      <c r="O159" s="718">
        <f t="shared" si="234"/>
        <v>86.769000000000005</v>
      </c>
      <c r="P159" s="718">
        <f t="shared" si="234"/>
        <v>69.769000000000005</v>
      </c>
      <c r="Q159" s="718">
        <f t="shared" si="234"/>
        <v>44.769000000000005</v>
      </c>
      <c r="R159" s="718">
        <f t="shared" si="234"/>
        <v>0</v>
      </c>
      <c r="S159" s="718">
        <f t="shared" si="234"/>
        <v>0</v>
      </c>
      <c r="T159" s="718">
        <f t="shared" si="234"/>
        <v>0</v>
      </c>
      <c r="U159" s="718">
        <f t="shared" si="234"/>
        <v>0</v>
      </c>
    </row>
    <row r="160" spans="3:21">
      <c r="C160" s="352" t="s">
        <v>686</v>
      </c>
      <c r="D160" s="352"/>
      <c r="E160" s="368"/>
      <c r="F160" s="368"/>
      <c r="G160" s="368"/>
      <c r="J160" s="361">
        <v>0</v>
      </c>
      <c r="K160" s="665">
        <v>0</v>
      </c>
      <c r="L160" s="615">
        <v>0</v>
      </c>
      <c r="M160" s="615">
        <v>0</v>
      </c>
      <c r="N160" s="615">
        <v>0</v>
      </c>
      <c r="O160" s="615">
        <v>0</v>
      </c>
      <c r="P160" s="615">
        <v>0</v>
      </c>
      <c r="Q160" s="615">
        <v>0</v>
      </c>
      <c r="R160" s="615">
        <v>0</v>
      </c>
      <c r="S160" s="615">
        <v>0</v>
      </c>
      <c r="T160" s="615">
        <v>0</v>
      </c>
      <c r="U160" s="615">
        <v>0</v>
      </c>
    </row>
    <row r="161" spans="3:21">
      <c r="C161" s="352" t="s">
        <v>433</v>
      </c>
      <c r="D161" s="352"/>
      <c r="E161" s="368"/>
      <c r="F161" s="368"/>
      <c r="G161" s="368"/>
      <c r="J161" s="361">
        <f>J164-J159</f>
        <v>-134.96600000000001</v>
      </c>
      <c r="K161" s="673">
        <v>-110</v>
      </c>
      <c r="L161" s="549">
        <v>-6</v>
      </c>
      <c r="M161" s="549">
        <v>-22</v>
      </c>
      <c r="N161" s="549">
        <v>-57</v>
      </c>
      <c r="O161" s="549">
        <v>-17</v>
      </c>
      <c r="P161" s="549">
        <v>-25</v>
      </c>
      <c r="Q161" s="549">
        <f>-Q159</f>
        <v>-44.769000000000005</v>
      </c>
      <c r="R161" s="549"/>
      <c r="S161" s="549"/>
      <c r="T161" s="549"/>
      <c r="U161" s="549"/>
    </row>
    <row r="162" spans="3:21" ht="13.5" thickBot="1">
      <c r="C162" s="352" t="s">
        <v>687</v>
      </c>
      <c r="D162" s="372" t="s">
        <v>466</v>
      </c>
      <c r="E162" s="368"/>
      <c r="F162" s="368"/>
      <c r="G162" s="368"/>
      <c r="J162" s="361">
        <f>-J163*((J159+J164)/2)</f>
        <v>-33.556073462351542</v>
      </c>
      <c r="K162" s="665">
        <f>-K163*((K159+K164)/2)</f>
        <v>-18.863191722888526</v>
      </c>
      <c r="L162" s="615">
        <f t="shared" ref="L162:M162" si="235">-L163*((L159+L164)/2)</f>
        <v>-13.539805387825602</v>
      </c>
      <c r="M162" s="615">
        <f t="shared" si="235"/>
        <v>-14.136287916418819</v>
      </c>
      <c r="N162" s="615">
        <f t="shared" ref="N162" si="236">-N163*((N159+N164)/2)</f>
        <v>-10.396703668133771</v>
      </c>
      <c r="O162" s="615">
        <f t="shared" ref="O162" si="237">-O163*((O159+O164)/2)</f>
        <v>-7.1901816849999998</v>
      </c>
      <c r="P162" s="615">
        <f t="shared" ref="P162" si="238">-P163*((P159+P164)/2)</f>
        <v>-5.2610166849999995</v>
      </c>
      <c r="Q162" s="615">
        <f t="shared" ref="Q162" si="239">-Q163*((Q159+Q164)/2)</f>
        <v>-2.0053154324999998</v>
      </c>
      <c r="R162" s="615">
        <f t="shared" ref="R162" si="240">-R163*((R159+R164)/2)</f>
        <v>0</v>
      </c>
      <c r="S162" s="615">
        <f t="shared" ref="S162" si="241">-S163*((S159+S164)/2)</f>
        <v>0</v>
      </c>
      <c r="T162" s="615">
        <f t="shared" ref="T162" si="242">-T163*((T159+T164)/2)</f>
        <v>0</v>
      </c>
      <c r="U162" s="615">
        <f t="shared" ref="U162" si="243">-U163*((U159+U164)/2)</f>
        <v>0</v>
      </c>
    </row>
    <row r="163" spans="3:21">
      <c r="C163" s="356" t="s">
        <v>689</v>
      </c>
      <c r="D163" s="712">
        <v>0.95</v>
      </c>
      <c r="E163" s="421"/>
      <c r="F163" s="421"/>
      <c r="G163" s="421"/>
      <c r="H163" s="355"/>
      <c r="I163" s="355"/>
      <c r="J163" s="713">
        <f>I157</f>
        <v>9.6079831933250315E-2</v>
      </c>
      <c r="K163" s="901">
        <f>$D$163*K211</f>
        <v>8.3182409072177083E-2</v>
      </c>
      <c r="L163" s="714">
        <f t="shared" ref="L163:U163" si="244">$D$163*L211</f>
        <v>8.0226850830576721E-2</v>
      </c>
      <c r="M163" s="714">
        <f t="shared" si="244"/>
        <v>9.1337980580211919E-2</v>
      </c>
      <c r="N163" s="714">
        <f t="shared" si="244"/>
        <v>9.0195140654762085E-2</v>
      </c>
      <c r="O163" s="714">
        <f t="shared" si="244"/>
        <v>9.1864999999999988E-2</v>
      </c>
      <c r="P163" s="714">
        <f t="shared" si="244"/>
        <v>9.1864999999999988E-2</v>
      </c>
      <c r="Q163" s="714">
        <f t="shared" si="244"/>
        <v>8.9584999999999984E-2</v>
      </c>
      <c r="R163" s="714">
        <f t="shared" si="244"/>
        <v>8.949E-2</v>
      </c>
      <c r="S163" s="714">
        <f t="shared" si="244"/>
        <v>8.949E-2</v>
      </c>
      <c r="T163" s="714">
        <f t="shared" si="244"/>
        <v>8.949E-2</v>
      </c>
      <c r="U163" s="714">
        <f t="shared" si="244"/>
        <v>8.7209999999999996E-2</v>
      </c>
    </row>
    <row r="164" spans="3:21">
      <c r="C164" s="371" t="s">
        <v>688</v>
      </c>
      <c r="D164" s="352"/>
      <c r="E164" s="368"/>
      <c r="F164" s="368"/>
      <c r="G164" s="368"/>
      <c r="J164" s="592">
        <f>J157</f>
        <v>281.76900000000001</v>
      </c>
      <c r="K164" s="902">
        <f>K159+K161</f>
        <v>171.76900000000001</v>
      </c>
      <c r="L164" s="711">
        <f t="shared" ref="L164:U164" si="245">L159+L161</f>
        <v>165.76900000000001</v>
      </c>
      <c r="M164" s="711">
        <f t="shared" si="245"/>
        <v>143.76900000000001</v>
      </c>
      <c r="N164" s="711">
        <f t="shared" si="245"/>
        <v>86.769000000000005</v>
      </c>
      <c r="O164" s="711">
        <f t="shared" si="245"/>
        <v>69.769000000000005</v>
      </c>
      <c r="P164" s="711">
        <f t="shared" si="245"/>
        <v>44.769000000000005</v>
      </c>
      <c r="Q164" s="711">
        <f t="shared" si="245"/>
        <v>0</v>
      </c>
      <c r="R164" s="711">
        <f t="shared" si="245"/>
        <v>0</v>
      </c>
      <c r="S164" s="711">
        <f t="shared" si="245"/>
        <v>0</v>
      </c>
      <c r="T164" s="711">
        <f t="shared" si="245"/>
        <v>0</v>
      </c>
      <c r="U164" s="711">
        <f t="shared" si="245"/>
        <v>0</v>
      </c>
    </row>
    <row r="165" spans="3:21">
      <c r="C165" s="352"/>
      <c r="D165" s="352"/>
      <c r="E165" s="368"/>
      <c r="F165" s="368"/>
      <c r="G165" s="368"/>
      <c r="K165" s="626"/>
    </row>
    <row r="166" spans="3:21">
      <c r="C166" s="397" t="s">
        <v>751</v>
      </c>
      <c r="D166" s="350"/>
      <c r="E166" s="398"/>
      <c r="F166" s="398"/>
      <c r="G166" s="398"/>
      <c r="H166" s="398"/>
      <c r="I166" s="398"/>
      <c r="J166" s="398">
        <v>2011</v>
      </c>
      <c r="K166" s="644">
        <v>2012</v>
      </c>
      <c r="L166" s="398">
        <v>2013</v>
      </c>
      <c r="M166" s="398">
        <v>2014</v>
      </c>
      <c r="N166" s="398">
        <v>2015</v>
      </c>
      <c r="O166" s="398">
        <v>2016</v>
      </c>
      <c r="P166" s="398">
        <v>2017</v>
      </c>
      <c r="Q166" s="398">
        <v>2018</v>
      </c>
      <c r="R166" s="398">
        <v>2019</v>
      </c>
      <c r="S166" s="398">
        <v>2020</v>
      </c>
      <c r="T166" s="398">
        <v>2021</v>
      </c>
      <c r="U166" s="398">
        <v>2022</v>
      </c>
    </row>
    <row r="167" spans="3:21">
      <c r="C167" s="352"/>
      <c r="D167" s="352"/>
      <c r="E167" s="368"/>
      <c r="F167" s="368"/>
      <c r="G167" s="368"/>
      <c r="K167" s="626"/>
    </row>
    <row r="168" spans="3:21">
      <c r="C168" s="715" t="s">
        <v>470</v>
      </c>
      <c r="D168" s="715"/>
      <c r="E168" s="716"/>
      <c r="F168" s="716"/>
      <c r="G168" s="716"/>
      <c r="H168" s="717"/>
      <c r="I168" s="717"/>
      <c r="J168" s="717">
        <f>I86</f>
        <v>0</v>
      </c>
      <c r="K168" s="903">
        <f t="shared" ref="K168" si="246">J86</f>
        <v>0</v>
      </c>
      <c r="L168" s="845">
        <f t="shared" ref="L168:U168" si="247">K86</f>
        <v>0</v>
      </c>
      <c r="M168" s="845">
        <f t="shared" si="247"/>
        <v>0</v>
      </c>
      <c r="N168" s="845">
        <f t="shared" si="247"/>
        <v>0</v>
      </c>
      <c r="O168" s="845">
        <f t="shared" si="247"/>
        <v>0</v>
      </c>
      <c r="P168" s="845">
        <f t="shared" si="247"/>
        <v>0</v>
      </c>
      <c r="Q168" s="845">
        <f t="shared" si="247"/>
        <v>0</v>
      </c>
      <c r="R168" s="845">
        <f t="shared" si="247"/>
        <v>0</v>
      </c>
      <c r="S168" s="845">
        <f t="shared" si="247"/>
        <v>0</v>
      </c>
      <c r="T168" s="845">
        <f t="shared" si="247"/>
        <v>0</v>
      </c>
      <c r="U168" s="845">
        <f t="shared" si="247"/>
        <v>0</v>
      </c>
    </row>
    <row r="169" spans="3:21">
      <c r="C169" s="352" t="s">
        <v>686</v>
      </c>
      <c r="D169" s="352"/>
      <c r="E169" s="368"/>
      <c r="F169" s="368"/>
      <c r="G169" s="368"/>
      <c r="J169" s="800">
        <f>MAX(0,J173-J168)</f>
        <v>0</v>
      </c>
      <c r="K169" s="904">
        <f t="shared" ref="K169:U169" si="248">MAX(0,K173-K168)</f>
        <v>0</v>
      </c>
      <c r="L169" s="800">
        <f t="shared" si="248"/>
        <v>0</v>
      </c>
      <c r="M169" s="800">
        <f t="shared" si="248"/>
        <v>0</v>
      </c>
      <c r="N169" s="800">
        <f t="shared" si="248"/>
        <v>0</v>
      </c>
      <c r="O169" s="800">
        <f t="shared" si="248"/>
        <v>0</v>
      </c>
      <c r="P169" s="800">
        <f t="shared" si="248"/>
        <v>0</v>
      </c>
      <c r="Q169" s="800">
        <f t="shared" si="248"/>
        <v>0</v>
      </c>
      <c r="R169" s="800">
        <f t="shared" si="248"/>
        <v>0</v>
      </c>
      <c r="S169" s="800">
        <f t="shared" si="248"/>
        <v>0</v>
      </c>
      <c r="T169" s="800">
        <f t="shared" si="248"/>
        <v>0</v>
      </c>
      <c r="U169" s="800">
        <f t="shared" si="248"/>
        <v>0</v>
      </c>
    </row>
    <row r="170" spans="3:21">
      <c r="C170" s="352" t="s">
        <v>433</v>
      </c>
      <c r="D170" s="352"/>
      <c r="E170" s="368"/>
      <c r="F170" s="368"/>
      <c r="G170" s="368"/>
      <c r="J170" s="800">
        <f>MIN(0,J173-J168)</f>
        <v>0</v>
      </c>
      <c r="K170" s="904">
        <f t="shared" ref="K170:U170" si="249">MIN(0,K173-K168)</f>
        <v>0</v>
      </c>
      <c r="L170" s="800">
        <f t="shared" si="249"/>
        <v>0</v>
      </c>
      <c r="M170" s="800">
        <f t="shared" si="249"/>
        <v>0</v>
      </c>
      <c r="N170" s="800">
        <f t="shared" si="249"/>
        <v>0</v>
      </c>
      <c r="O170" s="800">
        <f t="shared" si="249"/>
        <v>0</v>
      </c>
      <c r="P170" s="800">
        <f t="shared" si="249"/>
        <v>0</v>
      </c>
      <c r="Q170" s="800">
        <f t="shared" si="249"/>
        <v>0</v>
      </c>
      <c r="R170" s="800">
        <f t="shared" si="249"/>
        <v>0</v>
      </c>
      <c r="S170" s="800">
        <f t="shared" si="249"/>
        <v>0</v>
      </c>
      <c r="T170" s="800">
        <f t="shared" si="249"/>
        <v>0</v>
      </c>
      <c r="U170" s="800">
        <f t="shared" si="249"/>
        <v>0</v>
      </c>
    </row>
    <row r="171" spans="3:21" ht="13.5" thickBot="1">
      <c r="C171" s="352" t="s">
        <v>687</v>
      </c>
      <c r="D171" s="372" t="s">
        <v>466</v>
      </c>
      <c r="E171" s="368"/>
      <c r="F171" s="368"/>
      <c r="G171" s="368"/>
      <c r="J171" s="361">
        <f>-J172*((J168+J173)/2)</f>
        <v>0</v>
      </c>
      <c r="K171" s="665">
        <f>-K172*(K168)</f>
        <v>0</v>
      </c>
      <c r="L171" s="615">
        <f t="shared" ref="L171:U171" si="250">-L172*(L168)</f>
        <v>0</v>
      </c>
      <c r="M171" s="615">
        <f t="shared" si="250"/>
        <v>0</v>
      </c>
      <c r="N171" s="615">
        <f t="shared" si="250"/>
        <v>0</v>
      </c>
      <c r="O171" s="615">
        <f t="shared" si="250"/>
        <v>0</v>
      </c>
      <c r="P171" s="615">
        <f t="shared" si="250"/>
        <v>0</v>
      </c>
      <c r="Q171" s="615">
        <f t="shared" si="250"/>
        <v>0</v>
      </c>
      <c r="R171" s="615">
        <f t="shared" si="250"/>
        <v>0</v>
      </c>
      <c r="S171" s="615">
        <f t="shared" si="250"/>
        <v>0</v>
      </c>
      <c r="T171" s="615">
        <f t="shared" si="250"/>
        <v>0</v>
      </c>
      <c r="U171" s="615">
        <f t="shared" si="250"/>
        <v>0</v>
      </c>
    </row>
    <row r="172" spans="3:21">
      <c r="C172" s="356" t="s">
        <v>689</v>
      </c>
      <c r="D172" s="712">
        <v>1</v>
      </c>
      <c r="E172" s="421"/>
      <c r="F172" s="421"/>
      <c r="G172" s="421"/>
      <c r="H172" s="355"/>
      <c r="I172" s="355"/>
      <c r="J172" s="714">
        <f>$D$172*J211</f>
        <v>0.11588487508441325</v>
      </c>
      <c r="K172" s="901">
        <f>$D$172*K211</f>
        <v>8.756043060229167E-2</v>
      </c>
      <c r="L172" s="714">
        <f t="shared" ref="L172:U172" si="251">$D$172*L211</f>
        <v>8.444931666376497E-2</v>
      </c>
      <c r="M172" s="714">
        <f t="shared" si="251"/>
        <v>9.6145242716012547E-2</v>
      </c>
      <c r="N172" s="714">
        <f t="shared" si="251"/>
        <v>9.4942253320802195E-2</v>
      </c>
      <c r="O172" s="714">
        <f t="shared" si="251"/>
        <v>9.6699999999999994E-2</v>
      </c>
      <c r="P172" s="714">
        <f t="shared" si="251"/>
        <v>9.6699999999999994E-2</v>
      </c>
      <c r="Q172" s="714">
        <f t="shared" si="251"/>
        <v>9.4299999999999995E-2</v>
      </c>
      <c r="R172" s="714">
        <f t="shared" si="251"/>
        <v>9.4200000000000006E-2</v>
      </c>
      <c r="S172" s="714">
        <f t="shared" si="251"/>
        <v>9.4200000000000006E-2</v>
      </c>
      <c r="T172" s="714">
        <f t="shared" si="251"/>
        <v>9.4200000000000006E-2</v>
      </c>
      <c r="U172" s="714">
        <f t="shared" si="251"/>
        <v>9.1799999999999993E-2</v>
      </c>
    </row>
    <row r="173" spans="3:21">
      <c r="C173" s="371" t="s">
        <v>688</v>
      </c>
      <c r="D173" s="352"/>
      <c r="E173" s="368"/>
      <c r="F173" s="368"/>
      <c r="G173" s="368"/>
      <c r="J173" s="592">
        <f>J86</f>
        <v>0</v>
      </c>
      <c r="K173" s="699">
        <f t="shared" ref="K173:U173" si="252">K86</f>
        <v>0</v>
      </c>
      <c r="L173" s="616">
        <f t="shared" si="252"/>
        <v>0</v>
      </c>
      <c r="M173" s="616">
        <f t="shared" si="252"/>
        <v>0</v>
      </c>
      <c r="N173" s="616">
        <f t="shared" si="252"/>
        <v>0</v>
      </c>
      <c r="O173" s="616">
        <f t="shared" si="252"/>
        <v>0</v>
      </c>
      <c r="P173" s="616">
        <f t="shared" si="252"/>
        <v>0</v>
      </c>
      <c r="Q173" s="616">
        <f t="shared" si="252"/>
        <v>0</v>
      </c>
      <c r="R173" s="616">
        <f t="shared" si="252"/>
        <v>0</v>
      </c>
      <c r="S173" s="616">
        <f t="shared" si="252"/>
        <v>0</v>
      </c>
      <c r="T173" s="616">
        <f t="shared" si="252"/>
        <v>0</v>
      </c>
      <c r="U173" s="616">
        <f t="shared" si="252"/>
        <v>0</v>
      </c>
    </row>
    <row r="174" spans="3:21">
      <c r="C174" s="352"/>
      <c r="D174" s="352"/>
      <c r="E174" s="368"/>
      <c r="F174" s="368"/>
      <c r="G174" s="368"/>
      <c r="K174" s="626"/>
    </row>
    <row r="175" spans="3:21">
      <c r="C175" s="397" t="s">
        <v>698</v>
      </c>
      <c r="D175" s="350"/>
      <c r="E175" s="398"/>
      <c r="F175" s="398"/>
      <c r="G175" s="398"/>
      <c r="H175" s="398"/>
      <c r="I175" s="398"/>
      <c r="J175" s="398">
        <v>2011</v>
      </c>
      <c r="K175" s="644">
        <v>2012</v>
      </c>
      <c r="L175" s="398">
        <v>2013</v>
      </c>
      <c r="M175" s="398">
        <v>2014</v>
      </c>
      <c r="N175" s="398">
        <v>2015</v>
      </c>
      <c r="O175" s="398">
        <v>2016</v>
      </c>
      <c r="P175" s="398">
        <v>2017</v>
      </c>
      <c r="Q175" s="398">
        <v>2018</v>
      </c>
      <c r="R175" s="398">
        <v>2019</v>
      </c>
      <c r="S175" s="398">
        <v>2020</v>
      </c>
      <c r="T175" s="398">
        <v>2021</v>
      </c>
      <c r="U175" s="398">
        <v>2022</v>
      </c>
    </row>
    <row r="176" spans="3:21">
      <c r="C176" s="352"/>
      <c r="D176" s="352" t="s">
        <v>692</v>
      </c>
      <c r="E176" s="368"/>
      <c r="F176" s="368"/>
      <c r="G176" s="368"/>
      <c r="H176" s="361" t="s">
        <v>712</v>
      </c>
      <c r="I176" s="361" t="s">
        <v>711</v>
      </c>
      <c r="J176" s="725" t="s">
        <v>716</v>
      </c>
      <c r="K176" s="626"/>
    </row>
    <row r="177" spans="3:21">
      <c r="C177" s="357" t="s">
        <v>690</v>
      </c>
      <c r="D177" s="357" t="s">
        <v>699</v>
      </c>
      <c r="H177" s="843">
        <f>J219</f>
        <v>-0.12250361111562225</v>
      </c>
      <c r="I177" s="843">
        <v>1.78E-2</v>
      </c>
      <c r="J177" s="548">
        <v>25.452999999999999</v>
      </c>
      <c r="K177" s="626"/>
    </row>
    <row r="178" spans="3:21">
      <c r="C178" s="357" t="s">
        <v>690</v>
      </c>
      <c r="D178" s="357" t="s">
        <v>700</v>
      </c>
      <c r="H178" s="843">
        <f>(J216/I216-1)</f>
        <v>-3.4070064875429851E-2</v>
      </c>
      <c r="I178" s="843">
        <v>2.8400000000000002E-2</v>
      </c>
      <c r="J178" s="548">
        <v>16.632999999999999</v>
      </c>
      <c r="K178" s="626"/>
    </row>
    <row r="179" spans="3:21">
      <c r="C179" s="357" t="s">
        <v>690</v>
      </c>
      <c r="D179" s="357" t="s">
        <v>701</v>
      </c>
      <c r="H179" s="843">
        <f>(J216/I216-1)</f>
        <v>-3.4070064875429851E-2</v>
      </c>
      <c r="I179" s="843">
        <f>(1+J214)*(1+3.75%)-1</f>
        <v>4.6837500000000087E-2</v>
      </c>
      <c r="J179" s="548">
        <v>78.902000000000001</v>
      </c>
      <c r="K179" s="626"/>
    </row>
    <row r="180" spans="3:21">
      <c r="C180" s="357" t="s">
        <v>690</v>
      </c>
      <c r="D180" s="357" t="s">
        <v>702</v>
      </c>
      <c r="H180" s="843">
        <f>(J216/I216-1)</f>
        <v>-3.4070064875429851E-2</v>
      </c>
      <c r="I180" s="843">
        <v>2.4199999999999999E-2</v>
      </c>
      <c r="J180" s="548">
        <v>42.701000000000001</v>
      </c>
      <c r="K180" s="626"/>
    </row>
    <row r="181" spans="3:21" ht="13.5" thickBot="1">
      <c r="C181" s="357" t="s">
        <v>691</v>
      </c>
      <c r="D181" s="357" t="s">
        <v>707</v>
      </c>
      <c r="H181" s="843">
        <f>(J216/I216-1)</f>
        <v>-3.4070064875429851E-2</v>
      </c>
      <c r="I181" s="843">
        <f>(1+J214)*(1+1.6%)-1</f>
        <v>2.5143999999999833E-2</v>
      </c>
      <c r="J181" s="842">
        <v>3.0129999999999999</v>
      </c>
      <c r="K181" s="626"/>
    </row>
    <row r="182" spans="3:21" ht="13.5" thickBot="1">
      <c r="D182" s="709" t="s">
        <v>697</v>
      </c>
      <c r="H182" s="710">
        <f>SUMPRODUCT(H177:H181,J177:J181)/J182</f>
        <v>-4.7572596653402632E-2</v>
      </c>
      <c r="I182" s="710">
        <f>SUMPRODUCT(I177:I181,J177:J181)/J182</f>
        <v>3.4373529393768566E-2</v>
      </c>
      <c r="J182" s="592">
        <f>SUM(J177:J181)</f>
        <v>166.702</v>
      </c>
      <c r="K182" s="626"/>
    </row>
    <row r="183" spans="3:21">
      <c r="C183" s="352"/>
      <c r="D183" s="352"/>
      <c r="E183" s="368"/>
      <c r="F183" s="368"/>
      <c r="G183" s="368"/>
      <c r="H183" s="720"/>
      <c r="I183" s="146"/>
      <c r="K183" s="626"/>
    </row>
    <row r="184" spans="3:21">
      <c r="C184" s="715" t="s">
        <v>470</v>
      </c>
      <c r="D184" s="715"/>
      <c r="E184" s="716"/>
      <c r="F184" s="716"/>
      <c r="G184" s="716"/>
      <c r="H184" s="717"/>
      <c r="I184" s="717"/>
      <c r="J184" s="717">
        <v>416.73500000000001</v>
      </c>
      <c r="K184" s="900">
        <f>J191</f>
        <v>166.702</v>
      </c>
      <c r="L184" s="718">
        <f t="shared" ref="L184:U184" si="253">K191</f>
        <v>79.701999999999998</v>
      </c>
      <c r="M184" s="718">
        <f t="shared" si="253"/>
        <v>59.701999999999998</v>
      </c>
      <c r="N184" s="718">
        <f t="shared" si="253"/>
        <v>39.701999999999998</v>
      </c>
      <c r="O184" s="718">
        <f t="shared" si="253"/>
        <v>18.701999999999998</v>
      </c>
      <c r="P184" s="718">
        <f t="shared" si="253"/>
        <v>0</v>
      </c>
      <c r="Q184" s="718">
        <f t="shared" si="253"/>
        <v>0</v>
      </c>
      <c r="R184" s="718">
        <f t="shared" si="253"/>
        <v>0</v>
      </c>
      <c r="S184" s="718">
        <f t="shared" si="253"/>
        <v>0</v>
      </c>
      <c r="T184" s="718">
        <f t="shared" si="253"/>
        <v>0</v>
      </c>
      <c r="U184" s="718">
        <f t="shared" si="253"/>
        <v>0</v>
      </c>
    </row>
    <row r="185" spans="3:21">
      <c r="C185" s="352" t="s">
        <v>686</v>
      </c>
      <c r="D185" s="352"/>
      <c r="E185" s="368"/>
      <c r="F185" s="368"/>
      <c r="G185" s="368"/>
      <c r="J185" s="361">
        <v>0</v>
      </c>
      <c r="K185" s="665">
        <v>0</v>
      </c>
      <c r="L185" s="615">
        <v>0</v>
      </c>
      <c r="M185" s="615">
        <v>0</v>
      </c>
      <c r="N185" s="615">
        <v>0</v>
      </c>
      <c r="O185" s="615">
        <v>0</v>
      </c>
      <c r="P185" s="606"/>
      <c r="Q185" s="606"/>
      <c r="R185" s="606"/>
      <c r="S185" s="606"/>
      <c r="T185" s="606"/>
      <c r="U185" s="606"/>
    </row>
    <row r="186" spans="3:21" ht="13.5" thickBot="1">
      <c r="C186" s="352" t="s">
        <v>433</v>
      </c>
      <c r="D186" s="371" t="s">
        <v>714</v>
      </c>
      <c r="E186" s="368"/>
      <c r="F186" s="368"/>
      <c r="G186" s="368"/>
      <c r="J186" s="361">
        <f>J191-J184-J187</f>
        <v>-236.15519346316438</v>
      </c>
      <c r="K186" s="673">
        <v>-87</v>
      </c>
      <c r="L186" s="549">
        <v>-20</v>
      </c>
      <c r="M186" s="549">
        <v>-20</v>
      </c>
      <c r="N186" s="549">
        <v>-21</v>
      </c>
      <c r="O186" s="724">
        <f>-O184</f>
        <v>-18.701999999999998</v>
      </c>
      <c r="P186" s="554"/>
      <c r="Q186" s="554"/>
      <c r="R186" s="554"/>
      <c r="S186" s="554"/>
      <c r="T186" s="554"/>
      <c r="U186" s="554"/>
    </row>
    <row r="187" spans="3:21">
      <c r="C187" s="352" t="s">
        <v>713</v>
      </c>
      <c r="D187" s="712">
        <v>1.4</v>
      </c>
      <c r="E187" s="368"/>
      <c r="F187" s="368"/>
      <c r="G187" s="368"/>
      <c r="J187" s="361">
        <f>J188*((J184+J191)/2)</f>
        <v>-13.877806536835637</v>
      </c>
      <c r="K187" s="694">
        <f t="shared" ref="K187:U187" si="254">K188*((K184+K191)/2)</f>
        <v>24.268584367885481</v>
      </c>
      <c r="L187" s="361">
        <f t="shared" si="254"/>
        <v>2.0101604801179054</v>
      </c>
      <c r="M187" s="361">
        <f t="shared" si="254"/>
        <v>0.89208717948719163</v>
      </c>
      <c r="N187" s="361">
        <f t="shared" si="254"/>
        <v>1.035007594936687</v>
      </c>
      <c r="O187" s="361">
        <f t="shared" si="254"/>
        <v>0.31889832187500528</v>
      </c>
      <c r="P187" s="361">
        <f t="shared" si="254"/>
        <v>0</v>
      </c>
      <c r="Q187" s="361">
        <f t="shared" si="254"/>
        <v>0</v>
      </c>
      <c r="R187" s="361">
        <f t="shared" si="254"/>
        <v>0</v>
      </c>
      <c r="S187" s="361">
        <f t="shared" si="254"/>
        <v>0</v>
      </c>
      <c r="T187" s="361">
        <f t="shared" si="254"/>
        <v>0</v>
      </c>
      <c r="U187" s="361">
        <f t="shared" si="254"/>
        <v>0</v>
      </c>
    </row>
    <row r="188" spans="3:21">
      <c r="C188" s="721" t="s">
        <v>715</v>
      </c>
      <c r="D188" s="722"/>
      <c r="E188" s="377"/>
      <c r="F188" s="377"/>
      <c r="G188" s="377"/>
      <c r="J188" s="551">
        <f>H182</f>
        <v>-4.7572596653402632E-2</v>
      </c>
      <c r="K188" s="685">
        <f>$D$187*(K216/J216-1)</f>
        <v>0.19698206496554829</v>
      </c>
      <c r="L188" s="598">
        <f t="shared" ref="L188:U188" si="255">$D$187*(L216/K216-1)</f>
        <v>2.8839351526755406E-2</v>
      </c>
      <c r="M188" s="598">
        <f t="shared" si="255"/>
        <v>1.7948717948718194E-2</v>
      </c>
      <c r="N188" s="598">
        <f t="shared" si="255"/>
        <v>3.5443037974682796E-2</v>
      </c>
      <c r="O188" s="598">
        <f t="shared" si="255"/>
        <v>3.4103125000000567E-2</v>
      </c>
      <c r="P188" s="598">
        <f t="shared" si="255"/>
        <v>3.1456790123456764E-2</v>
      </c>
      <c r="Q188" s="598">
        <f t="shared" si="255"/>
        <v>2.7999999999999713E-2</v>
      </c>
      <c r="R188" s="598">
        <f t="shared" si="255"/>
        <v>2.8000000000000021E-2</v>
      </c>
      <c r="S188" s="598">
        <f t="shared" si="255"/>
        <v>2.7999999999999713E-2</v>
      </c>
      <c r="T188" s="598">
        <f t="shared" si="255"/>
        <v>2.8000000000000021E-2</v>
      </c>
      <c r="U188" s="598">
        <f t="shared" si="255"/>
        <v>2.8000000000000021E-2</v>
      </c>
    </row>
    <row r="189" spans="3:21">
      <c r="C189" s="352" t="s">
        <v>687</v>
      </c>
      <c r="D189" s="361"/>
      <c r="J189" s="361">
        <f>-J190*((J184+J191)/2)</f>
        <v>-10.027394434456076</v>
      </c>
      <c r="K189" s="665">
        <f>-K190*((K184+K191)/2)</f>
        <v>-4.4352719999999994</v>
      </c>
      <c r="L189" s="615">
        <f t="shared" ref="L189" si="256">-L190*((L184+L191)/2)</f>
        <v>-2.5092719999999997</v>
      </c>
      <c r="M189" s="615">
        <f t="shared" ref="M189" si="257">-M190*((M184+M191)/2)</f>
        <v>-1.7892719999999998</v>
      </c>
      <c r="N189" s="615">
        <f t="shared" ref="N189" si="258">-N190*((N184+N191)/2)</f>
        <v>-1.0512719999999998</v>
      </c>
      <c r="O189" s="615">
        <f t="shared" ref="O189" si="259">-O190*((O184+O191)/2)</f>
        <v>-0.33663599999999994</v>
      </c>
      <c r="P189" s="615">
        <f t="shared" ref="P189" si="260">-P190*((P184+P191)/2)</f>
        <v>0</v>
      </c>
      <c r="Q189" s="615">
        <f t="shared" ref="Q189" si="261">-Q190*((Q184+Q191)/2)</f>
        <v>0</v>
      </c>
      <c r="R189" s="615">
        <f t="shared" ref="R189" si="262">-R190*((R184+R191)/2)</f>
        <v>0</v>
      </c>
      <c r="S189" s="615">
        <f t="shared" ref="S189" si="263">-S190*((S184+S191)/2)</f>
        <v>0</v>
      </c>
      <c r="T189" s="615">
        <f t="shared" ref="T189" si="264">-T190*((T184+T191)/2)</f>
        <v>0</v>
      </c>
      <c r="U189" s="615">
        <f t="shared" ref="U189" si="265">-U190*((U184+U191)/2)</f>
        <v>0</v>
      </c>
    </row>
    <row r="190" spans="3:21">
      <c r="C190" s="356" t="s">
        <v>689</v>
      </c>
      <c r="D190" s="355"/>
      <c r="E190" s="355"/>
      <c r="F190" s="355"/>
      <c r="G190" s="355"/>
      <c r="H190" s="355"/>
      <c r="I190" s="355"/>
      <c r="J190" s="713">
        <f>I182</f>
        <v>3.4373529393768566E-2</v>
      </c>
      <c r="K190" s="901">
        <v>3.5999999999999997E-2</v>
      </c>
      <c r="L190" s="714">
        <f>K190</f>
        <v>3.5999999999999997E-2</v>
      </c>
      <c r="M190" s="714">
        <f t="shared" ref="M190:U190" si="266">L190</f>
        <v>3.5999999999999997E-2</v>
      </c>
      <c r="N190" s="714">
        <f t="shared" si="266"/>
        <v>3.5999999999999997E-2</v>
      </c>
      <c r="O190" s="714">
        <f t="shared" si="266"/>
        <v>3.5999999999999997E-2</v>
      </c>
      <c r="P190" s="714">
        <f t="shared" si="266"/>
        <v>3.5999999999999997E-2</v>
      </c>
      <c r="Q190" s="714">
        <f t="shared" si="266"/>
        <v>3.5999999999999997E-2</v>
      </c>
      <c r="R190" s="714">
        <f t="shared" si="266"/>
        <v>3.5999999999999997E-2</v>
      </c>
      <c r="S190" s="714">
        <f t="shared" si="266"/>
        <v>3.5999999999999997E-2</v>
      </c>
      <c r="T190" s="714">
        <f t="shared" si="266"/>
        <v>3.5999999999999997E-2</v>
      </c>
      <c r="U190" s="714">
        <f t="shared" si="266"/>
        <v>3.5999999999999997E-2</v>
      </c>
    </row>
    <row r="191" spans="3:21">
      <c r="C191" s="371" t="s">
        <v>688</v>
      </c>
      <c r="D191" s="352"/>
      <c r="E191" s="368"/>
      <c r="F191" s="368"/>
      <c r="G191" s="368"/>
      <c r="J191" s="592">
        <f>J182</f>
        <v>166.702</v>
      </c>
      <c r="K191" s="902">
        <f>K184+K186</f>
        <v>79.701999999999998</v>
      </c>
      <c r="L191" s="711">
        <f t="shared" ref="L191:U191" si="267">L184+L186</f>
        <v>59.701999999999998</v>
      </c>
      <c r="M191" s="711">
        <f t="shared" si="267"/>
        <v>39.701999999999998</v>
      </c>
      <c r="N191" s="711">
        <f t="shared" si="267"/>
        <v>18.701999999999998</v>
      </c>
      <c r="O191" s="711">
        <f t="shared" si="267"/>
        <v>0</v>
      </c>
      <c r="P191" s="711">
        <f t="shared" si="267"/>
        <v>0</v>
      </c>
      <c r="Q191" s="711">
        <f t="shared" si="267"/>
        <v>0</v>
      </c>
      <c r="R191" s="711">
        <f t="shared" si="267"/>
        <v>0</v>
      </c>
      <c r="S191" s="711">
        <f t="shared" si="267"/>
        <v>0</v>
      </c>
      <c r="T191" s="711">
        <f t="shared" si="267"/>
        <v>0</v>
      </c>
      <c r="U191" s="711">
        <f t="shared" si="267"/>
        <v>0</v>
      </c>
    </row>
    <row r="192" spans="3:21">
      <c r="C192" s="352"/>
      <c r="D192" s="352"/>
      <c r="E192" s="368"/>
      <c r="F192" s="368"/>
      <c r="G192" s="368"/>
      <c r="K192" s="636"/>
      <c r="L192" s="602"/>
      <c r="M192" s="486"/>
      <c r="N192" s="486"/>
      <c r="O192" s="486"/>
      <c r="P192" s="486"/>
      <c r="Q192" s="486"/>
    </row>
    <row r="193" spans="2:21">
      <c r="C193" s="352"/>
      <c r="D193" s="352"/>
      <c r="E193" s="368"/>
      <c r="F193" s="368"/>
      <c r="G193" s="368"/>
      <c r="K193" s="626"/>
    </row>
    <row r="194" spans="2:21">
      <c r="C194" s="397" t="s">
        <v>323</v>
      </c>
      <c r="D194" s="350"/>
      <c r="E194" s="398"/>
      <c r="F194" s="398"/>
      <c r="G194" s="398"/>
      <c r="H194" s="398"/>
      <c r="I194" s="398"/>
      <c r="J194" s="398">
        <v>2011</v>
      </c>
      <c r="K194" s="644">
        <v>2012</v>
      </c>
      <c r="L194" s="398">
        <v>2013</v>
      </c>
      <c r="M194" s="398">
        <v>2014</v>
      </c>
      <c r="N194" s="398">
        <v>2015</v>
      </c>
      <c r="O194" s="398">
        <v>2016</v>
      </c>
      <c r="P194" s="398">
        <v>2017</v>
      </c>
      <c r="Q194" s="398">
        <v>2018</v>
      </c>
      <c r="R194" s="398">
        <v>2019</v>
      </c>
      <c r="S194" s="398">
        <v>2020</v>
      </c>
      <c r="T194" s="398">
        <v>2021</v>
      </c>
      <c r="U194" s="398">
        <v>2022</v>
      </c>
    </row>
    <row r="195" spans="2:21">
      <c r="C195" s="352"/>
      <c r="D195" s="352"/>
      <c r="E195" s="368"/>
      <c r="F195" s="368"/>
      <c r="G195" s="368"/>
      <c r="K195" s="626"/>
    </row>
    <row r="196" spans="2:21">
      <c r="C196" s="352" t="s">
        <v>717</v>
      </c>
      <c r="D196" s="352"/>
      <c r="E196" s="368"/>
      <c r="F196" s="368"/>
      <c r="G196" s="368"/>
      <c r="J196" s="361">
        <f>I62+I64</f>
        <v>655.01900000000001</v>
      </c>
      <c r="K196" s="665">
        <f t="shared" ref="K196:R196" si="268">J62+J64</f>
        <v>1261.2730000000001</v>
      </c>
      <c r="L196" s="615">
        <f t="shared" si="268"/>
        <v>1195.1462748312736</v>
      </c>
      <c r="M196" s="615">
        <f t="shared" si="268"/>
        <v>1059.6692111393409</v>
      </c>
      <c r="N196" s="615">
        <f t="shared" si="268"/>
        <v>896.42170009782694</v>
      </c>
      <c r="O196" s="615">
        <f t="shared" si="268"/>
        <v>710.27169450248414</v>
      </c>
      <c r="P196" s="615">
        <f t="shared" si="268"/>
        <v>614.10519559428553</v>
      </c>
      <c r="Q196" s="615">
        <f t="shared" si="268"/>
        <v>663.09234276918914</v>
      </c>
      <c r="R196" s="615">
        <f t="shared" si="268"/>
        <v>771.05931840227868</v>
      </c>
      <c r="S196" s="615">
        <f t="shared" ref="S196:U196" si="269">R62+R64</f>
        <v>939.15782432136064</v>
      </c>
      <c r="T196" s="615">
        <f t="shared" si="269"/>
        <v>1124.9061709575753</v>
      </c>
      <c r="U196" s="615">
        <f t="shared" si="269"/>
        <v>1329.8660979282763</v>
      </c>
    </row>
    <row r="197" spans="2:21">
      <c r="C197" s="352" t="s">
        <v>623</v>
      </c>
      <c r="D197" s="352"/>
      <c r="E197" s="368"/>
      <c r="F197" s="368"/>
      <c r="G197" s="368"/>
      <c r="J197" s="361">
        <f>(J196+J198)/2</f>
        <v>958.14600000000007</v>
      </c>
      <c r="K197" s="665">
        <f t="shared" ref="K197:R197" si="270">(K196+K198)/2</f>
        <v>1228.2096374156367</v>
      </c>
      <c r="L197" s="615">
        <f t="shared" si="270"/>
        <v>1127.4077429853073</v>
      </c>
      <c r="M197" s="615">
        <f t="shared" si="270"/>
        <v>978.0454556185839</v>
      </c>
      <c r="N197" s="615">
        <f t="shared" si="270"/>
        <v>803.34669730015548</v>
      </c>
      <c r="O197" s="615">
        <f t="shared" si="270"/>
        <v>662.18844504838489</v>
      </c>
      <c r="P197" s="615">
        <f t="shared" si="270"/>
        <v>638.59876918173734</v>
      </c>
      <c r="Q197" s="615">
        <f t="shared" si="270"/>
        <v>717.07583058573391</v>
      </c>
      <c r="R197" s="615">
        <f t="shared" si="270"/>
        <v>855.10857136181971</v>
      </c>
      <c r="S197" s="615">
        <f t="shared" ref="S197" si="271">(S196+S198)/2</f>
        <v>1032.031997639468</v>
      </c>
      <c r="T197" s="615">
        <f t="shared" ref="T197" si="272">(T196+T198)/2</f>
        <v>1227.3861344429258</v>
      </c>
      <c r="U197" s="615">
        <f t="shared" ref="U197" si="273">(U196+U198)/2</f>
        <v>1441.6589556458496</v>
      </c>
    </row>
    <row r="198" spans="2:21">
      <c r="C198" s="352" t="s">
        <v>688</v>
      </c>
      <c r="D198" s="352"/>
      <c r="E198" s="368"/>
      <c r="F198" s="368"/>
      <c r="G198" s="368"/>
      <c r="J198" s="361">
        <f>J62+J64</f>
        <v>1261.2730000000001</v>
      </c>
      <c r="K198" s="665">
        <f t="shared" ref="K198:R198" si="274">K62+K64</f>
        <v>1195.1462748312736</v>
      </c>
      <c r="L198" s="615">
        <f t="shared" si="274"/>
        <v>1059.6692111393409</v>
      </c>
      <c r="M198" s="615">
        <f t="shared" si="274"/>
        <v>896.42170009782694</v>
      </c>
      <c r="N198" s="615">
        <f t="shared" si="274"/>
        <v>710.27169450248414</v>
      </c>
      <c r="O198" s="615">
        <f t="shared" si="274"/>
        <v>614.10519559428553</v>
      </c>
      <c r="P198" s="615">
        <f t="shared" si="274"/>
        <v>663.09234276918914</v>
      </c>
      <c r="Q198" s="615">
        <f t="shared" si="274"/>
        <v>771.05931840227868</v>
      </c>
      <c r="R198" s="615">
        <f t="shared" si="274"/>
        <v>939.15782432136064</v>
      </c>
      <c r="S198" s="615">
        <f t="shared" ref="S198:U198" si="275">S62+S64</f>
        <v>1124.9061709575753</v>
      </c>
      <c r="T198" s="615">
        <f t="shared" si="275"/>
        <v>1329.8660979282763</v>
      </c>
      <c r="U198" s="615">
        <f t="shared" si="275"/>
        <v>1553.4518133634228</v>
      </c>
    </row>
    <row r="199" spans="2:21">
      <c r="C199" s="352" t="s">
        <v>718</v>
      </c>
      <c r="D199" s="352"/>
      <c r="E199" s="368"/>
      <c r="F199" s="368"/>
      <c r="G199" s="368"/>
      <c r="J199" s="361">
        <f>J30</f>
        <v>53.319000000000003</v>
      </c>
      <c r="K199" s="665">
        <f>K200*K196</f>
        <v>106.02010270756246</v>
      </c>
      <c r="L199" s="615">
        <f t="shared" ref="L199" si="276">L200*L196</f>
        <v>96.892114773835488</v>
      </c>
      <c r="M199" s="615">
        <f t="shared" ref="M199" si="277">M200*M196</f>
        <v>97.806867363530372</v>
      </c>
      <c r="N199" s="615">
        <f t="shared" ref="N199" si="278">N200*N196</f>
        <v>81.70396428763398</v>
      </c>
      <c r="O199" s="615">
        <f t="shared" ref="O199" si="279">O200*O196</f>
        <v>65.935941944054605</v>
      </c>
      <c r="P199" s="615">
        <f t="shared" ref="P199" si="280">P200*P196</f>
        <v>57.008613517408712</v>
      </c>
      <c r="Q199" s="615">
        <f t="shared" ref="Q199" si="281">Q200*Q196</f>
        <v>60.028423606209152</v>
      </c>
      <c r="R199" s="615">
        <f t="shared" ref="R199" si="282">R200*R196</f>
        <v>69.728436281754867</v>
      </c>
      <c r="S199" s="615">
        <f t="shared" ref="S199" si="283">S200*S196</f>
        <v>84.92992036902929</v>
      </c>
      <c r="T199" s="615">
        <f t="shared" ref="T199" si="284">T200*T196</f>
        <v>101.72751485203545</v>
      </c>
      <c r="U199" s="615">
        <f t="shared" ref="U199" si="285">U200*U196</f>
        <v>117.19843947822311</v>
      </c>
    </row>
    <row r="200" spans="2:21">
      <c r="C200" s="352" t="s">
        <v>625</v>
      </c>
      <c r="D200" s="352"/>
      <c r="E200" s="368"/>
      <c r="F200" s="368"/>
      <c r="G200" s="368"/>
      <c r="J200" s="551">
        <f>J199/J197</f>
        <v>5.5648095384210755E-2</v>
      </c>
      <c r="K200" s="687">
        <f>K201*K211</f>
        <v>8.40580133782E-2</v>
      </c>
      <c r="L200" s="597">
        <f t="shared" ref="L200:U200" si="286">L201*L211</f>
        <v>8.1071343997214371E-2</v>
      </c>
      <c r="M200" s="597">
        <f t="shared" si="286"/>
        <v>9.2299433007372048E-2</v>
      </c>
      <c r="N200" s="597">
        <f t="shared" si="286"/>
        <v>9.114456318797011E-2</v>
      </c>
      <c r="O200" s="597">
        <f t="shared" si="286"/>
        <v>9.2831999999999998E-2</v>
      </c>
      <c r="P200" s="597">
        <f t="shared" si="286"/>
        <v>9.2831999999999998E-2</v>
      </c>
      <c r="Q200" s="597">
        <f t="shared" si="286"/>
        <v>9.0527999999999997E-2</v>
      </c>
      <c r="R200" s="597">
        <f t="shared" si="286"/>
        <v>9.0431999999999998E-2</v>
      </c>
      <c r="S200" s="597">
        <f t="shared" si="286"/>
        <v>9.0431999999999998E-2</v>
      </c>
      <c r="T200" s="597">
        <f t="shared" si="286"/>
        <v>9.0431999999999998E-2</v>
      </c>
      <c r="U200" s="597">
        <f t="shared" si="286"/>
        <v>8.8127999999999984E-2</v>
      </c>
    </row>
    <row r="201" spans="2:21">
      <c r="C201" s="352" t="s">
        <v>466</v>
      </c>
      <c r="D201" s="352"/>
      <c r="E201" s="368"/>
      <c r="F201" s="368"/>
      <c r="G201" s="368"/>
      <c r="J201" s="551">
        <f>J200/J211</f>
        <v>0.480201539188573</v>
      </c>
      <c r="K201" s="685">
        <v>0.96</v>
      </c>
      <c r="L201" s="598">
        <f>K201</f>
        <v>0.96</v>
      </c>
      <c r="M201" s="598">
        <f t="shared" ref="M201:U201" si="287">L201</f>
        <v>0.96</v>
      </c>
      <c r="N201" s="598">
        <f t="shared" si="287"/>
        <v>0.96</v>
      </c>
      <c r="O201" s="598">
        <f t="shared" si="287"/>
        <v>0.96</v>
      </c>
      <c r="P201" s="598">
        <f t="shared" si="287"/>
        <v>0.96</v>
      </c>
      <c r="Q201" s="598">
        <f t="shared" si="287"/>
        <v>0.96</v>
      </c>
      <c r="R201" s="598">
        <f t="shared" si="287"/>
        <v>0.96</v>
      </c>
      <c r="S201" s="598">
        <f t="shared" si="287"/>
        <v>0.96</v>
      </c>
      <c r="T201" s="598">
        <f t="shared" si="287"/>
        <v>0.96</v>
      </c>
      <c r="U201" s="598">
        <f t="shared" si="287"/>
        <v>0.96</v>
      </c>
    </row>
    <row r="202" spans="2:21">
      <c r="C202" s="352"/>
      <c r="D202" s="352"/>
      <c r="E202" s="368"/>
      <c r="F202" s="368"/>
      <c r="G202" s="368"/>
      <c r="K202" s="626"/>
    </row>
    <row r="203" spans="2:21">
      <c r="C203" s="352"/>
      <c r="D203" s="352"/>
      <c r="E203" s="368"/>
      <c r="F203" s="368"/>
      <c r="G203" s="368"/>
      <c r="K203" s="626"/>
    </row>
    <row r="204" spans="2:21">
      <c r="B204" s="371" t="s">
        <v>592</v>
      </c>
      <c r="C204" s="352"/>
      <c r="D204" s="352"/>
      <c r="E204" s="368"/>
      <c r="F204" s="368"/>
      <c r="G204" s="368"/>
      <c r="H204" s="368"/>
      <c r="I204" s="368"/>
      <c r="J204" s="368"/>
      <c r="K204" s="626"/>
    </row>
    <row r="205" spans="2:21">
      <c r="C205" s="352"/>
      <c r="D205" s="352"/>
      <c r="E205" s="352"/>
      <c r="F205" s="352"/>
      <c r="G205" s="352"/>
      <c r="H205" s="352"/>
      <c r="I205" s="352"/>
      <c r="J205" s="352"/>
      <c r="K205" s="626"/>
    </row>
    <row r="206" spans="2:21">
      <c r="C206" s="420" t="s">
        <v>362</v>
      </c>
      <c r="D206" s="420">
        <v>2005</v>
      </c>
      <c r="E206" s="420">
        <v>2006</v>
      </c>
      <c r="F206" s="420">
        <v>2007</v>
      </c>
      <c r="G206" s="420">
        <v>2008</v>
      </c>
      <c r="H206" s="420">
        <v>2009</v>
      </c>
      <c r="I206" s="420">
        <v>2010</v>
      </c>
      <c r="J206" s="420">
        <v>2011</v>
      </c>
      <c r="K206" s="702">
        <v>2012</v>
      </c>
      <c r="L206" s="619">
        <v>2013</v>
      </c>
      <c r="M206" s="619">
        <v>2014</v>
      </c>
      <c r="N206" s="619">
        <v>2015</v>
      </c>
      <c r="O206" s="619">
        <v>2016</v>
      </c>
      <c r="P206" s="619">
        <v>2017</v>
      </c>
      <c r="Q206" s="619">
        <v>2018</v>
      </c>
      <c r="R206" s="619">
        <v>2019</v>
      </c>
      <c r="S206" s="619">
        <v>2020</v>
      </c>
      <c r="T206" s="619">
        <v>2021</v>
      </c>
      <c r="U206" s="619">
        <v>2022</v>
      </c>
    </row>
    <row r="207" spans="2:21">
      <c r="C207" s="352" t="s">
        <v>366</v>
      </c>
      <c r="D207" s="369">
        <f>HLOOKUP(D$206,Macroeconomics!$B$5:$GB$36,Macroeconomics!$A$15,0)</f>
        <v>3.1563523881234803E-2</v>
      </c>
      <c r="E207" s="369">
        <f>HLOOKUP(E$206,Macroeconomics!$B$5:$GB$36,Macroeconomics!$A$15,0)</f>
        <v>3.95541526928389E-2</v>
      </c>
      <c r="F207" s="369">
        <f>HLOOKUP(F$206,Macroeconomics!$B$5:$GB$36,Macroeconomics!$A$15,0)</f>
        <v>6.0954549767530321E-2</v>
      </c>
      <c r="G207" s="369">
        <f>HLOOKUP(G$206,Macroeconomics!$B$5:$GB$36,Macroeconomics!$A$15,0)</f>
        <v>5.1692990144346994E-2</v>
      </c>
      <c r="H207" s="369">
        <f>HLOOKUP(H$206,Macroeconomics!$B$5:$GB$36,Macroeconomics!$A$15,0)</f>
        <v>-3.2824803986596864E-3</v>
      </c>
      <c r="I207" s="369">
        <f>HLOOKUP(I$206,Macroeconomics!$B$5:$GB$36,Macroeconomics!$A$15,0)</f>
        <v>7.5336154528701224E-2</v>
      </c>
      <c r="J207" s="369">
        <f>HLOOKUP(J$206,Macroeconomics!$B$5:$GB$36,Macroeconomics!$A$15,0)</f>
        <v>2.7327619929994773E-2</v>
      </c>
      <c r="K207" s="634">
        <f>HLOOKUP(K$206,Macroeconomics!$B$5:$GB$36,Macroeconomics!$A$15,0)-0.2%</f>
        <v>3.2524121051363375E-2</v>
      </c>
      <c r="L207" s="370">
        <f>HLOOKUP(L$206,Macroeconomics!$B$5:$GB$36,Macroeconomics!$A$15,0)</f>
        <v>5.0152016667324162E-2</v>
      </c>
      <c r="M207" s="370">
        <f>HLOOKUP(M$206,Macroeconomics!$B$5:$GB$36,Macroeconomics!$A$15,0)</f>
        <v>4.4000000000000004E-2</v>
      </c>
      <c r="N207" s="370">
        <f>HLOOKUP(N$206,Macroeconomics!$B$5:$GB$36,Macroeconomics!$A$15,0)</f>
        <v>4.7E-2</v>
      </c>
      <c r="O207" s="370">
        <f>HLOOKUP(O$206,Macroeconomics!$B$5:$GB$36,Macroeconomics!$A$15,0)</f>
        <v>0.05</v>
      </c>
      <c r="P207" s="370">
        <f>HLOOKUP(P$206,Macroeconomics!$B$5:$GB$36,Macroeconomics!$A$15,0)</f>
        <v>4.7E-2</v>
      </c>
      <c r="Q207" s="370">
        <f>HLOOKUP(Q$206,Macroeconomics!$B$5:$GB$36,Macroeconomics!$A$15,0)</f>
        <v>4.8000000000000001E-2</v>
      </c>
      <c r="R207" s="370">
        <f>HLOOKUP(R$206,Macroeconomics!$B$5:$GB$36,Macroeconomics!$A$15,0)</f>
        <v>4.9000000000000002E-2</v>
      </c>
      <c r="S207" s="370">
        <f>HLOOKUP(S$206,Macroeconomics!$B$5:$GB$36,Macroeconomics!$A$15,0)</f>
        <v>0.05</v>
      </c>
      <c r="T207" s="370">
        <f>HLOOKUP(T$206,Macroeconomics!$B$5:$GB$36,Macroeconomics!$A$15,0)</f>
        <v>5.0478829138844356E-2</v>
      </c>
      <c r="U207" s="370">
        <f>HLOOKUP(U$206,Macroeconomics!$B$5:$GB$36,Macroeconomics!$A$15,0)</f>
        <v>5.0962243824572831E-2</v>
      </c>
    </row>
    <row r="208" spans="2:21">
      <c r="C208" s="352" t="s">
        <v>330</v>
      </c>
      <c r="D208" s="369">
        <f>HLOOKUP(D$206,Macroeconomics!$B$5:$GB$36,Macroeconomics!$A$12,0)</f>
        <v>5.6900000000000006E-2</v>
      </c>
      <c r="E208" s="369">
        <f>HLOOKUP(E$206,Macroeconomics!$B$5:$GB$36,Macroeconomics!$A$12,0)</f>
        <v>3.1400000000000004E-2</v>
      </c>
      <c r="F208" s="369">
        <f>HLOOKUP(F$206,Macroeconomics!$B$5:$GB$36,Macroeconomics!$A$12,0)</f>
        <v>4.4600000000000001E-2</v>
      </c>
      <c r="G208" s="369">
        <f>HLOOKUP(G$206,Macroeconomics!$B$5:$GB$36,Macroeconomics!$A$12,0)</f>
        <v>5.9023134175254732E-2</v>
      </c>
      <c r="H208" s="369">
        <f>HLOOKUP(H$206,Macroeconomics!$B$5:$GB$36,Macroeconomics!$A$12,0)</f>
        <v>4.3120283296899764E-2</v>
      </c>
      <c r="I208" s="369">
        <f>HLOOKUP(I$206,Macroeconomics!$B$5:$GB$36,Macroeconomics!$A$12,0)</f>
        <v>5.786447235499996E-2</v>
      </c>
      <c r="J208" s="369">
        <f>HLOOKUP(J$206,Macroeconomics!$B$5:$GB$36,Macroeconomics!$A$12,0)</f>
        <v>6.5031090406288516E-2</v>
      </c>
      <c r="K208" s="634">
        <f>HLOOKUP(K$206,Macroeconomics!$B$5:$GB$36,Macroeconomics!$A$12,0)</f>
        <v>5.0401465469837703E-2</v>
      </c>
      <c r="L208" s="370">
        <f>HLOOKUP(L$206,Macroeconomics!$B$5:$GB$36,Macroeconomics!$A$12,0)</f>
        <v>6.0760818648356141E-2</v>
      </c>
      <c r="M208" s="370">
        <f>HLOOKUP(M$206,Macroeconomics!$B$5:$GB$36,Macroeconomics!$A$12,0)</f>
        <v>4.4999999999999998E-2</v>
      </c>
      <c r="N208" s="370">
        <f>HLOOKUP(N$206,Macroeconomics!$B$5:$GB$36,Macroeconomics!$A$12,0)</f>
        <v>4.4999999999999998E-2</v>
      </c>
      <c r="O208" s="370">
        <f>HLOOKUP(O$206,Macroeconomics!$B$5:$GB$36,Macroeconomics!$A$12,0)</f>
        <v>4.4999999999999998E-2</v>
      </c>
      <c r="P208" s="370">
        <f>HLOOKUP(P$206,Macroeconomics!$B$5:$GB$36,Macroeconomics!$A$12,0)</f>
        <v>0.04</v>
      </c>
      <c r="Q208" s="370">
        <f>HLOOKUP(Q$206,Macroeconomics!$B$5:$GB$36,Macroeconomics!$A$12,0)</f>
        <v>0.04</v>
      </c>
      <c r="R208" s="370">
        <f>HLOOKUP(R$206,Macroeconomics!$B$5:$GB$36,Macroeconomics!$A$12,0)</f>
        <v>0.04</v>
      </c>
      <c r="S208" s="370">
        <f>HLOOKUP(S$206,Macroeconomics!$B$5:$GB$36,Macroeconomics!$A$12,0)</f>
        <v>0.04</v>
      </c>
      <c r="T208" s="370">
        <f>HLOOKUP(T$206,Macroeconomics!$B$5:$GB$36,Macroeconomics!$A$12,0)</f>
        <v>0.04</v>
      </c>
      <c r="U208" s="370">
        <f>HLOOKUP(U$206,Macroeconomics!$B$5:$GB$36,Macroeconomics!$A$12,0)</f>
        <v>0.04</v>
      </c>
    </row>
    <row r="209" spans="3:21">
      <c r="C209" s="352" t="s">
        <v>313</v>
      </c>
      <c r="D209" s="369">
        <f>HLOOKUP(D$206,Macroeconomics!$B$5:$GB$36,Macroeconomics!$A$11,0)</f>
        <v>1.21E-2</v>
      </c>
      <c r="E209" s="369">
        <f>HLOOKUP(E$206,Macroeconomics!$B$5:$GB$36,Macroeconomics!$A$11,0)</f>
        <v>3.85E-2</v>
      </c>
      <c r="F209" s="369">
        <f>HLOOKUP(F$206,Macroeconomics!$B$5:$GB$36,Macroeconomics!$A$11,0)</f>
        <v>7.7509820817942554E-2</v>
      </c>
      <c r="G209" s="369">
        <f>HLOOKUP(G$206,Macroeconomics!$B$5:$GB$36,Macroeconomics!$A$11,0)</f>
        <v>9.8054312797284382E-2</v>
      </c>
      <c r="H209" s="369">
        <f>HLOOKUP(H$206,Macroeconomics!$B$5:$GB$36,Macroeconomics!$A$11,0)</f>
        <v>-1.7122753570905869E-2</v>
      </c>
      <c r="I209" s="369">
        <f>HLOOKUP(I$206,Macroeconomics!$B$5:$GB$36,Macroeconomics!$A$11,0)</f>
        <v>0.10873468332999976</v>
      </c>
      <c r="J209" s="369">
        <f>HLOOKUP(J$206,Macroeconomics!$B$5:$GB$36,Macroeconomics!$A$11,0)</f>
        <v>5.0977446141180272E-2</v>
      </c>
      <c r="K209" s="634">
        <f>HLOOKUP(K$206,Macroeconomics!$B$5:$GB$36,Macroeconomics!$A$11,0)</f>
        <v>4.7660684616188664E-2</v>
      </c>
      <c r="L209" s="370">
        <f>HLOOKUP(L$206,Macroeconomics!$B$5:$GB$36,Macroeconomics!$A$11,0)</f>
        <v>4.4999999999999998E-2</v>
      </c>
      <c r="M209" s="370">
        <f>HLOOKUP(M$206,Macroeconomics!$B$5:$GB$36,Macroeconomics!$A$11,0)</f>
        <v>4.4999999999999998E-2</v>
      </c>
      <c r="N209" s="370">
        <f>HLOOKUP(N$206,Macroeconomics!$B$5:$GB$36,Macroeconomics!$A$11,0)</f>
        <v>4.4999999999999998E-2</v>
      </c>
      <c r="O209" s="370">
        <f>HLOOKUP(O$206,Macroeconomics!$B$5:$GB$36,Macroeconomics!$A$11,0)</f>
        <v>4.4999999999999998E-2</v>
      </c>
      <c r="P209" s="370">
        <f>HLOOKUP(P$206,Macroeconomics!$B$5:$GB$36,Macroeconomics!$A$11,0)</f>
        <v>0.04</v>
      </c>
      <c r="Q209" s="370">
        <f>HLOOKUP(Q$206,Macroeconomics!$B$5:$GB$36,Macroeconomics!$A$11,0)</f>
        <v>0.04</v>
      </c>
      <c r="R209" s="370">
        <f>HLOOKUP(R$206,Macroeconomics!$B$5:$GB$36,Macroeconomics!$A$11,0)</f>
        <v>0.04</v>
      </c>
      <c r="S209" s="370">
        <f>HLOOKUP(S$206,Macroeconomics!$B$5:$GB$36,Macroeconomics!$A$11,0)</f>
        <v>0.04</v>
      </c>
      <c r="T209" s="370">
        <f>HLOOKUP(T$206,Macroeconomics!$B$5:$GB$36,Macroeconomics!$A$11,0)</f>
        <v>0.04</v>
      </c>
      <c r="U209" s="370">
        <f>HLOOKUP(U$206,Macroeconomics!$B$5:$GB$36,Macroeconomics!$A$11,0)</f>
        <v>0.04</v>
      </c>
    </row>
    <row r="210" spans="3:21">
      <c r="C210" s="352" t="s">
        <v>314</v>
      </c>
      <c r="D210" s="369">
        <f>HLOOKUP(D$206,Macroeconomics!$B$5:$GB$36,Macroeconomics!$A$31,0)</f>
        <v>9.7500000000000003E-2</v>
      </c>
      <c r="E210" s="369">
        <f>HLOOKUP(E$206,Macroeconomics!$B$5:$GB$36,Macroeconomics!$A$31,0)</f>
        <v>7.8750000000000001E-2</v>
      </c>
      <c r="F210" s="369">
        <f>HLOOKUP(F$206,Macroeconomics!$B$5:$GB$36,Macroeconomics!$A$31,0)</f>
        <v>6.3700000000000007E-2</v>
      </c>
      <c r="G210" s="369">
        <f>HLOOKUP(G$206,Macroeconomics!$B$5:$GB$36,Macroeconomics!$A$31,0)</f>
        <v>6.25E-2</v>
      </c>
      <c r="H210" s="369">
        <f>HLOOKUP(H$206,Macroeconomics!$B$5:$GB$36,Macroeconomics!$A$31,0)</f>
        <v>6.1249999999999999E-2</v>
      </c>
      <c r="I210" s="369">
        <f>HLOOKUP(I$206,Macroeconomics!$B$5:$GB$36,Macroeconomics!$A$31,0)</f>
        <v>6.1249999999999999E-2</v>
      </c>
      <c r="J210" s="369">
        <f>HLOOKUP(J$206,Macroeconomics!$B$5:$GB$36,Macroeconomics!$A$31,0)</f>
        <v>0.06</v>
      </c>
      <c r="K210" s="634">
        <f>HLOOKUP(K$206,Macroeconomics!$B$5:$GB$36,Macroeconomics!$A$31,0)</f>
        <v>0.06</v>
      </c>
      <c r="L210" s="370">
        <f>HLOOKUP(L$206,Macroeconomics!$B$5:$GB$36,Macroeconomics!$A$31,0)</f>
        <v>5.5E-2</v>
      </c>
      <c r="M210" s="370">
        <f>HLOOKUP(M$206,Macroeconomics!$B$5:$GB$36,Macroeconomics!$A$31,0)</f>
        <v>0.05</v>
      </c>
      <c r="N210" s="370">
        <f>HLOOKUP(N$206,Macroeconomics!$B$5:$GB$36,Macroeconomics!$A$31,0)</f>
        <v>0.05</v>
      </c>
      <c r="O210" s="370">
        <f>HLOOKUP(O$206,Macroeconomics!$B$5:$GB$36,Macroeconomics!$A$31,0)</f>
        <v>0.05</v>
      </c>
      <c r="P210" s="370">
        <f>HLOOKUP(P$206,Macroeconomics!$B$5:$GB$36,Macroeconomics!$A$31,0)</f>
        <v>0.05</v>
      </c>
      <c r="Q210" s="370">
        <f>HLOOKUP(Q$206,Macroeconomics!$B$5:$GB$36,Macroeconomics!$A$31,0)</f>
        <v>0.05</v>
      </c>
      <c r="R210" s="370">
        <f>HLOOKUP(R$206,Macroeconomics!$B$5:$GB$36,Macroeconomics!$A$31,0)</f>
        <v>0.05</v>
      </c>
      <c r="S210" s="370">
        <f>HLOOKUP(S$206,Macroeconomics!$B$5:$GB$36,Macroeconomics!$A$31,0)</f>
        <v>0.05</v>
      </c>
      <c r="T210" s="370">
        <f>HLOOKUP(T$206,Macroeconomics!$B$5:$GB$36,Macroeconomics!$A$31,0)</f>
        <v>0.05</v>
      </c>
      <c r="U210" s="370">
        <f>HLOOKUP(U$206,Macroeconomics!$B$5:$GB$36,Macroeconomics!$A$31,0)</f>
        <v>0.05</v>
      </c>
    </row>
    <row r="211" spans="3:21">
      <c r="C211" s="352" t="s">
        <v>368</v>
      </c>
      <c r="D211" s="369">
        <f>HLOOKUP(D$206,Macroeconomics!$B$5:$GB$36,Macroeconomics!$A$24,0)</f>
        <v>0.18999579230339658</v>
      </c>
      <c r="E211" s="369">
        <f>HLOOKUP(E$206,Macroeconomics!$B$5:$GB$36,Macroeconomics!$A$24,0)</f>
        <v>0.15027137373090915</v>
      </c>
      <c r="F211" s="369">
        <f>HLOOKUP(F$206,Macroeconomics!$B$5:$GB$36,Macroeconomics!$A$24,0)</f>
        <v>0.11815816798855039</v>
      </c>
      <c r="G211" s="369">
        <f>HLOOKUP(G$206,Macroeconomics!$B$5:$GB$36,Macroeconomics!$A$24,0)</f>
        <v>0.12377829350004177</v>
      </c>
      <c r="H211" s="369">
        <f>HLOOKUP(H$206,Macroeconomics!$B$5:$GB$36,Macroeconomics!$A$24,0)</f>
        <v>9.8767697578293845E-2</v>
      </c>
      <c r="I211" s="369">
        <f>HLOOKUP(I$206,Macroeconomics!$B$5:$GB$36,Macroeconomics!$A$24,0)</f>
        <v>9.7570448081791383E-2</v>
      </c>
      <c r="J211" s="369">
        <f>HLOOKUP(J$206,Macroeconomics!$B$5:$GB$36,Macroeconomics!$A$24,0)</f>
        <v>0.11588487508441325</v>
      </c>
      <c r="K211" s="634">
        <f>HLOOKUP(K$206,Macroeconomics!$B$5:$GB$36,Macroeconomics!$A$24,0)</f>
        <v>8.756043060229167E-2</v>
      </c>
      <c r="L211" s="370">
        <f>HLOOKUP(L$206,Macroeconomics!$B$5:$GB$36,Macroeconomics!$A$24,0)</f>
        <v>8.444931666376497E-2</v>
      </c>
      <c r="M211" s="370">
        <f>HLOOKUP(M$206,Macroeconomics!$B$5:$GB$36,Macroeconomics!$A$24,0)</f>
        <v>9.6145242716012547E-2</v>
      </c>
      <c r="N211" s="370">
        <f>HLOOKUP(N$206,Macroeconomics!$B$5:$GB$36,Macroeconomics!$A$24,0)</f>
        <v>9.4942253320802195E-2</v>
      </c>
      <c r="O211" s="370">
        <f>HLOOKUP(O$206,Macroeconomics!$B$5:$GB$36,Macroeconomics!$A$24,0)</f>
        <v>9.6699999999999994E-2</v>
      </c>
      <c r="P211" s="370">
        <f>HLOOKUP(P$206,Macroeconomics!$B$5:$GB$36,Macroeconomics!$A$24,0)</f>
        <v>9.6699999999999994E-2</v>
      </c>
      <c r="Q211" s="370">
        <f>HLOOKUP(Q$206,Macroeconomics!$B$5:$GB$36,Macroeconomics!$A$24,0)</f>
        <v>9.4299999999999995E-2</v>
      </c>
      <c r="R211" s="370">
        <f>HLOOKUP(R$206,Macroeconomics!$B$5:$GB$36,Macroeconomics!$A$24,0)</f>
        <v>9.4200000000000006E-2</v>
      </c>
      <c r="S211" s="370">
        <f>HLOOKUP(S$206,Macroeconomics!$B$5:$GB$36,Macroeconomics!$A$24,0)</f>
        <v>9.4200000000000006E-2</v>
      </c>
      <c r="T211" s="370">
        <f>HLOOKUP(T$206,Macroeconomics!$B$5:$GB$36,Macroeconomics!$A$24,0)</f>
        <v>9.4200000000000006E-2</v>
      </c>
      <c r="U211" s="370">
        <f>HLOOKUP(U$206,Macroeconomics!$B$5:$GB$36,Macroeconomics!$A$24,0)</f>
        <v>9.1799999999999993E-2</v>
      </c>
    </row>
    <row r="212" spans="3:21">
      <c r="C212" s="352" t="s">
        <v>369</v>
      </c>
      <c r="D212" s="369">
        <f>HLOOKUP(D$206,Macroeconomics!$B$5:$GB$36,Macroeconomics!$A$34,0)</f>
        <v>0.18</v>
      </c>
      <c r="E212" s="369">
        <f>HLOOKUP(E$206,Macroeconomics!$B$5:$GB$36,Macroeconomics!$A$34,0)</f>
        <v>0.13250000000000001</v>
      </c>
      <c r="F212" s="369">
        <f>HLOOKUP(F$206,Macroeconomics!$B$5:$GB$36,Macroeconomics!$A$34,0)</f>
        <v>0.1125</v>
      </c>
      <c r="G212" s="369">
        <f>HLOOKUP(G$206,Macroeconomics!$B$5:$GB$36,Macroeconomics!$A$34,0)</f>
        <v>0.13750000000000001</v>
      </c>
      <c r="H212" s="369">
        <f>HLOOKUP(H$206,Macroeconomics!$B$5:$GB$36,Macroeconomics!$A$34,0)</f>
        <v>8.7499999999999994E-2</v>
      </c>
      <c r="I212" s="369">
        <f>HLOOKUP(I$206,Macroeconomics!$B$5:$GB$36,Macroeconomics!$A$34,0)</f>
        <v>0.1075</v>
      </c>
      <c r="J212" s="369">
        <f>HLOOKUP(J$206,Macroeconomics!$B$5:$GB$36,Macroeconomics!$A$34,0)</f>
        <v>0.11613607690400851</v>
      </c>
      <c r="K212" s="634">
        <f>HLOOKUP(K$206,Macroeconomics!$B$5:$GB$36,Macroeconomics!$A$34,0)</f>
        <v>9.7188439031415039E-2</v>
      </c>
      <c r="L212" s="370">
        <f>HLOOKUP(L$206,Macroeconomics!$B$5:$GB$36,Macroeconomics!$A$34,0)</f>
        <v>9.9493798965222702E-2</v>
      </c>
      <c r="M212" s="370">
        <f>HLOOKUP(M$206,Macroeconomics!$B$5:$GB$36,Macroeconomics!$A$34,0)</f>
        <v>0.10034969862858212</v>
      </c>
      <c r="N212" s="370">
        <f>HLOOKUP(N$206,Macroeconomics!$B$5:$GB$36,Macroeconomics!$A$34,0)</f>
        <v>9.6743211047729982E-2</v>
      </c>
      <c r="O212" s="370">
        <f>HLOOKUP(O$206,Macroeconomics!$B$5:$GB$36,Macroeconomics!$A$34,0)</f>
        <v>9.7029050864934074E-2</v>
      </c>
      <c r="P212" s="370">
        <f>HLOOKUP(P$206,Macroeconomics!$B$5:$GB$36,Macroeconomics!$A$34,0)</f>
        <v>9.6219858592965224E-2</v>
      </c>
      <c r="Q212" s="370">
        <f>HLOOKUP(Q$206,Macroeconomics!$B$5:$GB$36,Macroeconomics!$A$34,0)</f>
        <v>9.6624380091712828E-2</v>
      </c>
      <c r="R212" s="370">
        <f>HLOOKUP(R$206,Macroeconomics!$B$5:$GB$36,Macroeconomics!$A$34,0)</f>
        <v>9.7838840455158019E-2</v>
      </c>
      <c r="S212" s="370">
        <f>HLOOKUP(S$206,Macroeconomics!$B$5:$GB$36,Macroeconomics!$A$34,0)</f>
        <v>9.7029050864934074E-2</v>
      </c>
      <c r="T212" s="370">
        <f>HLOOKUP(T$206,Macroeconomics!$B$5:$GB$36,Macroeconomics!$A$34,0)</f>
        <v>9.6666114917960191E-2</v>
      </c>
      <c r="U212" s="370">
        <f>HLOOKUP(U$206,Macroeconomics!$B$5:$GB$36,Macroeconomics!$A$34,0)</f>
        <v>9.5000000000000001E-2</v>
      </c>
    </row>
    <row r="213" spans="3:21">
      <c r="C213" s="352" t="s">
        <v>367</v>
      </c>
      <c r="D213" s="369">
        <f>HLOOKUP(D$206,Macroeconomics!$B$5:$GB$36,Macroeconomics!$A$25,0)</f>
        <v>0.11874000000000001</v>
      </c>
      <c r="E213" s="369">
        <f>HLOOKUP(E$206,Macroeconomics!$B$5:$GB$36,Macroeconomics!$A$25,0)</f>
        <v>0.11566545066956092</v>
      </c>
      <c r="F213" s="369">
        <f>HLOOKUP(F$206,Macroeconomics!$B$5:$GB$36,Macroeconomics!$A$25,0)</f>
        <v>7.0417545460990327E-2</v>
      </c>
      <c r="G213" s="369">
        <f>HLOOKUP(G$206,Macroeconomics!$B$5:$GB$36,Macroeconomics!$A$25,0)</f>
        <v>6.1146123474646208E-2</v>
      </c>
      <c r="H213" s="369">
        <f>HLOOKUP(H$206,Macroeconomics!$B$5:$GB$36,Macroeconomics!$A$25,0)</f>
        <v>5.334702780531253E-2</v>
      </c>
      <c r="I213" s="369">
        <f>HLOOKUP(I$206,Macroeconomics!$B$5:$GB$36,Macroeconomics!$A$25,0)</f>
        <v>4.1046444824743622E-2</v>
      </c>
      <c r="J213" s="369">
        <f>HLOOKUP(J$206,Macroeconomics!$B$5:$GB$36,Macroeconomics!$A$25,0)</f>
        <v>6.1759107373379196E-2</v>
      </c>
      <c r="K213" s="634">
        <f>HLOOKUP(K$206,Macroeconomics!$B$5:$GB$36,Macroeconomics!$A$25,0)</f>
        <v>3.8084607518435565E-2</v>
      </c>
      <c r="L213" s="370">
        <f>HLOOKUP(L$206,Macroeconomics!$B$5:$GB$36,Macroeconomics!$A$25,0)</f>
        <v>3.7750542261976161E-2</v>
      </c>
      <c r="M213" s="370">
        <f>HLOOKUP(M$206,Macroeconomics!$B$5:$GB$36,Macroeconomics!$A$25,0)</f>
        <v>4.8942815996184219E-2</v>
      </c>
      <c r="N213" s="370">
        <f>HLOOKUP(N$206,Macroeconomics!$B$5:$GB$36,Macroeconomics!$A$25,0)</f>
        <v>4.7791629972059546E-2</v>
      </c>
      <c r="O213" s="370">
        <f>HLOOKUP(O$206,Macroeconomics!$B$5:$GB$36,Macroeconomics!$A$25,0)</f>
        <v>4.9473684210526336E-2</v>
      </c>
      <c r="P213" s="370">
        <f>HLOOKUP(P$206,Macroeconomics!$B$5:$GB$36,Macroeconomics!$A$25,0)</f>
        <v>5.451923076923082E-2</v>
      </c>
      <c r="Q213" s="370">
        <f>HLOOKUP(Q$206,Macroeconomics!$B$5:$GB$36,Macroeconomics!$A$25,0)</f>
        <v>5.2211538461538476E-2</v>
      </c>
      <c r="R213" s="370">
        <f>HLOOKUP(R$206,Macroeconomics!$B$5:$GB$36,Macroeconomics!$A$25,0)</f>
        <v>5.2115384615384563E-2</v>
      </c>
      <c r="S213" s="370">
        <f>HLOOKUP(S$206,Macroeconomics!$B$5:$GB$36,Macroeconomics!$A$25,0)</f>
        <v>5.2115384615384563E-2</v>
      </c>
      <c r="T213" s="370">
        <f>HLOOKUP(T$206,Macroeconomics!$B$5:$GB$36,Macroeconomics!$A$25,0)</f>
        <v>5.2115384615384563E-2</v>
      </c>
      <c r="U213" s="370">
        <f>HLOOKUP(U$206,Macroeconomics!$B$5:$GB$36,Macroeconomics!$A$25,0)</f>
        <v>4.9807692307692442E-2</v>
      </c>
    </row>
    <row r="214" spans="3:21">
      <c r="C214" s="352" t="s">
        <v>710</v>
      </c>
      <c r="D214" s="369">
        <f>HLOOKUP(D$206,Macroeconomics!$B$5:$GB$36,Macroeconomics!$A$32,0)</f>
        <v>4.0244538313789241E-2</v>
      </c>
      <c r="E214" s="369">
        <f>HLOOKUP(E$206,Macroeconomics!$B$5:$GB$36,Macroeconomics!$A$32,0)</f>
        <v>5.3227106730330431E-2</v>
      </c>
      <c r="F214" s="369">
        <f>HLOOKUP(F$206,Macroeconomics!$B$5:$GB$36,Macroeconomics!$A$32,0)</f>
        <v>5.1200000000000002E-2</v>
      </c>
      <c r="G214" s="369">
        <f>HLOOKUP(G$206,Macroeconomics!$B$5:$GB$36,Macroeconomics!$A$32,0)</f>
        <v>2.9687797955585609E-2</v>
      </c>
      <c r="H214" s="369">
        <f>HLOOKUP(H$206,Macroeconomics!$B$5:$GB$36,Macroeconomics!$A$32,0)</f>
        <v>1.5484405106266077E-2</v>
      </c>
      <c r="I214" s="369">
        <f>HLOOKUP(I$206,Macroeconomics!$B$5:$GB$36,Macroeconomics!$A$32,0)</f>
        <v>9.2379200645800932E-3</v>
      </c>
      <c r="J214" s="369">
        <f>HLOOKUP(J$206,Macroeconomics!$B$5:$GB$36,Macroeconomics!$A$32,0)</f>
        <v>9.0000000000000011E-3</v>
      </c>
      <c r="K214" s="634">
        <f>HLOOKUP(K$206,Macroeconomics!$B$5:$GB$36,Macroeconomics!$A$32,0)</f>
        <v>1.7000000000000001E-2</v>
      </c>
      <c r="L214" s="370">
        <f>HLOOKUP(L$206,Macroeconomics!$B$5:$GB$36,Macroeconomics!$A$32,0)</f>
        <v>1.7000000000000001E-2</v>
      </c>
      <c r="M214" s="370">
        <f>HLOOKUP(M$206,Macroeconomics!$B$5:$GB$36,Macroeconomics!$A$32,0)</f>
        <v>1.7000000000000001E-2</v>
      </c>
      <c r="N214" s="370">
        <f>HLOOKUP(N$206,Macroeconomics!$B$5:$GB$36,Macroeconomics!$A$32,0)</f>
        <v>1.7000000000000001E-2</v>
      </c>
      <c r="O214" s="370">
        <f>HLOOKUP(O$206,Macroeconomics!$B$5:$GB$36,Macroeconomics!$A$32,0)</f>
        <v>2.2000000000000002E-2</v>
      </c>
      <c r="P214" s="370">
        <f>HLOOKUP(P$206,Macroeconomics!$B$5:$GB$36,Macroeconomics!$A$32,0)</f>
        <v>2.2000000000000002E-2</v>
      </c>
      <c r="Q214" s="370">
        <f>HLOOKUP(Q$206,Macroeconomics!$B$5:$GB$36,Macroeconomics!$A$32,0)</f>
        <v>2.2000000000000002E-2</v>
      </c>
      <c r="R214" s="370">
        <f>HLOOKUP(R$206,Macroeconomics!$B$5:$GB$36,Macroeconomics!$A$32,0)</f>
        <v>2.2000000000000002E-2</v>
      </c>
      <c r="S214" s="370">
        <f>HLOOKUP(S$206,Macroeconomics!$B$5:$GB$36,Macroeconomics!$A$32,0)</f>
        <v>0.04</v>
      </c>
      <c r="T214" s="370">
        <f>HLOOKUP(T$206,Macroeconomics!$B$5:$GB$36,Macroeconomics!$A$32,0)</f>
        <v>0.04</v>
      </c>
      <c r="U214" s="370">
        <f>HLOOKUP(U$206,Macroeconomics!$B$5:$GB$36,Macroeconomics!$A$32,0)</f>
        <v>0.04</v>
      </c>
    </row>
    <row r="215" spans="3:21">
      <c r="C215" s="352" t="s">
        <v>370</v>
      </c>
      <c r="D215" s="451">
        <f>HLOOKUP(D$206,Macroeconomics!$B$5:$GB$36,Macroeconomics!$A$28,0)</f>
        <v>2.3407</v>
      </c>
      <c r="E215" s="451">
        <f>HLOOKUP(E$206,Macroeconomics!$B$5:$GB$36,Macroeconomics!$A$28,0)</f>
        <v>2.1379999999999999</v>
      </c>
      <c r="F215" s="451">
        <f>HLOOKUP(F$206,Macroeconomics!$B$5:$GB$36,Macroeconomics!$A$28,0)</f>
        <v>1.7709000000000001</v>
      </c>
      <c r="G215" s="451">
        <f>HLOOKUP(G$206,Macroeconomics!$B$5:$GB$36,Macroeconomics!$A$28,0)</f>
        <v>2.3365999999999998</v>
      </c>
      <c r="H215" s="451">
        <f>HLOOKUP(H$206,Macroeconomics!$B$5:$GB$36,Macroeconomics!$A$28,0)</f>
        <v>1.7407999999999999</v>
      </c>
      <c r="I215" s="451">
        <f>HLOOKUP(I$206,Macroeconomics!$B$5:$GB$36,Macroeconomics!$A$28,0)</f>
        <v>1.7340499999999999</v>
      </c>
      <c r="J215" s="451">
        <f>HLOOKUP(J$206,Macroeconomics!$B$5:$GB$36,Macroeconomics!$A$28,0)</f>
        <v>1.8757999999999999</v>
      </c>
      <c r="K215" s="703">
        <f>HLOOKUP(K$206,Macroeconomics!$B$5:$GB$36,Macroeconomics!$A$28,0)</f>
        <v>1.95</v>
      </c>
      <c r="L215" s="620">
        <f>HLOOKUP(L$206,Macroeconomics!$B$5:$GB$36,Macroeconomics!$A$28,0)</f>
        <v>1.95</v>
      </c>
      <c r="M215" s="620">
        <f>HLOOKUP(M$206,Macroeconomics!$B$5:$GB$36,Macroeconomics!$A$28,0)</f>
        <v>1.9987499999999998</v>
      </c>
      <c r="N215" s="620">
        <f>HLOOKUP(N$206,Macroeconomics!$B$5:$GB$36,Macroeconomics!$A$28,0)</f>
        <v>2.0487187499999995</v>
      </c>
      <c r="O215" s="620">
        <f>HLOOKUP(O$206,Macroeconomics!$B$5:$GB$36,Macroeconomics!$A$28,0)</f>
        <v>2.0999367187499991</v>
      </c>
      <c r="P215" s="620">
        <f>HLOOKUP(P$206,Macroeconomics!$B$5:$GB$36,Macroeconomics!$A$28,0)</f>
        <v>2.141935453124999</v>
      </c>
      <c r="Q215" s="620">
        <f>HLOOKUP(Q$206,Macroeconomics!$B$5:$GB$36,Macroeconomics!$A$28,0)</f>
        <v>2.184774162187499</v>
      </c>
      <c r="R215" s="620">
        <f>HLOOKUP(R$206,Macroeconomics!$B$5:$GB$36,Macroeconomics!$A$28,0)</f>
        <v>2.2284696454312489</v>
      </c>
      <c r="S215" s="620">
        <f>HLOOKUP(S$206,Macroeconomics!$B$5:$GB$36,Macroeconomics!$A$28,0)</f>
        <v>2.2730390383398738</v>
      </c>
      <c r="T215" s="620">
        <f>HLOOKUP(T$206,Macroeconomics!$B$5:$GB$36,Macroeconomics!$A$28,0)</f>
        <v>2.3184998191066715</v>
      </c>
      <c r="U215" s="620">
        <f>HLOOKUP(U$206,Macroeconomics!$B$5:$GB$36,Macroeconomics!$A$28,0)</f>
        <v>2.364869815488805</v>
      </c>
    </row>
    <row r="216" spans="3:21">
      <c r="C216" s="352" t="s">
        <v>371</v>
      </c>
      <c r="D216" s="451">
        <f>HLOOKUP(D$206,Macroeconomics!$B$5:$GB$36,Macroeconomics!$A$29,0)</f>
        <v>2.4352999999999998</v>
      </c>
      <c r="E216" s="451">
        <f>HLOOKUP(E$206,Macroeconomics!$B$5:$GB$36,Macroeconomics!$A$29,0)</f>
        <v>2.1800000000000002</v>
      </c>
      <c r="F216" s="451">
        <f>HLOOKUP(F$206,Macroeconomics!$B$5:$GB$36,Macroeconomics!$A$29,0)</f>
        <v>1.947456396964496</v>
      </c>
      <c r="G216" s="451">
        <f>HLOOKUP(G$206,Macroeconomics!$B$5:$GB$36,Macroeconomics!$A$29,0)</f>
        <v>1.8341627693121143</v>
      </c>
      <c r="H216" s="451">
        <f>HLOOKUP(H$206,Macroeconomics!$B$5:$GB$36,Macroeconomics!$A$29,0)</f>
        <v>1.9974585113035113</v>
      </c>
      <c r="I216" s="451">
        <f>HLOOKUP(I$206,Macroeconomics!$B$5:$GB$36,Macroeconomics!$A$29,0)</f>
        <v>1.7340499999999999</v>
      </c>
      <c r="J216" s="451">
        <f>HLOOKUP(J$206,Macroeconomics!$B$5:$GB$36,Macroeconomics!$A$29,0)</f>
        <v>1.6749708040027607</v>
      </c>
      <c r="K216" s="703">
        <f>HLOOKUP(K$206,Macroeconomics!$B$5:$GB$36,Macroeconomics!$A$29,0)</f>
        <v>1.9106416666666668</v>
      </c>
      <c r="L216" s="620">
        <f>HLOOKUP(L$206,Macroeconomics!$B$5:$GB$36,Macroeconomics!$A$29,0)</f>
        <v>1.9499999999999995</v>
      </c>
      <c r="M216" s="620">
        <f>HLOOKUP(M$206,Macroeconomics!$B$5:$GB$36,Macroeconomics!$A$29,0)</f>
        <v>1.9749999999999996</v>
      </c>
      <c r="N216" s="620">
        <f>HLOOKUP(N$206,Macroeconomics!$B$5:$GB$36,Macroeconomics!$A$29,0)</f>
        <v>2.0249999999999986</v>
      </c>
      <c r="O216" s="620">
        <f>HLOOKUP(O$206,Macroeconomics!$B$5:$GB$36,Macroeconomics!$A$29,0)</f>
        <v>2.0743277343749993</v>
      </c>
      <c r="P216" s="620">
        <f>HLOOKUP(P$206,Macroeconomics!$B$5:$GB$36,Macroeconomics!$A$29,0)</f>
        <v>2.1209360859374993</v>
      </c>
      <c r="Q216" s="620">
        <f>HLOOKUP(Q$206,Macroeconomics!$B$5:$GB$36,Macroeconomics!$A$29,0)</f>
        <v>2.163354807656249</v>
      </c>
      <c r="R216" s="620">
        <f>HLOOKUP(R$206,Macroeconomics!$B$5:$GB$36,Macroeconomics!$A$29,0)</f>
        <v>2.2066219038093742</v>
      </c>
      <c r="S216" s="620">
        <f>HLOOKUP(S$206,Macroeconomics!$B$5:$GB$36,Macroeconomics!$A$29,0)</f>
        <v>2.2507543418855613</v>
      </c>
      <c r="T216" s="620">
        <f>HLOOKUP(T$206,Macroeconomics!$B$5:$GB$36,Macroeconomics!$A$29,0)</f>
        <v>2.2957694287232728</v>
      </c>
      <c r="U216" s="620">
        <f>HLOOKUP(U$206,Macroeconomics!$B$5:$GB$36,Macroeconomics!$A$29,0)</f>
        <v>2.3416848172977383</v>
      </c>
    </row>
    <row r="217" spans="3:21">
      <c r="C217" s="352" t="s">
        <v>708</v>
      </c>
      <c r="D217" s="352"/>
      <c r="E217" s="368"/>
      <c r="F217" s="368"/>
      <c r="G217" s="368"/>
      <c r="I217" s="719">
        <v>81.540000000000006</v>
      </c>
      <c r="J217" s="719">
        <v>77.400000000000006</v>
      </c>
      <c r="K217" s="905">
        <v>82</v>
      </c>
      <c r="L217" s="846">
        <v>84</v>
      </c>
      <c r="M217" s="846">
        <v>86</v>
      </c>
      <c r="N217" s="846">
        <v>90</v>
      </c>
      <c r="O217" s="846">
        <v>90</v>
      </c>
      <c r="P217" s="846">
        <v>90</v>
      </c>
      <c r="Q217" s="846">
        <v>90</v>
      </c>
      <c r="R217" s="846">
        <v>90</v>
      </c>
      <c r="S217" s="846">
        <v>90</v>
      </c>
      <c r="T217" s="846">
        <v>90</v>
      </c>
      <c r="U217" s="846">
        <v>90</v>
      </c>
    </row>
    <row r="218" spans="3:21">
      <c r="C218" s="352" t="s">
        <v>709</v>
      </c>
      <c r="D218" s="352"/>
      <c r="E218" s="368"/>
      <c r="F218" s="368"/>
      <c r="G218" s="368"/>
      <c r="I218" s="556">
        <f t="shared" ref="I218:J218" si="288">I217/I215</f>
        <v>47.022865545976188</v>
      </c>
      <c r="J218" s="556">
        <f t="shared" si="288"/>
        <v>41.262394711589728</v>
      </c>
      <c r="K218" s="666">
        <f>K217/K215</f>
        <v>42.051282051282051</v>
      </c>
      <c r="L218" s="610">
        <f t="shared" ref="L218:U218" si="289">L217/L215</f>
        <v>43.07692307692308</v>
      </c>
      <c r="M218" s="610">
        <f t="shared" si="289"/>
        <v>43.026891807379613</v>
      </c>
      <c r="N218" s="610">
        <f t="shared" si="289"/>
        <v>43.929895208895815</v>
      </c>
      <c r="O218" s="610">
        <f t="shared" si="289"/>
        <v>42.858434350142268</v>
      </c>
      <c r="P218" s="610">
        <f t="shared" si="289"/>
        <v>42.018072892296338</v>
      </c>
      <c r="Q218" s="610">
        <f t="shared" si="289"/>
        <v>41.194189110094449</v>
      </c>
      <c r="R218" s="610">
        <f t="shared" si="289"/>
        <v>40.386459911857308</v>
      </c>
      <c r="S218" s="610">
        <f t="shared" si="289"/>
        <v>39.59456854103658</v>
      </c>
      <c r="T218" s="610">
        <f t="shared" si="289"/>
        <v>38.818204451996642</v>
      </c>
      <c r="U218" s="610">
        <f t="shared" si="289"/>
        <v>38.057063188232</v>
      </c>
    </row>
    <row r="219" spans="3:21">
      <c r="C219" s="352"/>
      <c r="D219" s="352"/>
      <c r="E219" s="368"/>
      <c r="F219" s="368"/>
      <c r="G219" s="368"/>
      <c r="J219" s="551">
        <f>J218/I218-1</f>
        <v>-0.12250361111562225</v>
      </c>
      <c r="K219" s="687">
        <f t="shared" ref="K219:L219" si="290">K218/J218-1</f>
        <v>1.9118796793215154E-2</v>
      </c>
      <c r="L219" s="597">
        <f t="shared" si="290"/>
        <v>2.4390243902439046E-2</v>
      </c>
      <c r="M219" s="597">
        <f t="shared" ref="M219" si="291">M218/L218-1</f>
        <v>-1.1614401858305312E-3</v>
      </c>
      <c r="N219" s="597">
        <f t="shared" ref="N219" si="292">N218/M218-1</f>
        <v>2.098695405558737E-2</v>
      </c>
      <c r="O219" s="606"/>
      <c r="P219" s="606"/>
      <c r="Q219" s="606"/>
      <c r="R219" s="606"/>
      <c r="S219" s="606"/>
      <c r="T219" s="606"/>
      <c r="U219" s="606"/>
    </row>
    <row r="220" spans="3:21">
      <c r="C220" s="352"/>
      <c r="D220" s="352"/>
      <c r="E220" s="368"/>
      <c r="F220" s="368"/>
      <c r="G220" s="368"/>
    </row>
    <row r="221" spans="3:21">
      <c r="C221" s="352"/>
      <c r="D221" s="352"/>
      <c r="E221" s="368"/>
      <c r="F221" s="368"/>
      <c r="G221" s="368"/>
    </row>
    <row r="222" spans="3:21">
      <c r="C222" s="352"/>
      <c r="D222" s="352"/>
      <c r="E222" s="368"/>
      <c r="F222" s="368"/>
      <c r="G222" s="368"/>
    </row>
    <row r="223" spans="3:21">
      <c r="C223" s="352"/>
      <c r="D223" s="352"/>
      <c r="E223" s="368"/>
      <c r="F223" s="368"/>
      <c r="G223" s="368"/>
    </row>
    <row r="224" spans="3:21">
      <c r="C224" s="352"/>
      <c r="D224" s="352"/>
      <c r="E224" s="368"/>
      <c r="F224" s="368"/>
      <c r="G224" s="368"/>
    </row>
  </sheetData>
  <conditionalFormatting sqref="E108:U108 E110:J110 E132:I133 K132:U133 H132:U132">
    <cfRule type="cellIs" dxfId="1" priority="3" stopIfTrue="1" operator="equal">
      <formula>"ü"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tabColor indexed="8"/>
  </sheetPr>
  <dimension ref="A1"/>
  <sheetViews>
    <sheetView workbookViewId="0">
      <selection activeCell="H127" sqref="H127"/>
    </sheetView>
  </sheetViews>
  <sheetFormatPr defaultRowHeight="12.75"/>
  <cols>
    <col min="1" max="16384" width="9.140625" style="3"/>
  </cols>
  <sheetData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 codeName="Plan15">
    <pageSetUpPr fitToPage="1"/>
  </sheetPr>
  <dimension ref="A1:GQ390"/>
  <sheetViews>
    <sheetView showGridLines="0" zoomScale="60" zoomScaleNormal="60" workbookViewId="0">
      <pane xSplit="3" ySplit="1" topLeftCell="D2" activePane="bottomRight" state="frozen"/>
      <selection activeCell="A12" sqref="A12"/>
      <selection pane="topRight" activeCell="A12" sqref="A12"/>
      <selection pane="bottomLeft" activeCell="A12" sqref="A12"/>
      <selection pane="bottomRight" activeCell="I204" sqref="I204"/>
    </sheetView>
  </sheetViews>
  <sheetFormatPr defaultColWidth="13" defaultRowHeight="12.75" outlineLevelRow="1"/>
  <cols>
    <col min="1" max="1" width="6.42578125" style="161" customWidth="1"/>
    <col min="2" max="2" width="42.28515625" style="161" customWidth="1"/>
    <col min="3" max="3" width="15.7109375" style="161" customWidth="1"/>
    <col min="4" max="147" width="13" style="161" customWidth="1"/>
    <col min="148" max="149" width="13.140625" style="161" bestFit="1" customWidth="1"/>
    <col min="150" max="151" width="13" style="161" customWidth="1"/>
    <col min="152" max="152" width="10.28515625" style="161" bestFit="1" customWidth="1"/>
    <col min="153" max="154" width="10" style="161" bestFit="1" customWidth="1"/>
    <col min="155" max="155" width="10.28515625" style="161" bestFit="1" customWidth="1"/>
    <col min="156" max="161" width="9.7109375" style="161" bestFit="1" customWidth="1"/>
    <col min="162" max="162" width="10.85546875" style="161" bestFit="1" customWidth="1"/>
    <col min="163" max="164" width="9.7109375" style="161" bestFit="1" customWidth="1"/>
    <col min="165" max="165" width="10" style="161" bestFit="1" customWidth="1"/>
    <col min="166" max="176" width="9.7109375" style="161" bestFit="1" customWidth="1"/>
    <col min="177" max="177" width="10" style="161" bestFit="1" customWidth="1"/>
    <col min="178" max="186" width="9.7109375" style="161" bestFit="1" customWidth="1"/>
    <col min="187" max="190" width="10" style="161" bestFit="1" customWidth="1"/>
    <col min="191" max="191" width="10.5703125" style="161" bestFit="1" customWidth="1"/>
    <col min="192" max="193" width="10.85546875" style="161" bestFit="1" customWidth="1"/>
    <col min="194" max="194" width="10.5703125" style="161" bestFit="1" customWidth="1"/>
    <col min="195" max="195" width="11.85546875" style="161" bestFit="1" customWidth="1"/>
    <col min="196" max="197" width="11" style="161" bestFit="1" customWidth="1"/>
    <col min="198" max="198" width="10.85546875" style="161" bestFit="1" customWidth="1"/>
    <col min="199" max="199" width="11" style="161" bestFit="1" customWidth="1"/>
    <col min="200" max="212" width="9.140625" style="161" customWidth="1"/>
    <col min="213" max="213" width="42.28515625" style="161" customWidth="1"/>
    <col min="214" max="214" width="12.28515625" style="161" customWidth="1"/>
    <col min="215" max="226" width="9.140625" style="161" customWidth="1"/>
    <col min="227" max="16384" width="13" style="161"/>
  </cols>
  <sheetData>
    <row r="1" spans="1:199">
      <c r="F1" s="817" t="s">
        <v>759</v>
      </c>
      <c r="G1" s="782"/>
      <c r="H1" s="782"/>
      <c r="I1" s="782"/>
      <c r="J1" s="315"/>
      <c r="K1" s="315"/>
    </row>
    <row r="2" spans="1:199" ht="15.75">
      <c r="B2" s="33" t="s">
        <v>421</v>
      </c>
      <c r="F2" s="818" t="s">
        <v>760</v>
      </c>
      <c r="G2" s="819"/>
      <c r="H2" s="782"/>
      <c r="I2" s="817" t="s">
        <v>761</v>
      </c>
      <c r="J2" s="156"/>
      <c r="K2" s="156"/>
      <c r="L2" s="156"/>
      <c r="M2" s="156"/>
      <c r="N2" s="156"/>
      <c r="O2" s="156"/>
    </row>
    <row r="3" spans="1:199" ht="15">
      <c r="B3" s="34"/>
      <c r="F3" s="820" t="s">
        <v>762</v>
      </c>
      <c r="G3" s="821"/>
      <c r="H3" s="782"/>
      <c r="I3" s="822" t="s">
        <v>763</v>
      </c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26"/>
      <c r="U3" s="226"/>
      <c r="V3" s="226"/>
    </row>
    <row r="4" spans="1:199">
      <c r="F4" s="823" t="s">
        <v>764</v>
      </c>
      <c r="G4" s="819"/>
      <c r="H4" s="782"/>
      <c r="I4" s="782"/>
      <c r="J4" s="317"/>
      <c r="K4" s="317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</row>
    <row r="5" spans="1:199">
      <c r="B5" s="5" t="s">
        <v>420</v>
      </c>
      <c r="F5" s="824" t="s">
        <v>765</v>
      </c>
      <c r="G5" s="825"/>
      <c r="H5" s="804"/>
      <c r="I5" s="804"/>
      <c r="J5" s="156"/>
      <c r="K5" s="156"/>
      <c r="L5" s="156"/>
      <c r="M5" s="156"/>
      <c r="N5" s="156"/>
      <c r="O5" s="156"/>
    </row>
    <row r="7" spans="1:199" s="156" customFormat="1">
      <c r="A7" s="161"/>
      <c r="B7" s="438" t="s">
        <v>575</v>
      </c>
      <c r="C7" s="202"/>
      <c r="D7" s="439">
        <v>2009</v>
      </c>
      <c r="E7" s="439">
        <v>2010</v>
      </c>
      <c r="F7" s="439">
        <v>2011</v>
      </c>
      <c r="G7" s="439">
        <f>F7+1</f>
        <v>2012</v>
      </c>
      <c r="H7" s="439">
        <f t="shared" ref="H7:AD7" si="0">G7+1</f>
        <v>2013</v>
      </c>
      <c r="I7" s="439">
        <f t="shared" si="0"/>
        <v>2014</v>
      </c>
      <c r="J7" s="439">
        <f t="shared" si="0"/>
        <v>2015</v>
      </c>
      <c r="K7" s="439">
        <f t="shared" si="0"/>
        <v>2016</v>
      </c>
      <c r="L7" s="439">
        <f t="shared" si="0"/>
        <v>2017</v>
      </c>
      <c r="M7" s="439">
        <f t="shared" si="0"/>
        <v>2018</v>
      </c>
      <c r="N7" s="439">
        <f t="shared" si="0"/>
        <v>2019</v>
      </c>
      <c r="O7" s="439">
        <f t="shared" si="0"/>
        <v>2020</v>
      </c>
      <c r="P7" s="439">
        <f t="shared" si="0"/>
        <v>2021</v>
      </c>
      <c r="Q7" s="439">
        <f t="shared" si="0"/>
        <v>2022</v>
      </c>
      <c r="R7" s="439">
        <f t="shared" si="0"/>
        <v>2023</v>
      </c>
      <c r="S7" s="439">
        <f t="shared" si="0"/>
        <v>2024</v>
      </c>
      <c r="T7" s="439">
        <f t="shared" si="0"/>
        <v>2025</v>
      </c>
      <c r="U7" s="439">
        <f t="shared" si="0"/>
        <v>2026</v>
      </c>
      <c r="V7" s="439">
        <f t="shared" si="0"/>
        <v>2027</v>
      </c>
      <c r="W7" s="439">
        <f t="shared" si="0"/>
        <v>2028</v>
      </c>
      <c r="X7" s="439">
        <f t="shared" si="0"/>
        <v>2029</v>
      </c>
      <c r="Y7" s="439">
        <f t="shared" si="0"/>
        <v>2030</v>
      </c>
      <c r="Z7" s="439">
        <f t="shared" si="0"/>
        <v>2031</v>
      </c>
      <c r="AA7" s="439">
        <f t="shared" si="0"/>
        <v>2032</v>
      </c>
      <c r="AB7" s="439">
        <f t="shared" si="0"/>
        <v>2033</v>
      </c>
      <c r="AC7" s="439">
        <f t="shared" si="0"/>
        <v>2034</v>
      </c>
      <c r="AD7" s="439">
        <f t="shared" si="0"/>
        <v>2035</v>
      </c>
      <c r="AE7" s="439"/>
      <c r="AF7" s="202"/>
      <c r="AG7" s="202"/>
      <c r="AH7" s="202"/>
      <c r="AI7" s="202"/>
      <c r="AJ7" s="202"/>
      <c r="AK7" s="202"/>
      <c r="AL7" s="202"/>
      <c r="AM7" s="202"/>
      <c r="AN7" s="202"/>
      <c r="AO7" s="202"/>
      <c r="AP7" s="202"/>
      <c r="AQ7" s="202"/>
      <c r="AR7" s="202"/>
      <c r="AS7" s="202"/>
      <c r="AT7" s="202"/>
      <c r="AU7" s="202"/>
      <c r="AV7" s="202"/>
      <c r="AW7" s="202"/>
      <c r="AX7" s="202"/>
      <c r="AY7" s="202"/>
      <c r="AZ7" s="202"/>
      <c r="BA7" s="202"/>
      <c r="BB7" s="202"/>
      <c r="BC7" s="202"/>
      <c r="BD7" s="202"/>
      <c r="BE7" s="202"/>
      <c r="BF7" s="202"/>
      <c r="BG7" s="202"/>
      <c r="BH7" s="202"/>
      <c r="BI7" s="202"/>
      <c r="BJ7" s="202"/>
      <c r="BK7" s="202"/>
      <c r="BL7" s="202"/>
      <c r="BM7" s="202"/>
      <c r="BN7" s="202"/>
      <c r="BO7" s="202"/>
      <c r="BP7" s="202"/>
      <c r="BQ7" s="202"/>
      <c r="BR7" s="202"/>
      <c r="BS7" s="202"/>
      <c r="BT7" s="202"/>
      <c r="BU7" s="202"/>
      <c r="BV7" s="202"/>
      <c r="BW7" s="202"/>
      <c r="BX7" s="202"/>
      <c r="BY7" s="202"/>
      <c r="BZ7" s="202"/>
      <c r="CA7" s="202"/>
      <c r="CB7" s="202"/>
      <c r="CC7" s="202"/>
      <c r="CD7" s="202"/>
      <c r="CE7" s="202"/>
      <c r="CF7" s="202"/>
      <c r="CG7" s="202"/>
      <c r="CH7" s="202"/>
      <c r="CI7" s="202"/>
      <c r="CJ7" s="202"/>
      <c r="CK7" s="202"/>
      <c r="CL7" s="202"/>
      <c r="CM7" s="202"/>
      <c r="CN7" s="202"/>
      <c r="CO7" s="202"/>
      <c r="CP7" s="202"/>
      <c r="CQ7" s="202"/>
      <c r="CR7" s="202"/>
      <c r="CS7" s="202"/>
      <c r="CT7" s="202"/>
      <c r="CU7" s="202"/>
      <c r="CV7" s="202"/>
      <c r="CW7" s="202"/>
      <c r="CX7" s="202"/>
      <c r="CY7" s="202"/>
      <c r="CZ7" s="202"/>
      <c r="DA7" s="202"/>
      <c r="DB7" s="202"/>
      <c r="DC7" s="202"/>
      <c r="DD7" s="202"/>
      <c r="DE7" s="202"/>
      <c r="DF7" s="202"/>
      <c r="DG7" s="202"/>
      <c r="DH7" s="202"/>
      <c r="DI7" s="202"/>
      <c r="DJ7" s="202"/>
      <c r="DK7" s="217"/>
      <c r="DL7" s="217"/>
      <c r="DM7" s="217"/>
      <c r="DN7" s="217"/>
      <c r="DO7" s="217"/>
      <c r="DP7" s="217"/>
      <c r="DQ7" s="217"/>
      <c r="DR7" s="217"/>
      <c r="DS7" s="217"/>
      <c r="DT7" s="217"/>
      <c r="DU7" s="217"/>
      <c r="DV7" s="217"/>
      <c r="DW7" s="217"/>
      <c r="DX7" s="217"/>
      <c r="DY7" s="217"/>
      <c r="DZ7" s="217"/>
      <c r="EA7" s="217"/>
      <c r="EB7" s="217"/>
      <c r="EC7" s="217"/>
      <c r="ED7" s="217"/>
      <c r="EE7" s="217"/>
      <c r="EF7" s="217"/>
      <c r="EG7" s="217"/>
      <c r="EH7" s="217"/>
      <c r="EI7" s="217"/>
      <c r="EJ7" s="217"/>
      <c r="EK7" s="217"/>
      <c r="EL7" s="217"/>
      <c r="EM7" s="217"/>
      <c r="EN7" s="217"/>
      <c r="EO7" s="217"/>
      <c r="EP7" s="217"/>
      <c r="EQ7" s="217"/>
      <c r="ER7" s="217"/>
      <c r="ES7" s="217"/>
      <c r="ET7" s="217"/>
      <c r="EU7" s="217"/>
      <c r="EV7" s="217"/>
      <c r="EW7" s="217"/>
      <c r="EX7" s="217"/>
      <c r="EY7" s="217"/>
      <c r="EZ7" s="217"/>
      <c r="FA7" s="217"/>
      <c r="FB7" s="217"/>
      <c r="FC7" s="217"/>
      <c r="FD7" s="217"/>
      <c r="FE7" s="217"/>
      <c r="FF7" s="217"/>
      <c r="FG7" s="217"/>
      <c r="FH7" s="217"/>
      <c r="FI7" s="217"/>
      <c r="FJ7" s="217"/>
      <c r="FK7" s="217"/>
      <c r="FL7" s="217"/>
      <c r="FM7" s="217"/>
      <c r="FN7" s="217"/>
      <c r="FO7" s="217"/>
      <c r="FP7" s="217"/>
      <c r="FQ7" s="217"/>
      <c r="FR7" s="217"/>
      <c r="FS7" s="217"/>
      <c r="FT7" s="217"/>
      <c r="FU7" s="217"/>
      <c r="FV7" s="217"/>
      <c r="FW7" s="217"/>
      <c r="FX7" s="217"/>
      <c r="FY7" s="217"/>
      <c r="FZ7" s="217"/>
      <c r="GA7" s="217"/>
      <c r="GB7" s="217"/>
      <c r="GC7" s="217"/>
      <c r="GD7" s="217"/>
      <c r="GE7" s="217"/>
      <c r="GF7" s="217"/>
      <c r="GG7" s="217"/>
      <c r="GH7" s="217"/>
      <c r="GI7" s="217"/>
      <c r="GJ7" s="217"/>
      <c r="GK7" s="217"/>
      <c r="GL7" s="217"/>
      <c r="GM7" s="217"/>
      <c r="GN7" s="217"/>
      <c r="GO7" s="217"/>
      <c r="GP7" s="217"/>
      <c r="GQ7" s="217"/>
    </row>
    <row r="8" spans="1:199"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5"/>
      <c r="BA8" s="175"/>
      <c r="BB8" s="175"/>
      <c r="BC8" s="175"/>
      <c r="BD8" s="175"/>
      <c r="BE8" s="175"/>
      <c r="BF8" s="175"/>
      <c r="BG8" s="175"/>
      <c r="BH8" s="175"/>
      <c r="BI8" s="175"/>
      <c r="BJ8" s="175"/>
      <c r="BK8" s="175"/>
      <c r="BL8" s="175"/>
      <c r="BM8" s="175"/>
      <c r="BN8" s="175"/>
      <c r="BO8" s="175"/>
      <c r="BP8" s="175"/>
      <c r="BQ8" s="175"/>
      <c r="BR8" s="175"/>
      <c r="BS8" s="175"/>
      <c r="BT8" s="175"/>
      <c r="BU8" s="175"/>
      <c r="BV8" s="175"/>
      <c r="BW8" s="175"/>
      <c r="BX8" s="175"/>
      <c r="BY8" s="175"/>
      <c r="BZ8" s="175"/>
      <c r="CA8" s="175"/>
      <c r="CB8" s="175"/>
      <c r="CC8" s="175"/>
      <c r="CD8" s="175"/>
      <c r="CE8" s="175"/>
      <c r="CF8" s="175"/>
      <c r="CG8" s="175"/>
      <c r="CH8" s="175"/>
      <c r="CI8" s="175"/>
      <c r="CJ8" s="175"/>
      <c r="CK8" s="175"/>
      <c r="CL8" s="175"/>
      <c r="CM8" s="175"/>
      <c r="CN8" s="175"/>
      <c r="CO8" s="175"/>
      <c r="CP8" s="175"/>
      <c r="CQ8" s="175"/>
      <c r="CR8" s="175"/>
      <c r="CS8" s="175"/>
      <c r="CT8" s="175"/>
      <c r="CU8" s="175"/>
      <c r="CV8" s="175"/>
      <c r="CW8" s="175"/>
      <c r="CX8" s="175"/>
      <c r="CY8" s="175"/>
      <c r="CZ8" s="175"/>
      <c r="DA8" s="175"/>
      <c r="DB8" s="175"/>
      <c r="DC8" s="175"/>
      <c r="DD8" s="175"/>
      <c r="DE8" s="175"/>
      <c r="DF8" s="175"/>
      <c r="DG8" s="175"/>
      <c r="DH8" s="175"/>
      <c r="DI8" s="175"/>
      <c r="DJ8" s="175"/>
      <c r="DK8" s="175"/>
      <c r="DL8" s="175"/>
      <c r="DM8" s="175"/>
      <c r="DN8" s="175"/>
      <c r="DO8" s="175"/>
      <c r="DP8" s="175"/>
      <c r="DQ8" s="175"/>
      <c r="DR8" s="175"/>
      <c r="DS8" s="175"/>
      <c r="DT8" s="175"/>
      <c r="DU8" s="175"/>
      <c r="DV8" s="175"/>
      <c r="DW8" s="175"/>
      <c r="DX8" s="175"/>
      <c r="DY8" s="175"/>
      <c r="DZ8" s="175"/>
      <c r="EA8" s="175"/>
      <c r="EB8" s="175"/>
      <c r="EC8" s="175"/>
      <c r="ED8" s="175"/>
      <c r="EE8" s="175"/>
      <c r="EF8" s="175"/>
      <c r="EG8" s="175"/>
      <c r="EH8" s="175"/>
      <c r="EI8" s="175"/>
      <c r="EJ8" s="175"/>
      <c r="EK8" s="175"/>
      <c r="EL8" s="175"/>
      <c r="EM8" s="175"/>
      <c r="EN8" s="175"/>
      <c r="EO8" s="175"/>
      <c r="EP8" s="175"/>
      <c r="EQ8" s="175"/>
      <c r="ER8" s="175"/>
      <c r="ES8" s="175"/>
      <c r="ET8" s="175"/>
      <c r="EU8" s="175"/>
      <c r="EV8" s="175"/>
      <c r="EW8" s="175"/>
      <c r="EX8" s="175"/>
      <c r="EY8" s="175"/>
      <c r="EZ8" s="175"/>
      <c r="FA8" s="175"/>
      <c r="FB8" s="175"/>
      <c r="FC8" s="175"/>
      <c r="FD8" s="175"/>
      <c r="FE8" s="175"/>
      <c r="FF8" s="175"/>
      <c r="FG8" s="175"/>
      <c r="FH8" s="175"/>
      <c r="FI8" s="175"/>
      <c r="FJ8" s="175"/>
      <c r="FK8" s="175"/>
      <c r="FL8" s="175"/>
      <c r="FM8" s="175"/>
      <c r="FN8" s="175"/>
      <c r="FO8" s="175"/>
      <c r="FP8" s="175"/>
      <c r="FQ8" s="175"/>
      <c r="FR8" s="175"/>
      <c r="FS8" s="175"/>
      <c r="FT8" s="175"/>
      <c r="FU8" s="175"/>
      <c r="FV8" s="175"/>
      <c r="FW8" s="175"/>
      <c r="FX8" s="175"/>
      <c r="FY8" s="175"/>
      <c r="FZ8" s="175"/>
      <c r="GA8" s="175"/>
      <c r="GB8" s="175"/>
      <c r="GC8" s="175"/>
      <c r="GD8" s="175"/>
      <c r="GE8" s="175"/>
      <c r="GF8" s="175"/>
      <c r="GG8" s="175"/>
      <c r="GH8" s="175"/>
      <c r="GI8" s="175"/>
      <c r="GJ8" s="175"/>
      <c r="GK8" s="175"/>
      <c r="GL8" s="175"/>
      <c r="GM8" s="175"/>
      <c r="GN8" s="175"/>
      <c r="GO8" s="175"/>
      <c r="GP8" s="175"/>
      <c r="GQ8" s="175"/>
    </row>
    <row r="9" spans="1:199">
      <c r="B9" s="219" t="s">
        <v>419</v>
      </c>
      <c r="C9" s="220"/>
      <c r="D9" s="220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21"/>
      <c r="AY9" s="221"/>
      <c r="AZ9" s="221"/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221"/>
      <c r="BU9" s="221"/>
      <c r="BV9" s="221"/>
      <c r="BW9" s="221"/>
      <c r="BX9" s="221"/>
      <c r="BY9" s="221"/>
      <c r="BZ9" s="221"/>
      <c r="CA9" s="221"/>
      <c r="CB9" s="221"/>
      <c r="CC9" s="221"/>
      <c r="CD9" s="221"/>
      <c r="CE9" s="221"/>
      <c r="CF9" s="221"/>
      <c r="CG9" s="221"/>
      <c r="CH9" s="221"/>
      <c r="CI9" s="221"/>
      <c r="CJ9" s="221"/>
      <c r="CK9" s="221"/>
      <c r="CL9" s="221"/>
      <c r="CM9" s="221"/>
      <c r="CN9" s="221"/>
      <c r="CO9" s="221"/>
      <c r="CP9" s="221"/>
      <c r="CQ9" s="221"/>
      <c r="CR9" s="221"/>
      <c r="CS9" s="221"/>
      <c r="CT9" s="221"/>
      <c r="CU9" s="221"/>
      <c r="CV9" s="221"/>
      <c r="CW9" s="221"/>
      <c r="CX9" s="221"/>
      <c r="CY9" s="221"/>
      <c r="CZ9" s="221"/>
      <c r="DA9" s="221"/>
      <c r="DB9" s="221"/>
      <c r="DC9" s="221"/>
      <c r="DD9" s="221"/>
      <c r="DE9" s="221"/>
      <c r="DF9" s="221"/>
      <c r="DG9" s="221"/>
      <c r="DH9" s="221"/>
      <c r="DI9" s="221"/>
      <c r="DJ9" s="221"/>
      <c r="DK9" s="175"/>
      <c r="DL9" s="175"/>
      <c r="DM9" s="175"/>
      <c r="DN9" s="175"/>
      <c r="DO9" s="175"/>
      <c r="DP9" s="175"/>
      <c r="DQ9" s="175"/>
      <c r="DR9" s="175"/>
      <c r="DS9" s="175"/>
      <c r="DT9" s="175"/>
      <c r="DU9" s="175"/>
      <c r="DV9" s="175"/>
      <c r="DW9" s="175"/>
      <c r="DX9" s="175"/>
      <c r="DY9" s="175"/>
      <c r="DZ9" s="175"/>
      <c r="EA9" s="175"/>
      <c r="EB9" s="175"/>
      <c r="EC9" s="175"/>
      <c r="ED9" s="175"/>
      <c r="EE9" s="175"/>
      <c r="EF9" s="175"/>
      <c r="EG9" s="175"/>
      <c r="EH9" s="175"/>
      <c r="EI9" s="175"/>
      <c r="EJ9" s="175"/>
      <c r="EK9" s="175"/>
      <c r="EL9" s="175"/>
      <c r="EM9" s="175"/>
      <c r="EN9" s="175"/>
      <c r="EO9" s="175"/>
      <c r="EP9" s="175"/>
      <c r="EQ9" s="175"/>
      <c r="ER9" s="175"/>
      <c r="ES9" s="175"/>
      <c r="ET9" s="175"/>
      <c r="EU9" s="175"/>
      <c r="EV9" s="175"/>
      <c r="EW9" s="175"/>
      <c r="EX9" s="175"/>
      <c r="EY9" s="175"/>
      <c r="EZ9" s="175"/>
      <c r="FA9" s="175"/>
      <c r="FB9" s="175"/>
      <c r="FC9" s="175"/>
      <c r="FD9" s="175"/>
      <c r="FE9" s="175"/>
      <c r="FF9" s="175"/>
      <c r="FG9" s="175"/>
      <c r="FH9" s="175"/>
      <c r="FI9" s="175"/>
      <c r="FJ9" s="175"/>
      <c r="FK9" s="175"/>
      <c r="FL9" s="175"/>
      <c r="FM9" s="175"/>
      <c r="FN9" s="175"/>
      <c r="FO9" s="175"/>
      <c r="FP9" s="175"/>
      <c r="FQ9" s="175"/>
      <c r="FR9" s="175"/>
      <c r="FS9" s="175"/>
      <c r="FT9" s="175"/>
      <c r="FU9" s="175"/>
      <c r="FV9" s="175"/>
      <c r="FW9" s="175"/>
      <c r="FX9" s="175"/>
      <c r="FY9" s="175"/>
      <c r="FZ9" s="175"/>
      <c r="GA9" s="175"/>
      <c r="GB9" s="175"/>
      <c r="GC9" s="175"/>
      <c r="GD9" s="175"/>
      <c r="GE9" s="175"/>
      <c r="GF9" s="175"/>
      <c r="GG9" s="175"/>
      <c r="GH9" s="175"/>
      <c r="GI9" s="175"/>
      <c r="GJ9" s="175"/>
      <c r="GK9" s="175"/>
      <c r="GL9" s="175"/>
      <c r="GM9" s="175"/>
      <c r="GN9" s="175"/>
      <c r="GO9" s="175"/>
      <c r="GP9" s="175"/>
      <c r="GQ9" s="175"/>
    </row>
    <row r="10" spans="1:199" hidden="1" outlineLevel="1">
      <c r="B10" s="182" t="s">
        <v>418</v>
      </c>
      <c r="C10" s="155"/>
      <c r="D10" s="165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7"/>
      <c r="BD10" s="177"/>
      <c r="BE10" s="177"/>
      <c r="BF10" s="177"/>
      <c r="BG10" s="177"/>
      <c r="BH10" s="177"/>
      <c r="BI10" s="177"/>
      <c r="BJ10" s="177"/>
      <c r="BK10" s="177"/>
      <c r="BL10" s="177"/>
      <c r="BM10" s="177"/>
      <c r="BN10" s="177"/>
      <c r="BO10" s="177"/>
      <c r="BP10" s="177"/>
      <c r="BQ10" s="177"/>
      <c r="BR10" s="177"/>
      <c r="BS10" s="177"/>
      <c r="BT10" s="177"/>
      <c r="BU10" s="177"/>
      <c r="BV10" s="177"/>
      <c r="BW10" s="177"/>
      <c r="BX10" s="177"/>
      <c r="BY10" s="177"/>
      <c r="BZ10" s="177"/>
      <c r="CA10" s="177"/>
      <c r="CB10" s="177"/>
      <c r="CC10" s="177"/>
      <c r="CD10" s="177"/>
      <c r="CE10" s="177"/>
      <c r="CF10" s="177"/>
      <c r="CG10" s="177"/>
      <c r="CH10" s="177"/>
      <c r="CI10" s="177"/>
      <c r="CJ10" s="177"/>
      <c r="CK10" s="177"/>
      <c r="CL10" s="177"/>
      <c r="CM10" s="177"/>
      <c r="CN10" s="177"/>
      <c r="CO10" s="177"/>
      <c r="CP10" s="177"/>
      <c r="CQ10" s="177"/>
      <c r="CR10" s="177"/>
      <c r="CS10" s="177"/>
      <c r="CT10" s="177"/>
      <c r="CU10" s="177"/>
      <c r="CV10" s="177"/>
      <c r="CW10" s="177"/>
      <c r="CX10" s="177"/>
      <c r="CY10" s="177"/>
      <c r="CZ10" s="177"/>
      <c r="DA10" s="177"/>
      <c r="DB10" s="177"/>
      <c r="DC10" s="177"/>
      <c r="DD10" s="177"/>
      <c r="DE10" s="177"/>
      <c r="DF10" s="177"/>
      <c r="DG10" s="177"/>
      <c r="DH10" s="177"/>
      <c r="DI10" s="177"/>
      <c r="DJ10" s="177"/>
      <c r="DK10" s="177"/>
      <c r="DL10" s="177"/>
      <c r="DM10" s="177"/>
      <c r="DN10" s="177"/>
      <c r="DO10" s="177"/>
      <c r="DP10" s="177"/>
      <c r="DQ10" s="177"/>
      <c r="DR10" s="177"/>
      <c r="DS10" s="177"/>
      <c r="DT10" s="177"/>
      <c r="DU10" s="177"/>
      <c r="DV10" s="177"/>
      <c r="DW10" s="177"/>
      <c r="DX10" s="177"/>
      <c r="DY10" s="177"/>
      <c r="DZ10" s="177"/>
      <c r="EA10" s="177"/>
      <c r="EB10" s="177"/>
      <c r="EC10" s="177"/>
      <c r="ED10" s="177"/>
      <c r="EE10" s="177"/>
      <c r="EF10" s="177"/>
      <c r="EG10" s="177"/>
      <c r="EH10" s="177"/>
      <c r="EI10" s="177"/>
      <c r="EJ10" s="177"/>
      <c r="EK10" s="177"/>
      <c r="EL10" s="177"/>
      <c r="EM10" s="177"/>
      <c r="EN10" s="177"/>
      <c r="EO10" s="177"/>
      <c r="EP10" s="177"/>
      <c r="EQ10" s="177"/>
      <c r="ER10" s="177"/>
      <c r="ES10" s="177"/>
      <c r="ET10" s="177"/>
      <c r="EU10" s="177"/>
      <c r="EV10" s="177"/>
      <c r="EW10" s="177"/>
      <c r="EX10" s="177"/>
      <c r="EY10" s="177"/>
      <c r="EZ10" s="177"/>
      <c r="FA10" s="177"/>
      <c r="FB10" s="177"/>
      <c r="FC10" s="177"/>
      <c r="FD10" s="177"/>
      <c r="FE10" s="177"/>
      <c r="FF10" s="177"/>
      <c r="FG10" s="177"/>
      <c r="FH10" s="177"/>
      <c r="FI10" s="177"/>
      <c r="FJ10" s="177"/>
      <c r="FK10" s="177"/>
      <c r="FL10" s="177"/>
      <c r="FM10" s="177"/>
      <c r="FN10" s="177"/>
      <c r="FO10" s="177"/>
      <c r="FP10" s="177"/>
      <c r="FQ10" s="177"/>
      <c r="FR10" s="177"/>
      <c r="FS10" s="177"/>
      <c r="FT10" s="177"/>
      <c r="FU10" s="177"/>
      <c r="FV10" s="177"/>
      <c r="FW10" s="177"/>
      <c r="FX10" s="177"/>
      <c r="FY10" s="177"/>
      <c r="FZ10" s="177"/>
      <c r="GA10" s="177"/>
      <c r="GB10" s="177"/>
      <c r="GC10" s="177"/>
      <c r="GD10" s="177"/>
      <c r="GE10" s="177"/>
      <c r="GF10" s="177"/>
      <c r="GG10" s="177"/>
      <c r="GH10" s="177"/>
      <c r="GI10" s="177"/>
      <c r="GJ10" s="177"/>
      <c r="GK10" s="177"/>
      <c r="GL10" s="177"/>
      <c r="GM10" s="177"/>
      <c r="GN10" s="177"/>
      <c r="GO10" s="177"/>
      <c r="GP10" s="177"/>
      <c r="GQ10" s="177"/>
    </row>
    <row r="11" spans="1:199" hidden="1" outlineLevel="1">
      <c r="B11" s="182" t="s">
        <v>389</v>
      </c>
      <c r="C11" s="155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6"/>
      <c r="AU11" s="166"/>
      <c r="AV11" s="166"/>
      <c r="AW11" s="166"/>
      <c r="AX11" s="166"/>
      <c r="AY11" s="166"/>
      <c r="AZ11" s="166"/>
      <c r="BA11" s="166"/>
      <c r="BB11" s="166"/>
      <c r="BC11" s="166"/>
      <c r="BD11" s="166"/>
      <c r="BE11" s="166"/>
      <c r="BF11" s="166"/>
      <c r="BG11" s="16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66"/>
      <c r="CJ11" s="166"/>
      <c r="CK11" s="166"/>
      <c r="CL11" s="166"/>
      <c r="CM11" s="166"/>
      <c r="CN11" s="166"/>
      <c r="CO11" s="166"/>
      <c r="CP11" s="166"/>
      <c r="CQ11" s="166"/>
      <c r="CR11" s="166"/>
      <c r="CS11" s="166"/>
      <c r="CT11" s="166"/>
      <c r="CU11" s="166"/>
      <c r="CV11" s="166"/>
      <c r="CW11" s="166"/>
      <c r="CX11" s="166"/>
      <c r="CY11" s="166"/>
      <c r="CZ11" s="166"/>
      <c r="DA11" s="166"/>
      <c r="DB11" s="166"/>
      <c r="DC11" s="166"/>
      <c r="DD11" s="166"/>
      <c r="DE11" s="166"/>
      <c r="DF11" s="166"/>
      <c r="DG11" s="166"/>
      <c r="DH11" s="166"/>
      <c r="DI11" s="166"/>
      <c r="DJ11" s="166"/>
      <c r="DK11" s="166"/>
      <c r="DL11" s="166"/>
      <c r="DM11" s="166"/>
      <c r="DN11" s="166"/>
      <c r="DO11" s="166"/>
      <c r="DP11" s="166"/>
      <c r="DQ11" s="166"/>
      <c r="DR11" s="166"/>
      <c r="DS11" s="166"/>
      <c r="DT11" s="166"/>
      <c r="DU11" s="166"/>
      <c r="DV11" s="166"/>
      <c r="DW11" s="166"/>
      <c r="DX11" s="166"/>
      <c r="DY11" s="166"/>
      <c r="DZ11" s="166"/>
      <c r="EA11" s="166"/>
      <c r="EB11" s="166"/>
      <c r="EC11" s="166"/>
      <c r="ED11" s="166"/>
      <c r="EE11" s="166"/>
      <c r="EF11" s="166"/>
      <c r="EG11" s="166"/>
      <c r="EH11" s="166"/>
      <c r="EI11" s="166"/>
      <c r="EJ11" s="166"/>
      <c r="EK11" s="166"/>
      <c r="EL11" s="166"/>
      <c r="EM11" s="166"/>
      <c r="EN11" s="166"/>
      <c r="EO11" s="166"/>
      <c r="EP11" s="166"/>
      <c r="EQ11" s="166"/>
      <c r="ER11" s="166"/>
      <c r="ES11" s="166"/>
      <c r="ET11" s="166"/>
      <c r="EU11" s="166"/>
      <c r="EV11" s="166"/>
      <c r="EW11" s="166"/>
      <c r="EX11" s="166"/>
      <c r="EY11" s="166"/>
      <c r="EZ11" s="166"/>
      <c r="FA11" s="166"/>
      <c r="FB11" s="166"/>
      <c r="FC11" s="166"/>
      <c r="FD11" s="166"/>
      <c r="FE11" s="166"/>
      <c r="FF11" s="166"/>
      <c r="FG11" s="166"/>
      <c r="FH11" s="166"/>
      <c r="FI11" s="166"/>
      <c r="FJ11" s="166"/>
      <c r="FK11" s="166"/>
      <c r="FL11" s="166"/>
      <c r="FM11" s="166"/>
      <c r="FN11" s="166"/>
      <c r="FO11" s="166"/>
      <c r="FP11" s="166"/>
      <c r="FQ11" s="166"/>
      <c r="FR11" s="166"/>
      <c r="FS11" s="166"/>
      <c r="FT11" s="166"/>
      <c r="FU11" s="166"/>
      <c r="FV11" s="166"/>
      <c r="FW11" s="166"/>
      <c r="FX11" s="166"/>
      <c r="FY11" s="166"/>
      <c r="FZ11" s="166"/>
      <c r="GA11" s="166"/>
      <c r="GB11" s="166"/>
      <c r="GC11" s="166"/>
      <c r="GD11" s="166"/>
      <c r="GE11" s="166"/>
      <c r="GF11" s="166"/>
      <c r="GG11" s="166"/>
      <c r="GH11" s="166"/>
      <c r="GI11" s="166"/>
      <c r="GJ11" s="166"/>
      <c r="GK11" s="166"/>
      <c r="GL11" s="166"/>
      <c r="GM11" s="166"/>
      <c r="GN11" s="166"/>
      <c r="GO11" s="166"/>
      <c r="GP11" s="166"/>
      <c r="GQ11" s="166"/>
    </row>
    <row r="12" spans="1:199" hidden="1" outlineLevel="1">
      <c r="B12" s="182" t="s">
        <v>390</v>
      </c>
      <c r="C12" s="166"/>
      <c r="D12" s="162"/>
      <c r="E12" s="228"/>
      <c r="F12" s="166"/>
      <c r="G12" s="317"/>
      <c r="H12" s="317"/>
      <c r="I12" s="317"/>
      <c r="J12" s="317"/>
      <c r="K12" s="317"/>
      <c r="L12" s="317"/>
      <c r="M12" s="317"/>
      <c r="N12" s="317"/>
      <c r="O12" s="317"/>
      <c r="P12" s="317"/>
      <c r="Q12" s="317"/>
      <c r="R12" s="317"/>
      <c r="S12" s="317"/>
      <c r="T12" s="317"/>
      <c r="U12" s="317"/>
      <c r="V12" s="317"/>
      <c r="W12" s="317"/>
      <c r="X12" s="317"/>
      <c r="Y12" s="317"/>
      <c r="Z12" s="317"/>
      <c r="AA12" s="317"/>
      <c r="AB12" s="317"/>
      <c r="AC12" s="317"/>
      <c r="AD12" s="317"/>
      <c r="AE12" s="317"/>
      <c r="AF12" s="317"/>
      <c r="AG12" s="317"/>
      <c r="AH12" s="317"/>
      <c r="AI12" s="317"/>
      <c r="AJ12" s="317"/>
      <c r="AK12" s="317"/>
      <c r="AL12" s="317"/>
      <c r="AM12" s="317"/>
      <c r="AN12" s="317"/>
      <c r="AO12" s="317"/>
      <c r="AP12" s="317"/>
      <c r="AQ12" s="317"/>
      <c r="AR12" s="317"/>
      <c r="AS12" s="317"/>
      <c r="AT12" s="317"/>
      <c r="AU12" s="317"/>
      <c r="AV12" s="317"/>
      <c r="AW12" s="317"/>
      <c r="AX12" s="317"/>
      <c r="AY12" s="317"/>
      <c r="AZ12" s="317"/>
      <c r="BA12" s="317"/>
      <c r="BB12" s="317"/>
      <c r="BC12" s="317"/>
      <c r="BD12" s="317"/>
      <c r="BE12" s="317"/>
      <c r="BF12" s="317"/>
      <c r="BG12" s="317"/>
      <c r="BH12" s="317"/>
      <c r="BI12" s="317"/>
      <c r="BJ12" s="317"/>
      <c r="BK12" s="317"/>
      <c r="BL12" s="317"/>
      <c r="BM12" s="317"/>
      <c r="BN12" s="317"/>
      <c r="BO12" s="317"/>
      <c r="BP12" s="317"/>
      <c r="BQ12" s="317"/>
      <c r="BR12" s="317"/>
      <c r="BS12" s="317"/>
      <c r="BT12" s="317"/>
      <c r="BU12" s="317"/>
      <c r="BV12" s="317"/>
      <c r="BW12" s="317"/>
      <c r="BX12" s="317"/>
      <c r="BY12" s="317"/>
      <c r="BZ12" s="317"/>
      <c r="CA12" s="317"/>
      <c r="CB12" s="317"/>
      <c r="CC12" s="317"/>
      <c r="CD12" s="317"/>
      <c r="CE12" s="317"/>
      <c r="CF12" s="317"/>
      <c r="CG12" s="317"/>
      <c r="CH12" s="317"/>
      <c r="CI12" s="317"/>
      <c r="CJ12" s="317"/>
      <c r="CK12" s="317"/>
      <c r="CL12" s="317"/>
      <c r="CM12" s="317"/>
      <c r="CN12" s="317"/>
      <c r="CO12" s="317"/>
      <c r="CP12" s="317"/>
      <c r="CQ12" s="317"/>
      <c r="CR12" s="317"/>
      <c r="CS12" s="317"/>
      <c r="CT12" s="317"/>
      <c r="CU12" s="317"/>
      <c r="CV12" s="317"/>
      <c r="CW12" s="317"/>
      <c r="CX12" s="317"/>
      <c r="CY12" s="317"/>
      <c r="CZ12" s="317"/>
      <c r="DA12" s="317"/>
      <c r="DB12" s="317"/>
      <c r="DC12" s="317"/>
      <c r="DD12" s="317"/>
      <c r="DE12" s="317"/>
      <c r="DF12" s="317"/>
      <c r="DG12" s="317"/>
      <c r="DH12" s="317"/>
      <c r="DI12" s="317"/>
      <c r="DJ12" s="317"/>
      <c r="DK12" s="166"/>
      <c r="DL12" s="166"/>
      <c r="DM12" s="166"/>
      <c r="DN12" s="166"/>
      <c r="DO12" s="166"/>
      <c r="DP12" s="166"/>
      <c r="DQ12" s="166"/>
      <c r="DR12" s="166"/>
      <c r="DS12" s="166"/>
      <c r="DT12" s="166"/>
      <c r="DU12" s="166"/>
      <c r="DV12" s="166"/>
      <c r="DW12" s="166"/>
      <c r="DX12" s="166"/>
      <c r="DY12" s="166"/>
      <c r="DZ12" s="166"/>
      <c r="EA12" s="166"/>
      <c r="EB12" s="166"/>
      <c r="EC12" s="166"/>
      <c r="ED12" s="166"/>
      <c r="EE12" s="166"/>
      <c r="EF12" s="166"/>
      <c r="EG12" s="166"/>
      <c r="EH12" s="166"/>
      <c r="EI12" s="166"/>
      <c r="EJ12" s="166"/>
      <c r="EK12" s="166"/>
      <c r="EL12" s="166"/>
      <c r="EM12" s="166"/>
      <c r="EN12" s="166"/>
      <c r="EO12" s="166"/>
      <c r="EP12" s="166"/>
      <c r="EQ12" s="166"/>
      <c r="ER12" s="166"/>
      <c r="ES12" s="166"/>
      <c r="ET12" s="166"/>
      <c r="EU12" s="166"/>
      <c r="EV12" s="166"/>
      <c r="EW12" s="166"/>
      <c r="EX12" s="166"/>
      <c r="EY12" s="166"/>
      <c r="EZ12" s="166"/>
      <c r="FA12" s="166"/>
      <c r="FB12" s="166"/>
      <c r="FC12" s="166"/>
      <c r="FD12" s="166"/>
      <c r="FE12" s="166"/>
      <c r="FF12" s="166"/>
      <c r="FG12" s="166"/>
      <c r="FH12" s="166"/>
      <c r="FI12" s="166"/>
      <c r="FJ12" s="166"/>
      <c r="FK12" s="166"/>
      <c r="FL12" s="166"/>
      <c r="FM12" s="166"/>
      <c r="FN12" s="166"/>
      <c r="FO12" s="166"/>
      <c r="FP12" s="166"/>
      <c r="FQ12" s="166"/>
      <c r="FR12" s="166"/>
      <c r="FS12" s="166"/>
      <c r="FT12" s="166"/>
      <c r="FU12" s="166"/>
      <c r="FV12" s="166"/>
      <c r="FW12" s="166"/>
      <c r="FX12" s="166"/>
      <c r="FY12" s="166"/>
      <c r="FZ12" s="166"/>
      <c r="GA12" s="166"/>
      <c r="GB12" s="166"/>
      <c r="GC12" s="166"/>
      <c r="GD12" s="166"/>
      <c r="GE12" s="166"/>
      <c r="GF12" s="166"/>
      <c r="GG12" s="166"/>
      <c r="GH12" s="166"/>
      <c r="GI12" s="166"/>
      <c r="GJ12" s="166"/>
      <c r="GK12" s="166"/>
      <c r="GL12" s="166"/>
      <c r="GM12" s="166"/>
      <c r="GN12" s="166"/>
      <c r="GO12" s="166"/>
      <c r="GP12" s="166"/>
      <c r="GQ12" s="166"/>
    </row>
    <row r="13" spans="1:199" hidden="1" outlineLevel="1">
      <c r="B13" s="182" t="s">
        <v>391</v>
      </c>
      <c r="C13" s="166"/>
      <c r="D13" s="162"/>
      <c r="E13" s="228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66"/>
      <c r="CJ13" s="166"/>
      <c r="CK13" s="166"/>
      <c r="CL13" s="166"/>
      <c r="CM13" s="166"/>
      <c r="CN13" s="166"/>
      <c r="CO13" s="166"/>
      <c r="CP13" s="166"/>
      <c r="CQ13" s="166"/>
      <c r="CR13" s="166"/>
      <c r="CS13" s="166"/>
      <c r="CT13" s="166"/>
      <c r="CU13" s="166"/>
      <c r="CV13" s="166"/>
      <c r="CW13" s="166"/>
      <c r="CX13" s="166"/>
      <c r="CY13" s="166"/>
      <c r="CZ13" s="166"/>
      <c r="DA13" s="166"/>
      <c r="DB13" s="166"/>
      <c r="DC13" s="166"/>
      <c r="DD13" s="166"/>
      <c r="DE13" s="166"/>
      <c r="DF13" s="166"/>
      <c r="DG13" s="166"/>
      <c r="DH13" s="166"/>
      <c r="DI13" s="166"/>
      <c r="DJ13" s="166"/>
      <c r="DK13" s="166"/>
      <c r="DL13" s="166"/>
      <c r="DM13" s="166"/>
      <c r="DN13" s="166"/>
      <c r="DO13" s="166"/>
      <c r="DP13" s="166"/>
      <c r="DQ13" s="166"/>
      <c r="DR13" s="166"/>
      <c r="DS13" s="166"/>
      <c r="DT13" s="166"/>
      <c r="DU13" s="166"/>
      <c r="DV13" s="166"/>
      <c r="DW13" s="166"/>
      <c r="DX13" s="166"/>
      <c r="DY13" s="166"/>
      <c r="DZ13" s="166"/>
      <c r="EA13" s="166"/>
      <c r="EB13" s="166"/>
      <c r="EC13" s="166"/>
      <c r="ED13" s="166"/>
      <c r="EE13" s="166"/>
      <c r="EF13" s="166"/>
      <c r="EG13" s="166"/>
      <c r="EH13" s="166"/>
      <c r="EI13" s="166"/>
      <c r="EJ13" s="166"/>
      <c r="EK13" s="166"/>
      <c r="EL13" s="166"/>
      <c r="EM13" s="166"/>
      <c r="EN13" s="166"/>
      <c r="EO13" s="166"/>
      <c r="EP13" s="166"/>
      <c r="EQ13" s="166"/>
      <c r="ER13" s="166"/>
      <c r="ES13" s="166"/>
      <c r="ET13" s="166"/>
      <c r="EU13" s="166"/>
      <c r="EV13" s="166"/>
      <c r="EW13" s="166"/>
      <c r="EX13" s="166"/>
      <c r="EY13" s="166"/>
      <c r="EZ13" s="166"/>
      <c r="FA13" s="166"/>
      <c r="FB13" s="166"/>
      <c r="FC13" s="166"/>
      <c r="FD13" s="166"/>
      <c r="FE13" s="166"/>
      <c r="FF13" s="166"/>
      <c r="FG13" s="166"/>
      <c r="FH13" s="166"/>
      <c r="FI13" s="166"/>
      <c r="FJ13" s="166"/>
      <c r="FK13" s="166"/>
      <c r="FL13" s="166"/>
      <c r="FM13" s="166"/>
      <c r="FN13" s="166"/>
      <c r="FO13" s="166"/>
      <c r="FP13" s="166"/>
      <c r="FQ13" s="166"/>
      <c r="FR13" s="166"/>
      <c r="FS13" s="166"/>
      <c r="FT13" s="166"/>
      <c r="FU13" s="166"/>
      <c r="FV13" s="166"/>
      <c r="FW13" s="166"/>
      <c r="FX13" s="166"/>
      <c r="FY13" s="166"/>
      <c r="FZ13" s="166"/>
      <c r="GA13" s="166"/>
      <c r="GB13" s="166"/>
      <c r="GC13" s="166"/>
      <c r="GD13" s="166"/>
      <c r="GE13" s="166"/>
      <c r="GF13" s="166"/>
      <c r="GG13" s="166"/>
      <c r="GH13" s="166"/>
      <c r="GI13" s="166"/>
      <c r="GJ13" s="166"/>
      <c r="GK13" s="166"/>
      <c r="GL13" s="166"/>
      <c r="GM13" s="166"/>
      <c r="GN13" s="166"/>
      <c r="GO13" s="166"/>
      <c r="GP13" s="166"/>
      <c r="GQ13" s="166"/>
    </row>
    <row r="14" spans="1:199" hidden="1" outlineLevel="1">
      <c r="B14" s="182" t="s">
        <v>392</v>
      </c>
      <c r="C14" s="155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66"/>
      <c r="CJ14" s="166"/>
      <c r="CK14" s="166"/>
      <c r="CL14" s="166"/>
      <c r="CM14" s="166"/>
      <c r="CN14" s="166"/>
      <c r="CO14" s="166"/>
      <c r="CP14" s="166"/>
      <c r="CQ14" s="166"/>
      <c r="CR14" s="166"/>
      <c r="CS14" s="166"/>
      <c r="CT14" s="166"/>
      <c r="CU14" s="166"/>
      <c r="CV14" s="166"/>
      <c r="CW14" s="166"/>
      <c r="CX14" s="166"/>
      <c r="CY14" s="166"/>
      <c r="CZ14" s="166"/>
      <c r="DA14" s="166"/>
      <c r="DB14" s="166"/>
      <c r="DC14" s="166"/>
      <c r="DD14" s="166"/>
      <c r="DE14" s="166"/>
      <c r="DF14" s="166"/>
      <c r="DG14" s="166"/>
      <c r="DH14" s="166"/>
      <c r="DI14" s="166"/>
      <c r="DJ14" s="166"/>
      <c r="DK14" s="166"/>
      <c r="DL14" s="166"/>
      <c r="DM14" s="166"/>
      <c r="DN14" s="166"/>
      <c r="DO14" s="166"/>
      <c r="DP14" s="166"/>
      <c r="DQ14" s="166"/>
      <c r="DR14" s="166"/>
      <c r="DS14" s="166"/>
      <c r="DT14" s="166"/>
      <c r="DU14" s="166"/>
      <c r="DV14" s="166"/>
      <c r="DW14" s="166"/>
      <c r="DX14" s="166"/>
      <c r="DY14" s="166"/>
      <c r="DZ14" s="166"/>
      <c r="EA14" s="166"/>
      <c r="EB14" s="166"/>
      <c r="EC14" s="166"/>
      <c r="ED14" s="166"/>
      <c r="EE14" s="166"/>
      <c r="EF14" s="166"/>
      <c r="EG14" s="166"/>
      <c r="EH14" s="166"/>
      <c r="EI14" s="166"/>
      <c r="EJ14" s="166"/>
      <c r="EK14" s="166"/>
      <c r="EL14" s="166"/>
      <c r="EM14" s="166"/>
      <c r="EN14" s="166"/>
      <c r="EO14" s="166"/>
      <c r="EP14" s="166"/>
      <c r="EQ14" s="166"/>
      <c r="ER14" s="166"/>
      <c r="ES14" s="166"/>
      <c r="ET14" s="166"/>
      <c r="EU14" s="166"/>
      <c r="EV14" s="166"/>
      <c r="EW14" s="166"/>
      <c r="EX14" s="166"/>
      <c r="EY14" s="166"/>
      <c r="EZ14" s="166"/>
      <c r="FA14" s="166"/>
      <c r="FB14" s="166"/>
      <c r="FC14" s="166"/>
      <c r="FD14" s="166"/>
      <c r="FE14" s="166"/>
      <c r="FF14" s="166"/>
      <c r="FG14" s="166"/>
      <c r="FH14" s="166"/>
      <c r="FI14" s="166"/>
      <c r="FJ14" s="166"/>
      <c r="FK14" s="166"/>
      <c r="FL14" s="166"/>
      <c r="FM14" s="166"/>
      <c r="FN14" s="166"/>
      <c r="FO14" s="166"/>
      <c r="FP14" s="166"/>
      <c r="FQ14" s="166"/>
      <c r="FR14" s="166"/>
      <c r="FS14" s="166"/>
      <c r="FT14" s="166"/>
      <c r="FU14" s="166"/>
      <c r="FV14" s="166"/>
      <c r="FW14" s="166"/>
      <c r="FX14" s="166"/>
      <c r="FY14" s="166"/>
      <c r="FZ14" s="166"/>
      <c r="GA14" s="166"/>
      <c r="GB14" s="166"/>
      <c r="GC14" s="166"/>
      <c r="GD14" s="166"/>
      <c r="GE14" s="166"/>
      <c r="GF14" s="166"/>
      <c r="GG14" s="166"/>
      <c r="GH14" s="166"/>
      <c r="GI14" s="166"/>
      <c r="GJ14" s="166"/>
      <c r="GK14" s="166"/>
      <c r="GL14" s="166"/>
      <c r="GM14" s="166"/>
      <c r="GN14" s="166"/>
      <c r="GO14" s="166"/>
      <c r="GP14" s="166"/>
      <c r="GQ14" s="166"/>
    </row>
    <row r="15" spans="1:199" hidden="1" outlineLevel="1">
      <c r="B15" s="182" t="s">
        <v>393</v>
      </c>
      <c r="C15" s="155"/>
      <c r="D15" s="166"/>
      <c r="E15" s="166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7"/>
      <c r="BK15" s="177"/>
      <c r="BL15" s="177"/>
      <c r="BM15" s="177"/>
      <c r="BN15" s="177"/>
      <c r="BO15" s="177"/>
      <c r="BP15" s="177"/>
      <c r="BQ15" s="177"/>
      <c r="BR15" s="177"/>
      <c r="BS15" s="177"/>
      <c r="BT15" s="177"/>
      <c r="BU15" s="177"/>
      <c r="BV15" s="177"/>
      <c r="BW15" s="177"/>
      <c r="BX15" s="177"/>
      <c r="BY15" s="177"/>
      <c r="BZ15" s="177"/>
      <c r="CA15" s="177"/>
      <c r="CB15" s="177"/>
      <c r="CC15" s="177"/>
      <c r="CD15" s="177"/>
      <c r="CE15" s="177"/>
      <c r="CF15" s="177"/>
      <c r="CG15" s="177"/>
      <c r="CH15" s="177"/>
      <c r="CI15" s="177"/>
      <c r="CJ15" s="177"/>
      <c r="CK15" s="177"/>
      <c r="CL15" s="177"/>
      <c r="CM15" s="177"/>
      <c r="CN15" s="177"/>
      <c r="CO15" s="177"/>
      <c r="CP15" s="177"/>
      <c r="CQ15" s="177"/>
      <c r="CR15" s="177"/>
      <c r="CS15" s="177"/>
      <c r="CT15" s="177"/>
      <c r="CU15" s="177"/>
      <c r="CV15" s="177"/>
      <c r="CW15" s="177"/>
      <c r="CX15" s="177"/>
      <c r="CY15" s="177"/>
      <c r="CZ15" s="177"/>
      <c r="DA15" s="177"/>
      <c r="DB15" s="177"/>
      <c r="DC15" s="177"/>
      <c r="DD15" s="177"/>
      <c r="DE15" s="177"/>
      <c r="DF15" s="177"/>
      <c r="DG15" s="177"/>
      <c r="DH15" s="177"/>
      <c r="DI15" s="177"/>
      <c r="DJ15" s="177"/>
      <c r="DK15" s="166"/>
      <c r="DL15" s="166"/>
      <c r="DM15" s="166"/>
      <c r="DN15" s="166"/>
      <c r="DO15" s="166"/>
      <c r="DP15" s="166"/>
      <c r="DQ15" s="166"/>
      <c r="DR15" s="166"/>
      <c r="DS15" s="166"/>
      <c r="DT15" s="166"/>
      <c r="DU15" s="166"/>
      <c r="DV15" s="166"/>
      <c r="DW15" s="166"/>
      <c r="DX15" s="166"/>
      <c r="DY15" s="166"/>
      <c r="DZ15" s="166"/>
      <c r="EA15" s="166"/>
      <c r="EB15" s="166"/>
      <c r="EC15" s="166"/>
      <c r="ED15" s="166"/>
      <c r="EE15" s="166"/>
      <c r="EF15" s="166"/>
      <c r="EG15" s="166"/>
      <c r="EH15" s="166"/>
      <c r="EI15" s="166"/>
      <c r="EJ15" s="166"/>
      <c r="EK15" s="166"/>
      <c r="EL15" s="166"/>
      <c r="EM15" s="166"/>
      <c r="EN15" s="166"/>
      <c r="EO15" s="166"/>
      <c r="EP15" s="166"/>
      <c r="EQ15" s="166"/>
      <c r="ER15" s="166"/>
      <c r="ES15" s="166"/>
      <c r="ET15" s="166"/>
      <c r="EU15" s="166"/>
      <c r="EV15" s="166"/>
      <c r="EW15" s="166"/>
      <c r="EX15" s="166"/>
      <c r="EY15" s="166"/>
      <c r="EZ15" s="166"/>
      <c r="FA15" s="166"/>
      <c r="FB15" s="166"/>
      <c r="FC15" s="166"/>
      <c r="FD15" s="166"/>
      <c r="FE15" s="166"/>
      <c r="FF15" s="166"/>
      <c r="FG15" s="166"/>
      <c r="FH15" s="166"/>
      <c r="FI15" s="166"/>
      <c r="FJ15" s="166"/>
      <c r="FK15" s="166"/>
      <c r="FL15" s="166"/>
      <c r="FM15" s="166"/>
      <c r="FN15" s="166"/>
      <c r="FO15" s="166"/>
      <c r="FP15" s="166"/>
      <c r="FQ15" s="166"/>
      <c r="FR15" s="166"/>
      <c r="FS15" s="166"/>
      <c r="FT15" s="166"/>
      <c r="FU15" s="166"/>
      <c r="FV15" s="166"/>
      <c r="FW15" s="166"/>
      <c r="FX15" s="166"/>
      <c r="FY15" s="166"/>
      <c r="FZ15" s="166"/>
      <c r="GA15" s="166"/>
      <c r="GB15" s="166"/>
      <c r="GC15" s="166"/>
      <c r="GD15" s="166"/>
      <c r="GE15" s="166"/>
      <c r="GF15" s="166"/>
      <c r="GG15" s="166"/>
      <c r="GH15" s="166"/>
      <c r="GI15" s="166"/>
      <c r="GJ15" s="166"/>
      <c r="GK15" s="166"/>
      <c r="GL15" s="166"/>
      <c r="GM15" s="166"/>
      <c r="GN15" s="166"/>
      <c r="GO15" s="166"/>
      <c r="GP15" s="166"/>
      <c r="GQ15" s="166"/>
    </row>
    <row r="16" spans="1:199" hidden="1" outlineLevel="1">
      <c r="B16" s="182" t="s">
        <v>407</v>
      </c>
      <c r="C16" s="155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178"/>
      <c r="BT16" s="178"/>
      <c r="BU16" s="178"/>
      <c r="BV16" s="178"/>
      <c r="BW16" s="178"/>
      <c r="BX16" s="178"/>
      <c r="BY16" s="178"/>
      <c r="BZ16" s="178"/>
      <c r="CA16" s="178"/>
      <c r="CB16" s="178"/>
      <c r="CC16" s="178"/>
      <c r="CD16" s="178"/>
      <c r="CE16" s="178"/>
      <c r="CF16" s="178"/>
      <c r="CG16" s="178"/>
      <c r="CH16" s="178"/>
      <c r="CI16" s="178"/>
      <c r="CJ16" s="178"/>
      <c r="CK16" s="178"/>
      <c r="CL16" s="178"/>
      <c r="CM16" s="178"/>
      <c r="CN16" s="178"/>
      <c r="CO16" s="178"/>
      <c r="CP16" s="178"/>
      <c r="CQ16" s="178"/>
      <c r="CR16" s="178"/>
      <c r="CS16" s="178"/>
      <c r="CT16" s="178"/>
      <c r="CU16" s="178"/>
      <c r="CV16" s="178"/>
      <c r="CW16" s="178"/>
      <c r="CX16" s="178"/>
      <c r="CY16" s="178"/>
      <c r="CZ16" s="178"/>
      <c r="DA16" s="178"/>
      <c r="DB16" s="178"/>
      <c r="DC16" s="178"/>
      <c r="DD16" s="178"/>
      <c r="DE16" s="178"/>
      <c r="DF16" s="178"/>
      <c r="DG16" s="178"/>
      <c r="DH16" s="178"/>
      <c r="DI16" s="178"/>
      <c r="DJ16" s="178"/>
      <c r="DK16" s="178"/>
      <c r="DL16" s="178"/>
      <c r="DM16" s="178"/>
      <c r="DN16" s="178"/>
      <c r="DO16" s="178"/>
      <c r="DP16" s="178"/>
      <c r="DQ16" s="178"/>
      <c r="DR16" s="178"/>
      <c r="DS16" s="178"/>
      <c r="DT16" s="178"/>
      <c r="DU16" s="178"/>
      <c r="DV16" s="178"/>
      <c r="DW16" s="178"/>
      <c r="DX16" s="178"/>
      <c r="DY16" s="178"/>
      <c r="DZ16" s="178"/>
      <c r="EA16" s="178"/>
      <c r="EB16" s="178"/>
      <c r="EC16" s="178"/>
      <c r="ED16" s="178"/>
      <c r="EE16" s="178"/>
      <c r="EF16" s="178"/>
      <c r="EG16" s="178"/>
      <c r="EH16" s="178"/>
      <c r="EI16" s="178"/>
      <c r="EJ16" s="178"/>
      <c r="EK16" s="178"/>
      <c r="EL16" s="178"/>
      <c r="EM16" s="178"/>
      <c r="EN16" s="178"/>
      <c r="EO16" s="178"/>
      <c r="EP16" s="178"/>
      <c r="EQ16" s="178"/>
      <c r="ER16" s="178"/>
      <c r="ES16" s="178"/>
      <c r="ET16" s="178"/>
      <c r="EU16" s="178"/>
      <c r="EV16" s="178"/>
      <c r="EW16" s="178"/>
      <c r="EX16" s="178"/>
      <c r="EY16" s="178"/>
      <c r="EZ16" s="178"/>
      <c r="FA16" s="178"/>
      <c r="FB16" s="178"/>
      <c r="FC16" s="178"/>
      <c r="FD16" s="178"/>
      <c r="FE16" s="178"/>
      <c r="FF16" s="178"/>
      <c r="FG16" s="178"/>
      <c r="FH16" s="178"/>
      <c r="FI16" s="178"/>
      <c r="FJ16" s="178"/>
      <c r="FK16" s="178"/>
      <c r="FL16" s="178"/>
      <c r="FM16" s="178"/>
      <c r="FN16" s="178"/>
      <c r="FO16" s="178"/>
      <c r="FP16" s="178"/>
      <c r="FQ16" s="178"/>
      <c r="FR16" s="178"/>
      <c r="FS16" s="178"/>
      <c r="FT16" s="178"/>
      <c r="FU16" s="178"/>
      <c r="FV16" s="178"/>
      <c r="FW16" s="178"/>
      <c r="FX16" s="178"/>
      <c r="FY16" s="178"/>
      <c r="FZ16" s="178"/>
      <c r="GA16" s="178"/>
      <c r="GB16" s="178"/>
      <c r="GC16" s="178"/>
      <c r="GD16" s="178"/>
      <c r="GE16" s="178"/>
      <c r="GF16" s="178"/>
      <c r="GG16" s="178"/>
      <c r="GH16" s="178"/>
      <c r="GI16" s="178"/>
      <c r="GJ16" s="178"/>
      <c r="GK16" s="178"/>
      <c r="GL16" s="178"/>
      <c r="GM16" s="178"/>
      <c r="GN16" s="178"/>
      <c r="GO16" s="178"/>
      <c r="GP16" s="178"/>
      <c r="GQ16" s="178"/>
    </row>
    <row r="17" spans="1:199" hidden="1" outlineLevel="1">
      <c r="B17" s="182" t="s">
        <v>408</v>
      </c>
      <c r="C17" s="155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79"/>
      <c r="AX17" s="179"/>
      <c r="AY17" s="179"/>
      <c r="AZ17" s="179"/>
      <c r="BA17" s="179"/>
      <c r="BB17" s="179"/>
      <c r="BC17" s="179"/>
      <c r="BD17" s="179"/>
      <c r="BE17" s="179"/>
      <c r="BF17" s="179"/>
      <c r="BG17" s="179"/>
      <c r="BH17" s="179"/>
      <c r="BI17" s="179"/>
      <c r="BJ17" s="179"/>
      <c r="BK17" s="179"/>
      <c r="BL17" s="179"/>
      <c r="BM17" s="179"/>
      <c r="BN17" s="179"/>
      <c r="BO17" s="179"/>
      <c r="BP17" s="179"/>
      <c r="BQ17" s="179"/>
      <c r="BR17" s="179"/>
      <c r="BS17" s="179"/>
      <c r="BT17" s="179"/>
      <c r="BU17" s="179"/>
      <c r="BV17" s="179"/>
      <c r="BW17" s="179"/>
      <c r="BX17" s="179"/>
      <c r="BY17" s="179"/>
      <c r="BZ17" s="179"/>
      <c r="CA17" s="179"/>
      <c r="CB17" s="179"/>
      <c r="CC17" s="179"/>
      <c r="CD17" s="179"/>
      <c r="CE17" s="179"/>
      <c r="CF17" s="179"/>
      <c r="CG17" s="179"/>
      <c r="CH17" s="179"/>
      <c r="CI17" s="179"/>
      <c r="CJ17" s="179"/>
      <c r="CK17" s="179"/>
      <c r="CL17" s="179"/>
      <c r="CM17" s="179"/>
      <c r="CN17" s="179"/>
      <c r="CO17" s="179"/>
      <c r="CP17" s="179"/>
      <c r="CQ17" s="179"/>
      <c r="CR17" s="179"/>
      <c r="CS17" s="179"/>
      <c r="CT17" s="179"/>
      <c r="CU17" s="179"/>
      <c r="CV17" s="179"/>
      <c r="CW17" s="179"/>
      <c r="CX17" s="179"/>
      <c r="CY17" s="179"/>
      <c r="CZ17" s="179"/>
      <c r="DA17" s="179"/>
      <c r="DB17" s="179"/>
      <c r="DC17" s="179"/>
      <c r="DD17" s="179"/>
      <c r="DE17" s="179"/>
      <c r="DF17" s="179"/>
      <c r="DG17" s="179"/>
      <c r="DH17" s="179"/>
      <c r="DI17" s="179"/>
      <c r="DJ17" s="179"/>
      <c r="DK17" s="179"/>
      <c r="DL17" s="179"/>
      <c r="DM17" s="179"/>
      <c r="DN17" s="179"/>
      <c r="DO17" s="179"/>
      <c r="DP17" s="179"/>
      <c r="DQ17" s="179"/>
      <c r="DR17" s="179"/>
      <c r="DS17" s="179"/>
      <c r="DT17" s="179"/>
      <c r="DU17" s="179"/>
      <c r="DV17" s="179"/>
      <c r="DW17" s="179"/>
      <c r="DX17" s="179"/>
      <c r="DY17" s="179"/>
      <c r="DZ17" s="179"/>
      <c r="EA17" s="179"/>
      <c r="EB17" s="179"/>
      <c r="EC17" s="179"/>
      <c r="ED17" s="179"/>
      <c r="EE17" s="179"/>
      <c r="EF17" s="179"/>
      <c r="EG17" s="179"/>
      <c r="EH17" s="179"/>
      <c r="EI17" s="179"/>
      <c r="EJ17" s="179"/>
      <c r="EK17" s="179"/>
      <c r="EL17" s="179"/>
      <c r="EM17" s="179"/>
      <c r="EN17" s="179"/>
      <c r="EO17" s="179"/>
      <c r="EP17" s="179"/>
      <c r="EQ17" s="179"/>
      <c r="ER17" s="179"/>
      <c r="ES17" s="179"/>
      <c r="ET17" s="179"/>
      <c r="EU17" s="179"/>
      <c r="EV17" s="179"/>
      <c r="EW17" s="179"/>
      <c r="EX17" s="179"/>
      <c r="EY17" s="179"/>
      <c r="EZ17" s="179"/>
      <c r="FA17" s="179"/>
      <c r="FB17" s="179"/>
      <c r="FC17" s="179"/>
      <c r="FD17" s="179"/>
      <c r="FE17" s="179"/>
      <c r="FF17" s="179"/>
      <c r="FG17" s="179"/>
      <c r="FH17" s="179"/>
      <c r="FI17" s="179"/>
      <c r="FJ17" s="179"/>
      <c r="FK17" s="179"/>
      <c r="FL17" s="179"/>
      <c r="FM17" s="179"/>
      <c r="FN17" s="179"/>
      <c r="FO17" s="179"/>
      <c r="FP17" s="179"/>
      <c r="FQ17" s="179"/>
      <c r="FR17" s="179"/>
      <c r="FS17" s="179"/>
      <c r="FT17" s="179"/>
      <c r="FU17" s="179"/>
      <c r="FV17" s="179"/>
      <c r="FW17" s="179"/>
      <c r="FX17" s="179"/>
      <c r="FY17" s="179"/>
      <c r="FZ17" s="179"/>
      <c r="GA17" s="179"/>
      <c r="GB17" s="179"/>
      <c r="GC17" s="179"/>
      <c r="GD17" s="179"/>
      <c r="GE17" s="179"/>
      <c r="GF17" s="179"/>
      <c r="GG17" s="179"/>
      <c r="GH17" s="179"/>
      <c r="GI17" s="179"/>
      <c r="GJ17" s="179"/>
      <c r="GK17" s="179"/>
      <c r="GL17" s="179"/>
      <c r="GM17" s="179"/>
      <c r="GN17" s="179"/>
      <c r="GO17" s="179"/>
      <c r="GP17" s="179"/>
      <c r="GQ17" s="179"/>
    </row>
    <row r="18" spans="1:199" collapsed="1"/>
    <row r="19" spans="1:199">
      <c r="B19" s="196" t="s">
        <v>401</v>
      </c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0"/>
      <c r="BJ19" s="220"/>
      <c r="BK19" s="220"/>
      <c r="BL19" s="220"/>
      <c r="BM19" s="220"/>
      <c r="BN19" s="220"/>
      <c r="BO19" s="220"/>
      <c r="BP19" s="220"/>
      <c r="BQ19" s="220"/>
      <c r="BR19" s="220"/>
      <c r="BS19" s="220"/>
      <c r="BT19" s="220"/>
      <c r="BU19" s="220"/>
      <c r="BV19" s="220"/>
      <c r="BW19" s="220"/>
      <c r="BX19" s="220"/>
      <c r="BY19" s="220"/>
      <c r="BZ19" s="220"/>
      <c r="CA19" s="220"/>
      <c r="CB19" s="220"/>
      <c r="CC19" s="220"/>
      <c r="CD19" s="220"/>
      <c r="CE19" s="220"/>
      <c r="CF19" s="220"/>
      <c r="CG19" s="220"/>
      <c r="CH19" s="220"/>
      <c r="CI19" s="220"/>
      <c r="CJ19" s="220"/>
      <c r="CK19" s="220"/>
      <c r="CL19" s="220"/>
      <c r="CM19" s="220"/>
      <c r="CN19" s="220"/>
      <c r="CO19" s="220"/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0"/>
      <c r="DA19" s="220"/>
      <c r="DB19" s="220"/>
      <c r="DC19" s="220"/>
      <c r="DD19" s="220"/>
      <c r="DE19" s="220"/>
      <c r="DF19" s="220"/>
      <c r="DG19" s="220"/>
      <c r="DH19" s="220"/>
      <c r="DI19" s="220"/>
      <c r="DJ19" s="220"/>
    </row>
    <row r="20" spans="1:199">
      <c r="A20" s="161">
        <v>15</v>
      </c>
      <c r="B20" s="182" t="s">
        <v>418</v>
      </c>
      <c r="F20" s="177">
        <v>0</v>
      </c>
      <c r="G20" s="847">
        <f>F26</f>
        <v>200106.704</v>
      </c>
      <c r="H20" s="847">
        <f t="shared" ref="H20:M20" si="1">G26</f>
        <v>1083015.9153121319</v>
      </c>
      <c r="I20" s="847">
        <f t="shared" si="1"/>
        <v>1123739.6275918507</v>
      </c>
      <c r="J20" s="847">
        <f t="shared" si="1"/>
        <v>1125126.4332093238</v>
      </c>
      <c r="K20" s="847">
        <f t="shared" si="1"/>
        <v>1123980.5655862698</v>
      </c>
      <c r="L20" s="847">
        <f t="shared" si="1"/>
        <v>983488.94039880577</v>
      </c>
      <c r="M20" s="847">
        <f t="shared" si="1"/>
        <v>842126.91279726219</v>
      </c>
      <c r="N20" s="847">
        <f t="shared" ref="N20:AD20" si="2">M26</f>
        <v>700974.25313192373</v>
      </c>
      <c r="O20" s="847">
        <f t="shared" si="2"/>
        <v>560699.10961034521</v>
      </c>
      <c r="P20" s="847">
        <f t="shared" si="2"/>
        <v>427985.67013945262</v>
      </c>
      <c r="Q20" s="847">
        <f t="shared" si="2"/>
        <v>285209.79702617845</v>
      </c>
      <c r="R20" s="847">
        <f t="shared" si="2"/>
        <v>131712.10499999992</v>
      </c>
      <c r="S20" s="847">
        <f t="shared" si="2"/>
        <v>117077.42666666659</v>
      </c>
      <c r="T20" s="847">
        <f t="shared" si="2"/>
        <v>102442.74833333326</v>
      </c>
      <c r="U20" s="847">
        <f t="shared" si="2"/>
        <v>87808.069999999934</v>
      </c>
      <c r="V20" s="847">
        <f t="shared" si="2"/>
        <v>73173.391666666605</v>
      </c>
      <c r="W20" s="847">
        <f t="shared" si="2"/>
        <v>58538.713333333275</v>
      </c>
      <c r="X20" s="847">
        <f t="shared" si="2"/>
        <v>43904.034999999945</v>
      </c>
      <c r="Y20" s="847">
        <f t="shared" si="2"/>
        <v>29269.356666666612</v>
      </c>
      <c r="Z20" s="847">
        <f t="shared" si="2"/>
        <v>14634.678333333279</v>
      </c>
      <c r="AA20" s="847">
        <f t="shared" si="2"/>
        <v>0</v>
      </c>
      <c r="AB20" s="847">
        <f t="shared" si="2"/>
        <v>0</v>
      </c>
      <c r="AC20" s="847">
        <f t="shared" si="2"/>
        <v>0</v>
      </c>
      <c r="AD20" s="847">
        <f t="shared" si="2"/>
        <v>0</v>
      </c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7"/>
      <c r="BA20" s="177"/>
      <c r="BB20" s="177"/>
      <c r="BC20" s="177"/>
      <c r="BD20" s="177"/>
      <c r="BE20" s="177"/>
      <c r="BF20" s="177"/>
      <c r="BG20" s="177"/>
      <c r="BH20" s="177"/>
      <c r="BI20" s="177"/>
      <c r="BJ20" s="177"/>
      <c r="BK20" s="177"/>
      <c r="BL20" s="177"/>
      <c r="BM20" s="177"/>
      <c r="BN20" s="177"/>
      <c r="BO20" s="177"/>
      <c r="BP20" s="177"/>
      <c r="BQ20" s="177"/>
      <c r="BR20" s="177"/>
      <c r="BS20" s="177"/>
      <c r="BT20" s="177"/>
      <c r="BU20" s="177"/>
      <c r="BV20" s="177"/>
      <c r="BW20" s="177"/>
      <c r="BX20" s="177"/>
      <c r="BY20" s="177"/>
      <c r="BZ20" s="177"/>
      <c r="CA20" s="177"/>
      <c r="CB20" s="177"/>
      <c r="CC20" s="177"/>
      <c r="CD20" s="177"/>
      <c r="CE20" s="177"/>
      <c r="CF20" s="177"/>
      <c r="CG20" s="177"/>
      <c r="CH20" s="177"/>
      <c r="CI20" s="177"/>
      <c r="CJ20" s="177"/>
      <c r="CK20" s="177"/>
      <c r="CL20" s="177"/>
      <c r="CM20" s="177"/>
      <c r="CN20" s="177"/>
      <c r="CO20" s="177"/>
      <c r="CP20" s="177"/>
      <c r="CQ20" s="177"/>
      <c r="CR20" s="177"/>
      <c r="CS20" s="177"/>
      <c r="CT20" s="177"/>
      <c r="CU20" s="177"/>
      <c r="CV20" s="177"/>
      <c r="CW20" s="177"/>
      <c r="CX20" s="177"/>
      <c r="CY20" s="177"/>
      <c r="CZ20" s="177"/>
      <c r="DA20" s="177"/>
      <c r="DB20" s="177"/>
      <c r="DC20" s="177"/>
      <c r="DD20" s="177"/>
      <c r="DE20" s="177"/>
      <c r="DF20" s="177"/>
      <c r="DG20" s="177"/>
      <c r="DH20" s="177"/>
      <c r="DI20" s="177"/>
      <c r="DJ20" s="177"/>
    </row>
    <row r="21" spans="1:199">
      <c r="A21" s="161">
        <v>16</v>
      </c>
      <c r="B21" s="182" t="s">
        <v>389</v>
      </c>
      <c r="F21" s="166"/>
      <c r="G21" s="848">
        <f t="shared" ref="G21:AD21" si="3">SUMIF($E$83:$GQ$83,G$7,$E97:$GQ97)+SUMIF($E$113:$GQ$113,G$7,$E127:$GQ127)+SUMIF($E$53:$GQ$53,G$7,$E67:$GQ67)+SUMIF($E$143:$GQ$143,G$7,$E157:$GQ157)+SUMIF($E$173:$GQ$173,G$7,$E187:$GQ187)</f>
        <v>903512.2100000002</v>
      </c>
      <c r="H21" s="848">
        <f t="shared" si="3"/>
        <v>0</v>
      </c>
      <c r="I21" s="848">
        <f t="shared" si="3"/>
        <v>0</v>
      </c>
      <c r="J21" s="848">
        <f t="shared" si="3"/>
        <v>0</v>
      </c>
      <c r="K21" s="848">
        <f t="shared" si="3"/>
        <v>0</v>
      </c>
      <c r="L21" s="848">
        <f t="shared" si="3"/>
        <v>0</v>
      </c>
      <c r="M21" s="848">
        <f t="shared" si="3"/>
        <v>0</v>
      </c>
      <c r="N21" s="848">
        <f t="shared" si="3"/>
        <v>0</v>
      </c>
      <c r="O21" s="848">
        <f t="shared" si="3"/>
        <v>0</v>
      </c>
      <c r="P21" s="848">
        <f t="shared" si="3"/>
        <v>0</v>
      </c>
      <c r="Q21" s="848">
        <f t="shared" si="3"/>
        <v>0</v>
      </c>
      <c r="R21" s="848">
        <f t="shared" si="3"/>
        <v>0</v>
      </c>
      <c r="S21" s="848">
        <f t="shared" si="3"/>
        <v>0</v>
      </c>
      <c r="T21" s="848">
        <f t="shared" si="3"/>
        <v>0</v>
      </c>
      <c r="U21" s="848">
        <f t="shared" si="3"/>
        <v>0</v>
      </c>
      <c r="V21" s="848">
        <f t="shared" si="3"/>
        <v>0</v>
      </c>
      <c r="W21" s="848">
        <f t="shared" si="3"/>
        <v>0</v>
      </c>
      <c r="X21" s="848">
        <f t="shared" si="3"/>
        <v>0</v>
      </c>
      <c r="Y21" s="848">
        <f t="shared" si="3"/>
        <v>0</v>
      </c>
      <c r="Z21" s="848">
        <f t="shared" si="3"/>
        <v>0</v>
      </c>
      <c r="AA21" s="848">
        <f t="shared" si="3"/>
        <v>0</v>
      </c>
      <c r="AB21" s="848">
        <f t="shared" si="3"/>
        <v>0</v>
      </c>
      <c r="AC21" s="848">
        <f t="shared" si="3"/>
        <v>0</v>
      </c>
      <c r="AD21" s="848">
        <f t="shared" si="3"/>
        <v>0</v>
      </c>
      <c r="AE21" s="317"/>
      <c r="AF21" s="317"/>
      <c r="AG21" s="317"/>
      <c r="AH21" s="317"/>
      <c r="AI21" s="317"/>
      <c r="AJ21" s="317"/>
      <c r="AK21" s="317"/>
      <c r="AL21" s="317"/>
      <c r="AM21" s="317"/>
      <c r="AN21" s="317"/>
      <c r="AO21" s="317"/>
      <c r="AP21" s="317"/>
      <c r="AQ21" s="317"/>
      <c r="AR21" s="317"/>
      <c r="AS21" s="317"/>
      <c r="AT21" s="317"/>
      <c r="AU21" s="317"/>
      <c r="AV21" s="317"/>
      <c r="AW21" s="317"/>
      <c r="AX21" s="317"/>
      <c r="AY21" s="317"/>
      <c r="AZ21" s="317"/>
      <c r="BA21" s="317"/>
      <c r="BB21" s="317"/>
      <c r="BC21" s="317"/>
      <c r="BD21" s="317"/>
      <c r="BE21" s="317"/>
      <c r="BF21" s="317"/>
      <c r="BG21" s="317"/>
      <c r="BH21" s="317"/>
      <c r="BI21" s="317"/>
      <c r="BJ21" s="317"/>
      <c r="BK21" s="317"/>
      <c r="BL21" s="317"/>
      <c r="BM21" s="317"/>
      <c r="BN21" s="317"/>
      <c r="BO21" s="317"/>
      <c r="BP21" s="317"/>
      <c r="BQ21" s="317"/>
      <c r="BR21" s="317"/>
      <c r="BS21" s="317"/>
      <c r="BT21" s="317"/>
      <c r="BU21" s="317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66"/>
      <c r="CJ21" s="166"/>
      <c r="CK21" s="166"/>
      <c r="CL21" s="166"/>
      <c r="CM21" s="166"/>
      <c r="CN21" s="166"/>
      <c r="CO21" s="166"/>
      <c r="CP21" s="166"/>
      <c r="CQ21" s="166"/>
      <c r="CR21" s="166"/>
      <c r="CS21" s="166"/>
      <c r="CT21" s="166"/>
      <c r="CU21" s="166"/>
      <c r="CV21" s="166"/>
      <c r="CW21" s="166"/>
      <c r="CX21" s="166"/>
      <c r="CY21" s="166"/>
      <c r="CZ21" s="166"/>
      <c r="DA21" s="166"/>
      <c r="DB21" s="166"/>
      <c r="DC21" s="166"/>
      <c r="DD21" s="166"/>
      <c r="DE21" s="166"/>
      <c r="DF21" s="166"/>
      <c r="DG21" s="166"/>
      <c r="DH21" s="166"/>
      <c r="DI21" s="166"/>
      <c r="DJ21" s="166"/>
    </row>
    <row r="22" spans="1:199">
      <c r="A22" s="161">
        <v>17</v>
      </c>
      <c r="B22" s="218" t="s">
        <v>395</v>
      </c>
      <c r="C22" s="164"/>
      <c r="D22" s="162"/>
      <c r="E22" s="162"/>
      <c r="F22" s="166"/>
      <c r="G22" s="848">
        <f t="shared" ref="G22:AD22" si="4">SUMIF($E$83:$GQ$83,G$7,$E98:$GQ98)+SUMIF($E$113:$GQ$113,G$7,$E128:$GQ128)+SUMIF($E$53:$GQ$53,G$7,$E68:$GQ68)+SUMIF($E$143:$GQ$143,G$7,$E158:$GQ158)+SUMIF($E$173:$GQ$173,G$7,$E188:$GQ188)</f>
        <v>7060.066432513674</v>
      </c>
      <c r="H22" s="848">
        <f t="shared" si="4"/>
        <v>16631.860389046258</v>
      </c>
      <c r="I22" s="848">
        <f t="shared" si="4"/>
        <v>13066.136706970501</v>
      </c>
      <c r="J22" s="848">
        <f t="shared" si="4"/>
        <v>13654.112858784187</v>
      </c>
      <c r="K22" s="848">
        <f t="shared" si="4"/>
        <v>14268.547937429492</v>
      </c>
      <c r="L22" s="848">
        <f t="shared" si="4"/>
        <v>13253.895639656635</v>
      </c>
      <c r="M22" s="848">
        <f t="shared" si="4"/>
        <v>13784.051465242908</v>
      </c>
      <c r="N22" s="848">
        <f t="shared" si="4"/>
        <v>14335.41352385264</v>
      </c>
      <c r="O22" s="848">
        <f t="shared" si="4"/>
        <v>12399.912795447535</v>
      </c>
      <c r="P22" s="848">
        <f t="shared" si="4"/>
        <v>7728.0317242413439</v>
      </c>
      <c r="Q22" s="848">
        <f t="shared" si="4"/>
        <v>2661.7461319728891</v>
      </c>
      <c r="R22" s="848">
        <f t="shared" si="4"/>
        <v>0</v>
      </c>
      <c r="S22" s="848">
        <f t="shared" si="4"/>
        <v>0</v>
      </c>
      <c r="T22" s="848">
        <f t="shared" si="4"/>
        <v>0</v>
      </c>
      <c r="U22" s="848">
        <f t="shared" si="4"/>
        <v>0</v>
      </c>
      <c r="V22" s="848">
        <f t="shared" si="4"/>
        <v>0</v>
      </c>
      <c r="W22" s="848">
        <f t="shared" si="4"/>
        <v>0</v>
      </c>
      <c r="X22" s="848">
        <f t="shared" si="4"/>
        <v>0</v>
      </c>
      <c r="Y22" s="848">
        <f t="shared" si="4"/>
        <v>0</v>
      </c>
      <c r="Z22" s="848">
        <f t="shared" si="4"/>
        <v>0</v>
      </c>
      <c r="AA22" s="848">
        <f t="shared" si="4"/>
        <v>0</v>
      </c>
      <c r="AB22" s="848">
        <f t="shared" si="4"/>
        <v>0</v>
      </c>
      <c r="AC22" s="848">
        <f t="shared" si="4"/>
        <v>0</v>
      </c>
      <c r="AD22" s="848">
        <f t="shared" si="4"/>
        <v>0</v>
      </c>
      <c r="AE22" s="317"/>
      <c r="AF22" s="317"/>
      <c r="AG22" s="317"/>
      <c r="AH22" s="317"/>
      <c r="AI22" s="317"/>
      <c r="AJ22" s="317"/>
      <c r="AK22" s="317"/>
      <c r="AL22" s="317"/>
      <c r="AM22" s="317"/>
      <c r="AN22" s="317"/>
      <c r="AO22" s="317"/>
      <c r="AP22" s="317"/>
      <c r="AQ22" s="317"/>
      <c r="AR22" s="317"/>
      <c r="AS22" s="317"/>
      <c r="AT22" s="317"/>
      <c r="AU22" s="317"/>
      <c r="AV22" s="317"/>
      <c r="AW22" s="317"/>
      <c r="AX22" s="317"/>
      <c r="AY22" s="317"/>
      <c r="AZ22" s="317"/>
      <c r="BA22" s="317"/>
      <c r="BB22" s="317"/>
      <c r="BC22" s="317"/>
      <c r="BD22" s="317"/>
      <c r="BE22" s="317"/>
      <c r="BF22" s="317"/>
      <c r="BG22" s="317"/>
      <c r="BH22" s="317"/>
      <c r="BI22" s="317"/>
      <c r="BJ22" s="317"/>
      <c r="BK22" s="317"/>
      <c r="BL22" s="317"/>
      <c r="BM22" s="317"/>
      <c r="BN22" s="317"/>
      <c r="BO22" s="317"/>
      <c r="BP22" s="317"/>
      <c r="BQ22" s="317"/>
      <c r="BR22" s="317"/>
      <c r="BS22" s="317"/>
      <c r="BT22" s="317"/>
      <c r="BU22" s="317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66"/>
      <c r="CJ22" s="166"/>
      <c r="CK22" s="166"/>
      <c r="CL22" s="166"/>
      <c r="CM22" s="166"/>
      <c r="CN22" s="166"/>
      <c r="CO22" s="166"/>
      <c r="CP22" s="166"/>
      <c r="CQ22" s="166"/>
      <c r="CR22" s="166"/>
      <c r="CS22" s="166"/>
      <c r="CT22" s="166"/>
      <c r="CU22" s="166"/>
      <c r="CV22" s="166"/>
      <c r="CW22" s="166"/>
      <c r="CX22" s="166"/>
      <c r="CY22" s="166"/>
      <c r="CZ22" s="166"/>
      <c r="DA22" s="166"/>
      <c r="DB22" s="166"/>
      <c r="DC22" s="166"/>
      <c r="DD22" s="166"/>
      <c r="DE22" s="166"/>
      <c r="DF22" s="166"/>
      <c r="DG22" s="166"/>
      <c r="DH22" s="166"/>
      <c r="DI22" s="166"/>
      <c r="DJ22" s="166"/>
      <c r="DK22" s="162"/>
      <c r="DL22" s="162"/>
      <c r="DM22" s="162"/>
      <c r="DN22" s="162"/>
      <c r="DO22" s="162"/>
      <c r="DP22" s="162"/>
      <c r="DQ22" s="162"/>
      <c r="DR22" s="162"/>
      <c r="DS22" s="162"/>
      <c r="DT22" s="162"/>
      <c r="DU22" s="162"/>
      <c r="DV22" s="162"/>
      <c r="DW22" s="162"/>
      <c r="DX22" s="162"/>
      <c r="DY22" s="162"/>
      <c r="DZ22" s="162"/>
      <c r="EA22" s="162"/>
      <c r="EB22" s="162"/>
      <c r="EC22" s="162"/>
      <c r="ED22" s="162"/>
      <c r="EE22" s="162"/>
      <c r="EF22" s="162"/>
      <c r="EG22" s="162"/>
      <c r="EH22" s="162"/>
      <c r="EI22" s="162"/>
      <c r="EJ22" s="162"/>
      <c r="EK22" s="162"/>
      <c r="EL22" s="162"/>
      <c r="EM22" s="162"/>
      <c r="EN22" s="162"/>
      <c r="EO22" s="162"/>
      <c r="EP22" s="162"/>
      <c r="EQ22" s="162"/>
      <c r="ER22" s="162"/>
      <c r="ES22" s="162"/>
      <c r="ET22" s="162"/>
      <c r="EU22" s="162"/>
      <c r="EV22" s="162"/>
      <c r="EW22" s="162"/>
      <c r="EX22" s="162"/>
      <c r="EY22" s="162"/>
      <c r="EZ22" s="162"/>
      <c r="FA22" s="162"/>
      <c r="FB22" s="162"/>
      <c r="FC22" s="162"/>
      <c r="FD22" s="162"/>
      <c r="FE22" s="162"/>
      <c r="FF22" s="162"/>
      <c r="FG22" s="162"/>
      <c r="FH22" s="162"/>
      <c r="FI22" s="162"/>
      <c r="FJ22" s="162"/>
      <c r="FK22" s="162"/>
      <c r="FL22" s="162"/>
      <c r="FM22" s="162"/>
      <c r="FN22" s="162"/>
      <c r="FO22" s="162"/>
      <c r="FP22" s="162"/>
      <c r="FQ22" s="162"/>
      <c r="FR22" s="162"/>
      <c r="FS22" s="162"/>
      <c r="FT22" s="162"/>
      <c r="FU22" s="162"/>
      <c r="FV22" s="162"/>
      <c r="FW22" s="162"/>
      <c r="FX22" s="162"/>
      <c r="FY22" s="162"/>
      <c r="FZ22" s="162"/>
      <c r="GA22" s="162"/>
      <c r="GB22" s="162"/>
      <c r="GC22" s="162"/>
      <c r="GD22" s="162"/>
      <c r="GE22" s="162"/>
      <c r="GF22" s="162"/>
      <c r="GG22" s="162"/>
      <c r="GH22" s="162"/>
      <c r="GI22" s="162"/>
      <c r="GJ22" s="162"/>
      <c r="GK22" s="162"/>
      <c r="GL22" s="162"/>
      <c r="GM22" s="162"/>
      <c r="GN22" s="162"/>
      <c r="GO22" s="162"/>
      <c r="GP22" s="162"/>
      <c r="GQ22" s="162"/>
    </row>
    <row r="23" spans="1:199">
      <c r="A23" s="161">
        <v>18</v>
      </c>
      <c r="B23" s="182" t="s">
        <v>390</v>
      </c>
      <c r="F23" s="166"/>
      <c r="G23" s="848">
        <f t="shared" ref="G23:AD23" si="5">SUMIF($E$83:$GQ$83,G$7,$E99:$GQ99)+SUMIF($E$113:$GQ$113,G$7,$E129:$GQ129)+SUMIF($E$53:$GQ$53,G$7,$E69:$GQ69)+SUMIF($E$143:$GQ$143,G$7,$E159:$GQ159)+SUMIF($E$173:$GQ$173,G$7,$E189:$GQ189)</f>
        <v>45046.255622079392</v>
      </c>
      <c r="H23" s="848">
        <f t="shared" si="5"/>
        <v>72825.800533965012</v>
      </c>
      <c r="I23" s="848">
        <f t="shared" si="5"/>
        <v>81286.403409967708</v>
      </c>
      <c r="J23" s="848">
        <f t="shared" si="5"/>
        <v>81570.31970434048</v>
      </c>
      <c r="K23" s="848">
        <f t="shared" si="5"/>
        <v>76141.744249655123</v>
      </c>
      <c r="L23" s="848">
        <f t="shared" si="5"/>
        <v>62358.74952251435</v>
      </c>
      <c r="M23" s="848">
        <f t="shared" si="5"/>
        <v>47881.462840271546</v>
      </c>
      <c r="N23" s="848">
        <f t="shared" si="5"/>
        <v>34067.337333387055</v>
      </c>
      <c r="O23" s="848">
        <f t="shared" si="5"/>
        <v>23155.896618560273</v>
      </c>
      <c r="P23" s="848">
        <f t="shared" si="5"/>
        <v>14919.405279419365</v>
      </c>
      <c r="Q23" s="848">
        <f t="shared" si="5"/>
        <v>5971.4678390472727</v>
      </c>
      <c r="R23" s="848">
        <f t="shared" si="5"/>
        <v>1148.6032916979984</v>
      </c>
      <c r="S23" s="848">
        <f t="shared" si="5"/>
        <v>1020.9807037315541</v>
      </c>
      <c r="T23" s="848">
        <f t="shared" si="5"/>
        <v>893.35811576510969</v>
      </c>
      <c r="U23" s="848">
        <f t="shared" si="5"/>
        <v>765.73552779866543</v>
      </c>
      <c r="V23" s="848">
        <f t="shared" si="5"/>
        <v>624.01369192221421</v>
      </c>
      <c r="W23" s="848">
        <f t="shared" si="5"/>
        <v>499.21095353777127</v>
      </c>
      <c r="X23" s="848">
        <f t="shared" si="5"/>
        <v>374.40821515332834</v>
      </c>
      <c r="Y23" s="848">
        <f t="shared" si="5"/>
        <v>249.60547676888541</v>
      </c>
      <c r="Z23" s="848">
        <f t="shared" si="5"/>
        <v>124.80273838444248</v>
      </c>
      <c r="AA23" s="848">
        <f t="shared" si="5"/>
        <v>0</v>
      </c>
      <c r="AB23" s="848">
        <f t="shared" si="5"/>
        <v>0</v>
      </c>
      <c r="AC23" s="848">
        <f t="shared" si="5"/>
        <v>0</v>
      </c>
      <c r="AD23" s="848">
        <f t="shared" si="5"/>
        <v>0</v>
      </c>
      <c r="AE23" s="317"/>
      <c r="AF23" s="317"/>
      <c r="AG23" s="317"/>
      <c r="AH23" s="317"/>
      <c r="AI23" s="317"/>
      <c r="AJ23" s="317"/>
      <c r="AK23" s="317"/>
      <c r="AL23" s="317"/>
      <c r="AM23" s="317"/>
      <c r="AN23" s="317"/>
      <c r="AO23" s="317"/>
      <c r="AP23" s="317"/>
      <c r="AQ23" s="317"/>
      <c r="AR23" s="317"/>
      <c r="AS23" s="317"/>
      <c r="AT23" s="317"/>
      <c r="AU23" s="317"/>
      <c r="AV23" s="317"/>
      <c r="AW23" s="317"/>
      <c r="AX23" s="317"/>
      <c r="AY23" s="317"/>
      <c r="AZ23" s="317"/>
      <c r="BA23" s="317"/>
      <c r="BB23" s="317"/>
      <c r="BC23" s="317"/>
      <c r="BD23" s="317"/>
      <c r="BE23" s="317"/>
      <c r="BF23" s="317"/>
      <c r="BG23" s="317"/>
      <c r="BH23" s="317"/>
      <c r="BI23" s="317"/>
      <c r="BJ23" s="317"/>
      <c r="BK23" s="317"/>
      <c r="BL23" s="317"/>
      <c r="BM23" s="317"/>
      <c r="BN23" s="317"/>
      <c r="BO23" s="317"/>
      <c r="BP23" s="317"/>
      <c r="BQ23" s="317"/>
      <c r="BR23" s="317"/>
      <c r="BS23" s="317"/>
      <c r="BT23" s="317"/>
      <c r="BU23" s="317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66"/>
      <c r="CJ23" s="166"/>
      <c r="CK23" s="166"/>
      <c r="CL23" s="166"/>
      <c r="CM23" s="166"/>
      <c r="CN23" s="166"/>
      <c r="CO23" s="166"/>
      <c r="CP23" s="166"/>
      <c r="CQ23" s="166"/>
      <c r="CR23" s="166"/>
      <c r="CS23" s="166"/>
      <c r="CT23" s="166"/>
      <c r="CU23" s="166"/>
      <c r="CV23" s="166"/>
      <c r="CW23" s="166"/>
      <c r="CX23" s="166"/>
      <c r="CY23" s="166"/>
      <c r="CZ23" s="166"/>
      <c r="DA23" s="166"/>
      <c r="DB23" s="166"/>
      <c r="DC23" s="166"/>
      <c r="DD23" s="166"/>
      <c r="DE23" s="166"/>
      <c r="DF23" s="166"/>
      <c r="DG23" s="166"/>
      <c r="DH23" s="166"/>
      <c r="DI23" s="166"/>
      <c r="DJ23" s="166"/>
    </row>
    <row r="24" spans="1:199">
      <c r="A24" s="161">
        <v>19</v>
      </c>
      <c r="B24" s="182" t="s">
        <v>391</v>
      </c>
      <c r="F24" s="166"/>
      <c r="G24" s="848">
        <f t="shared" ref="G24:AD24" si="6">SUMIF($E$83:$GQ$83,G$7,$E100:$GQ100)+SUMIF($E$113:$GQ$113,G$7,$E130:$GQ130)+SUMIF($E$53:$GQ$53,G$7,$E70:$GQ70)+SUMIF($E$143:$GQ$143,G$7,$E160:$GQ160)+SUMIF($E$173:$GQ$173,G$7,$E190:$GQ190)</f>
        <v>-32514.616742461338</v>
      </c>
      <c r="H24" s="848">
        <f t="shared" si="6"/>
        <v>-48733.948643292155</v>
      </c>
      <c r="I24" s="848">
        <f t="shared" si="6"/>
        <v>-78331.056166131835</v>
      </c>
      <c r="J24" s="848">
        <f t="shared" si="6"/>
        <v>-81735.621852845085</v>
      </c>
      <c r="K24" s="848">
        <f t="shared" si="6"/>
        <v>-82933.905707882106</v>
      </c>
      <c r="L24" s="848">
        <f t="shared" si="6"/>
        <v>-69006.661097047792</v>
      </c>
      <c r="M24" s="848">
        <f t="shared" si="6"/>
        <v>-54850.162304186393</v>
      </c>
      <c r="N24" s="848">
        <f t="shared" si="6"/>
        <v>-40709.88271215155</v>
      </c>
      <c r="O24" s="848">
        <f t="shared" si="6"/>
        <v>-26946.548245325877</v>
      </c>
      <c r="P24" s="848">
        <f t="shared" si="6"/>
        <v>-19033.088585110516</v>
      </c>
      <c r="Q24" s="848">
        <f t="shared" si="6"/>
        <v>-10429.35089677291</v>
      </c>
      <c r="R24" s="848">
        <f t="shared" si="6"/>
        <v>-1148.6032916979984</v>
      </c>
      <c r="S24" s="848">
        <f t="shared" si="6"/>
        <v>-1020.9807037315541</v>
      </c>
      <c r="T24" s="848">
        <f t="shared" si="6"/>
        <v>-893.35811576510969</v>
      </c>
      <c r="U24" s="848">
        <f t="shared" si="6"/>
        <v>-765.73552779866543</v>
      </c>
      <c r="V24" s="848">
        <f t="shared" si="6"/>
        <v>-624.01369192221421</v>
      </c>
      <c r="W24" s="848">
        <f t="shared" si="6"/>
        <v>-499.21095353777127</v>
      </c>
      <c r="X24" s="848">
        <f t="shared" si="6"/>
        <v>-374.40821515332834</v>
      </c>
      <c r="Y24" s="848">
        <f t="shared" si="6"/>
        <v>-249.60547676888541</v>
      </c>
      <c r="Z24" s="848">
        <f t="shared" si="6"/>
        <v>-124.80273838444248</v>
      </c>
      <c r="AA24" s="848">
        <f t="shared" si="6"/>
        <v>0</v>
      </c>
      <c r="AB24" s="848">
        <f t="shared" si="6"/>
        <v>0</v>
      </c>
      <c r="AC24" s="848">
        <f t="shared" si="6"/>
        <v>0</v>
      </c>
      <c r="AD24" s="848">
        <f t="shared" si="6"/>
        <v>0</v>
      </c>
      <c r="AE24" s="317"/>
      <c r="AF24" s="317"/>
      <c r="AG24" s="317"/>
      <c r="AH24" s="317"/>
      <c r="AI24" s="317"/>
      <c r="AJ24" s="317"/>
      <c r="AK24" s="317"/>
      <c r="AL24" s="317"/>
      <c r="AM24" s="317"/>
      <c r="AN24" s="317"/>
      <c r="AO24" s="317"/>
      <c r="AP24" s="317"/>
      <c r="AQ24" s="317"/>
      <c r="AR24" s="317"/>
      <c r="AS24" s="317"/>
      <c r="AT24" s="317"/>
      <c r="AU24" s="317"/>
      <c r="AV24" s="317"/>
      <c r="AW24" s="317"/>
      <c r="AX24" s="317"/>
      <c r="AY24" s="317"/>
      <c r="AZ24" s="317"/>
      <c r="BA24" s="317"/>
      <c r="BB24" s="317"/>
      <c r="BC24" s="317"/>
      <c r="BD24" s="317"/>
      <c r="BE24" s="317"/>
      <c r="BF24" s="317"/>
      <c r="BG24" s="317"/>
      <c r="BH24" s="317"/>
      <c r="BI24" s="317"/>
      <c r="BJ24" s="317"/>
      <c r="BK24" s="317"/>
      <c r="BL24" s="317"/>
      <c r="BM24" s="317"/>
      <c r="BN24" s="317"/>
      <c r="BO24" s="317"/>
      <c r="BP24" s="317"/>
      <c r="BQ24" s="317"/>
      <c r="BR24" s="317"/>
      <c r="BS24" s="317"/>
      <c r="BT24" s="317"/>
      <c r="BU24" s="317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66"/>
      <c r="CJ24" s="166"/>
      <c r="CK24" s="166"/>
      <c r="CL24" s="166"/>
      <c r="CM24" s="166"/>
      <c r="CN24" s="166"/>
      <c r="CO24" s="166"/>
      <c r="CP24" s="166"/>
      <c r="CQ24" s="166"/>
      <c r="CR24" s="166"/>
      <c r="CS24" s="166"/>
      <c r="CT24" s="166"/>
      <c r="CU24" s="166"/>
      <c r="CV24" s="166"/>
      <c r="CW24" s="166"/>
      <c r="CX24" s="166"/>
      <c r="CY24" s="166"/>
      <c r="CZ24" s="166"/>
      <c r="DA24" s="166"/>
      <c r="DB24" s="166"/>
      <c r="DC24" s="166"/>
      <c r="DD24" s="166"/>
      <c r="DE24" s="166"/>
      <c r="DF24" s="166"/>
      <c r="DG24" s="166"/>
      <c r="DH24" s="166"/>
      <c r="DI24" s="166"/>
      <c r="DJ24" s="166"/>
    </row>
    <row r="25" spans="1:199">
      <c r="A25" s="161">
        <v>20</v>
      </c>
      <c r="B25" s="182" t="s">
        <v>392</v>
      </c>
      <c r="F25" s="166"/>
      <c r="G25" s="848">
        <f t="shared" ref="G25:AD25" si="7">SUMIF($E$83:$GQ$83,G$7,$E101:$GQ101)+SUMIF($E$113:$GQ$113,G$7,$E131:$GQ131)+SUMIF($E$53:$GQ$53,G$7,$E71:$GQ71)+SUMIF($E$143:$GQ$143,G$7,$E161:$GQ161)+SUMIF($E$173:$GQ$173,G$7,$E191:$GQ191)</f>
        <v>-40194.703999999998</v>
      </c>
      <c r="H25" s="848">
        <f t="shared" si="7"/>
        <v>0</v>
      </c>
      <c r="I25" s="848">
        <f t="shared" si="7"/>
        <v>-14634.678333333333</v>
      </c>
      <c r="J25" s="848">
        <f t="shared" si="7"/>
        <v>-14634.678333333333</v>
      </c>
      <c r="K25" s="848">
        <f t="shared" si="7"/>
        <v>-147968.01166666669</v>
      </c>
      <c r="L25" s="848">
        <f t="shared" si="7"/>
        <v>-147968.01166666669</v>
      </c>
      <c r="M25" s="848">
        <f t="shared" si="7"/>
        <v>-147968.01166666669</v>
      </c>
      <c r="N25" s="848">
        <f t="shared" si="7"/>
        <v>-147968.01166666669</v>
      </c>
      <c r="O25" s="848">
        <f t="shared" si="7"/>
        <v>-141322.70063957461</v>
      </c>
      <c r="P25" s="848">
        <f t="shared" si="7"/>
        <v>-146390.22153182435</v>
      </c>
      <c r="Q25" s="848">
        <f t="shared" si="7"/>
        <v>-151701.55510042608</v>
      </c>
      <c r="R25" s="848">
        <f t="shared" si="7"/>
        <v>-14634.678333333333</v>
      </c>
      <c r="S25" s="848">
        <f t="shared" si="7"/>
        <v>-14634.678333333333</v>
      </c>
      <c r="T25" s="848">
        <f t="shared" si="7"/>
        <v>-14634.678333333333</v>
      </c>
      <c r="U25" s="848">
        <f t="shared" si="7"/>
        <v>-14634.678333333333</v>
      </c>
      <c r="V25" s="848">
        <f t="shared" si="7"/>
        <v>-14634.678333333333</v>
      </c>
      <c r="W25" s="848">
        <f t="shared" si="7"/>
        <v>-14634.678333333333</v>
      </c>
      <c r="X25" s="848">
        <f t="shared" si="7"/>
        <v>-14634.678333333333</v>
      </c>
      <c r="Y25" s="848">
        <f t="shared" si="7"/>
        <v>-14634.678333333333</v>
      </c>
      <c r="Z25" s="848">
        <f t="shared" si="7"/>
        <v>-14634.678333333333</v>
      </c>
      <c r="AA25" s="848">
        <f t="shared" si="7"/>
        <v>0</v>
      </c>
      <c r="AB25" s="848">
        <f t="shared" si="7"/>
        <v>0</v>
      </c>
      <c r="AC25" s="848">
        <f t="shared" si="7"/>
        <v>0</v>
      </c>
      <c r="AD25" s="848">
        <f t="shared" si="7"/>
        <v>0</v>
      </c>
      <c r="AE25" s="317"/>
      <c r="AF25" s="317"/>
      <c r="AG25" s="317"/>
      <c r="AH25" s="317"/>
      <c r="AI25" s="317"/>
      <c r="AJ25" s="317"/>
      <c r="AK25" s="317"/>
      <c r="AL25" s="317"/>
      <c r="AM25" s="317"/>
      <c r="AN25" s="317"/>
      <c r="AO25" s="317"/>
      <c r="AP25" s="317"/>
      <c r="AQ25" s="317"/>
      <c r="AR25" s="317"/>
      <c r="AS25" s="317"/>
      <c r="AT25" s="317"/>
      <c r="AU25" s="317"/>
      <c r="AV25" s="317"/>
      <c r="AW25" s="317"/>
      <c r="AX25" s="317"/>
      <c r="AY25" s="317"/>
      <c r="AZ25" s="317"/>
      <c r="BA25" s="317"/>
      <c r="BB25" s="317"/>
      <c r="BC25" s="317"/>
      <c r="BD25" s="317"/>
      <c r="BE25" s="317"/>
      <c r="BF25" s="317"/>
      <c r="BG25" s="317"/>
      <c r="BH25" s="317"/>
      <c r="BI25" s="317"/>
      <c r="BJ25" s="317"/>
      <c r="BK25" s="317"/>
      <c r="BL25" s="317"/>
      <c r="BM25" s="317"/>
      <c r="BN25" s="317"/>
      <c r="BO25" s="317"/>
      <c r="BP25" s="317"/>
      <c r="BQ25" s="317"/>
      <c r="BR25" s="317"/>
      <c r="BS25" s="317"/>
      <c r="BT25" s="317"/>
      <c r="BU25" s="317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66"/>
      <c r="CJ25" s="166"/>
      <c r="CK25" s="166"/>
      <c r="CL25" s="166"/>
      <c r="CM25" s="166"/>
      <c r="CN25" s="166"/>
      <c r="CO25" s="166"/>
      <c r="CP25" s="166"/>
      <c r="CQ25" s="166"/>
      <c r="CR25" s="166"/>
      <c r="CS25" s="166"/>
      <c r="CT25" s="166"/>
      <c r="CU25" s="166"/>
      <c r="CV25" s="166"/>
      <c r="CW25" s="166"/>
      <c r="CX25" s="166"/>
      <c r="CY25" s="166"/>
      <c r="CZ25" s="166"/>
      <c r="DA25" s="166"/>
      <c r="DB25" s="166"/>
      <c r="DC25" s="166"/>
      <c r="DD25" s="166"/>
      <c r="DE25" s="166"/>
      <c r="DF25" s="166"/>
      <c r="DG25" s="166"/>
      <c r="DH25" s="166"/>
      <c r="DI25" s="166"/>
      <c r="DJ25" s="166"/>
    </row>
    <row r="26" spans="1:199">
      <c r="A26" s="161">
        <v>21</v>
      </c>
      <c r="B26" s="182" t="s">
        <v>393</v>
      </c>
      <c r="F26" s="177">
        <f>IFERROR(HLOOKUP(DATE(F7,12,1),$E$82:$AA$102,$A26,0),0)+IFERROR(HLOOKUP(DATE(F7,12,1),$E$112:$AA$132,$A26,0),0)+IFERROR(HLOOKUP(DATE(F7,12,1),$E$142:$AA$162,$A26,0),0)+IFERROR(HLOOKUP(DATE(F7,12,1),$E$172:$AA$192,$A26,0),0)+IFERROR(HLOOKUP(DATE(F7,12,1),$E$52:$AA$72,$A26,0),0)</f>
        <v>200106.704</v>
      </c>
      <c r="G26" s="847">
        <f t="shared" ref="G26:AD26" si="8">IFERROR(HLOOKUP(DATE(G7,12,1),$E$82:$AC$102,$A26,0),0)+IFERROR(HLOOKUP(DATE(G7,12,1),$E$112:$GQ$132,$A26,0),0)+IFERROR(HLOOKUP(DATE(G7,12,1),$E$142:$GQ$162,$A26,0),0)+IFERROR(HLOOKUP(DATE(G7,12,1),$E$172:$GQ$192,$A26,0),0)+IFERROR(HLOOKUP(DATE(G7,12,1),$E$52:$AC$72,$A26,0),0)</f>
        <v>1083015.9153121319</v>
      </c>
      <c r="H26" s="847">
        <f t="shared" si="8"/>
        <v>1123739.6275918507</v>
      </c>
      <c r="I26" s="847">
        <f t="shared" si="8"/>
        <v>1125126.4332093238</v>
      </c>
      <c r="J26" s="847">
        <f t="shared" si="8"/>
        <v>1123980.5655862698</v>
      </c>
      <c r="K26" s="847">
        <f t="shared" si="8"/>
        <v>983488.94039880577</v>
      </c>
      <c r="L26" s="847">
        <f t="shared" si="8"/>
        <v>842126.91279726219</v>
      </c>
      <c r="M26" s="847">
        <f t="shared" si="8"/>
        <v>700974.25313192373</v>
      </c>
      <c r="N26" s="847">
        <f t="shared" si="8"/>
        <v>560699.10961034521</v>
      </c>
      <c r="O26" s="847">
        <f t="shared" si="8"/>
        <v>427985.67013945262</v>
      </c>
      <c r="P26" s="847">
        <f t="shared" si="8"/>
        <v>285209.79702617845</v>
      </c>
      <c r="Q26" s="847">
        <f t="shared" si="8"/>
        <v>131712.10499999992</v>
      </c>
      <c r="R26" s="847">
        <f t="shared" si="8"/>
        <v>117077.42666666659</v>
      </c>
      <c r="S26" s="847">
        <f t="shared" si="8"/>
        <v>102442.74833333326</v>
      </c>
      <c r="T26" s="847">
        <f t="shared" si="8"/>
        <v>87808.069999999934</v>
      </c>
      <c r="U26" s="847">
        <f t="shared" si="8"/>
        <v>73173.391666666605</v>
      </c>
      <c r="V26" s="847">
        <f t="shared" si="8"/>
        <v>58538.713333333275</v>
      </c>
      <c r="W26" s="847">
        <f t="shared" si="8"/>
        <v>43904.034999999945</v>
      </c>
      <c r="X26" s="847">
        <f t="shared" si="8"/>
        <v>29269.356666666612</v>
      </c>
      <c r="Y26" s="847">
        <f t="shared" si="8"/>
        <v>14634.678333333279</v>
      </c>
      <c r="Z26" s="847">
        <f t="shared" si="8"/>
        <v>0</v>
      </c>
      <c r="AA26" s="847">
        <f t="shared" si="8"/>
        <v>0</v>
      </c>
      <c r="AB26" s="847">
        <f t="shared" si="8"/>
        <v>0</v>
      </c>
      <c r="AC26" s="847">
        <f t="shared" si="8"/>
        <v>0</v>
      </c>
      <c r="AD26" s="847">
        <f t="shared" si="8"/>
        <v>0</v>
      </c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7"/>
      <c r="AQ26" s="177"/>
      <c r="AR26" s="177"/>
      <c r="AS26" s="177"/>
      <c r="AT26" s="177"/>
      <c r="AU26" s="177"/>
      <c r="AV26" s="177"/>
      <c r="AW26" s="177"/>
      <c r="AX26" s="177"/>
      <c r="AY26" s="177"/>
      <c r="AZ26" s="177"/>
      <c r="BA26" s="177"/>
      <c r="BB26" s="177"/>
      <c r="BC26" s="177"/>
      <c r="BD26" s="177"/>
      <c r="BE26" s="177"/>
      <c r="BF26" s="177"/>
      <c r="BG26" s="177"/>
      <c r="BH26" s="177"/>
      <c r="BI26" s="177"/>
      <c r="BJ26" s="177"/>
      <c r="BK26" s="177"/>
      <c r="BL26" s="177"/>
      <c r="BM26" s="177"/>
      <c r="BN26" s="177"/>
      <c r="BO26" s="177"/>
      <c r="BP26" s="177"/>
      <c r="BQ26" s="177"/>
      <c r="BR26" s="177"/>
      <c r="BS26" s="177"/>
      <c r="BT26" s="177"/>
      <c r="BU26" s="177"/>
      <c r="BV26" s="177"/>
      <c r="BW26" s="177"/>
      <c r="BX26" s="177"/>
      <c r="BY26" s="177"/>
      <c r="BZ26" s="177"/>
      <c r="CA26" s="177"/>
      <c r="CB26" s="177"/>
      <c r="CC26" s="177"/>
      <c r="CD26" s="177"/>
      <c r="CE26" s="177"/>
      <c r="CF26" s="177"/>
      <c r="CG26" s="177"/>
      <c r="CH26" s="177"/>
      <c r="CI26" s="177"/>
      <c r="CJ26" s="177"/>
      <c r="CK26" s="177"/>
      <c r="CL26" s="177"/>
      <c r="CM26" s="177"/>
      <c r="CN26" s="177"/>
      <c r="CO26" s="177"/>
      <c r="CP26" s="177"/>
      <c r="CQ26" s="177"/>
      <c r="CR26" s="177"/>
      <c r="CS26" s="177"/>
      <c r="CT26" s="177"/>
      <c r="CU26" s="177"/>
      <c r="CV26" s="177"/>
      <c r="CW26" s="177"/>
      <c r="CX26" s="177"/>
      <c r="CY26" s="177"/>
      <c r="CZ26" s="177"/>
      <c r="DA26" s="177"/>
      <c r="DB26" s="177"/>
      <c r="DC26" s="177"/>
      <c r="DD26" s="177"/>
      <c r="DE26" s="177"/>
      <c r="DF26" s="177"/>
      <c r="DG26" s="177"/>
      <c r="DH26" s="177"/>
      <c r="DI26" s="177"/>
      <c r="DJ26" s="177"/>
    </row>
    <row r="27" spans="1:199">
      <c r="B27" s="182" t="s">
        <v>407</v>
      </c>
      <c r="F27" s="178">
        <f>IF(F26&gt;0,-SUM(G25),0)</f>
        <v>40194.703999999998</v>
      </c>
      <c r="G27" s="849">
        <f>IF(G26&gt;0,-SUM(H25),0)</f>
        <v>0</v>
      </c>
      <c r="H27" s="849">
        <f t="shared" ref="H27:J27" si="9">IF(H26&gt;0,-SUM(I25),0)</f>
        <v>14634.678333333333</v>
      </c>
      <c r="I27" s="849">
        <f t="shared" si="9"/>
        <v>14634.678333333333</v>
      </c>
      <c r="J27" s="849">
        <f t="shared" si="9"/>
        <v>147968.01166666669</v>
      </c>
      <c r="K27" s="849">
        <f t="shared" ref="K27:AD27" si="10">IF(K26&gt;0,-SUM(L25:O25),0)</f>
        <v>585226.7356395747</v>
      </c>
      <c r="L27" s="849">
        <f t="shared" si="10"/>
        <v>583648.94550473231</v>
      </c>
      <c r="M27" s="849">
        <f t="shared" si="10"/>
        <v>587382.48893849168</v>
      </c>
      <c r="N27" s="849">
        <f t="shared" si="10"/>
        <v>454049.15560515842</v>
      </c>
      <c r="O27" s="849">
        <f t="shared" si="10"/>
        <v>327361.13329891709</v>
      </c>
      <c r="P27" s="849">
        <f t="shared" si="10"/>
        <v>195605.59010042611</v>
      </c>
      <c r="Q27" s="849">
        <f t="shared" si="10"/>
        <v>58538.713333333333</v>
      </c>
      <c r="R27" s="849">
        <f t="shared" si="10"/>
        <v>58538.713333333333</v>
      </c>
      <c r="S27" s="849">
        <f t="shared" si="10"/>
        <v>58538.713333333333</v>
      </c>
      <c r="T27" s="849">
        <f t="shared" si="10"/>
        <v>58538.713333333333</v>
      </c>
      <c r="U27" s="849">
        <f t="shared" si="10"/>
        <v>58538.713333333333</v>
      </c>
      <c r="V27" s="849">
        <f t="shared" si="10"/>
        <v>58538.713333333333</v>
      </c>
      <c r="W27" s="849">
        <f t="shared" si="10"/>
        <v>43904.035000000003</v>
      </c>
      <c r="X27" s="849">
        <f t="shared" si="10"/>
        <v>29269.356666666667</v>
      </c>
      <c r="Y27" s="849">
        <f t="shared" si="10"/>
        <v>14634.678333333333</v>
      </c>
      <c r="Z27" s="849">
        <f t="shared" si="10"/>
        <v>0</v>
      </c>
      <c r="AA27" s="849">
        <f t="shared" si="10"/>
        <v>0</v>
      </c>
      <c r="AB27" s="849">
        <f t="shared" si="10"/>
        <v>0</v>
      </c>
      <c r="AC27" s="849">
        <f t="shared" si="10"/>
        <v>0</v>
      </c>
      <c r="AD27" s="849">
        <f t="shared" si="10"/>
        <v>0</v>
      </c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8"/>
      <c r="BU27" s="178"/>
      <c r="BV27" s="178"/>
      <c r="BW27" s="178"/>
      <c r="BX27" s="178"/>
      <c r="BY27" s="178"/>
      <c r="BZ27" s="178"/>
      <c r="CA27" s="178"/>
      <c r="CB27" s="178"/>
      <c r="CC27" s="178"/>
      <c r="CD27" s="178"/>
      <c r="CE27" s="178"/>
      <c r="CF27" s="178"/>
      <c r="CG27" s="178"/>
      <c r="CH27" s="178"/>
      <c r="CI27" s="178"/>
      <c r="CJ27" s="178"/>
      <c r="CK27" s="178"/>
      <c r="CL27" s="178"/>
      <c r="CM27" s="178"/>
      <c r="CN27" s="178"/>
      <c r="CO27" s="178"/>
      <c r="CP27" s="178"/>
      <c r="CQ27" s="178"/>
      <c r="CR27" s="178"/>
      <c r="CS27" s="178"/>
      <c r="CT27" s="178"/>
      <c r="CU27" s="178"/>
      <c r="CV27" s="178"/>
      <c r="CW27" s="178"/>
      <c r="CX27" s="178"/>
      <c r="CY27" s="178"/>
      <c r="CZ27" s="178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</row>
    <row r="28" spans="1:199">
      <c r="B28" s="182" t="s">
        <v>408</v>
      </c>
      <c r="F28" s="179">
        <f>ROUND(F26-F27+F30,8)</f>
        <v>159912</v>
      </c>
      <c r="G28" s="850">
        <f t="shared" ref="G28" si="11">ROUND(G26-G27+G30,8)</f>
        <v>1078498.3542621301</v>
      </c>
      <c r="H28" s="850">
        <f t="shared" ref="H28" si="12">ROUND(H26-H27+H30,8)</f>
        <v>1104838.3638224101</v>
      </c>
      <c r="I28" s="850">
        <f t="shared" ref="I28" si="13">ROUND(I26-I27+I30,8)</f>
        <v>1106476.1450537699</v>
      </c>
      <c r="J28" s="850">
        <f t="shared" ref="J28" si="14">ROUND(J26-J27+J30,8)</f>
        <v>972247.91971127002</v>
      </c>
      <c r="K28" s="850">
        <f t="shared" ref="K28:M28" si="15">ROUND(K26-K27+K30,8)</f>
        <v>394748.54616478999</v>
      </c>
      <c r="L28" s="850">
        <f t="shared" si="15"/>
        <v>255215.28431197</v>
      </c>
      <c r="M28" s="850">
        <f t="shared" si="15"/>
        <v>110580.05682677</v>
      </c>
      <c r="N28" s="850">
        <f>ROUND(N26-N27+N30,8)</f>
        <v>103889.22225241001</v>
      </c>
      <c r="O28" s="850">
        <f t="shared" ref="O28" si="16">ROUND(O26-O27+O30,8)</f>
        <v>98114.780701650001</v>
      </c>
      <c r="P28" s="850">
        <f t="shared" ref="P28" si="17">ROUND(P26-P27+P30,8)</f>
        <v>87345.426400750002</v>
      </c>
      <c r="Q28" s="850">
        <f t="shared" ref="Q28" si="18">ROUND(Q26-Q27+Q30,8)</f>
        <v>71165.586755559998</v>
      </c>
      <c r="R28" s="850">
        <f t="shared" ref="R28" si="19">ROUND(R26-R27+R30,8)</f>
        <v>56781.884036110001</v>
      </c>
      <c r="S28" s="850">
        <f t="shared" ref="S28" si="20">ROUND(S26-S27+S30,8)</f>
        <v>42398.181316670001</v>
      </c>
      <c r="T28" s="850">
        <f>ROUND(T26-T27+T30,8)</f>
        <v>28014.478597220001</v>
      </c>
      <c r="U28" s="850">
        <f t="shared" ref="U28" si="21">ROUND(U26-U27+U30,8)</f>
        <v>13630.775877780001</v>
      </c>
      <c r="V28" s="850">
        <f t="shared" ref="V28" si="22">ROUND(V26-V27+V30,8)</f>
        <v>-752.92684167000004</v>
      </c>
      <c r="W28" s="850">
        <f t="shared" ref="W28" si="23">ROUND(W26-W27+W30,8)</f>
        <v>-501.95122778000001</v>
      </c>
      <c r="X28" s="850">
        <f t="shared" ref="X28" si="24">ROUND(X26-X27+X30,8)</f>
        <v>-250.97561389000001</v>
      </c>
      <c r="Y28" s="850">
        <f t="shared" ref="Y28" si="25">ROUND(Y26-Y27+Y30,8)</f>
        <v>0</v>
      </c>
      <c r="Z28" s="850">
        <f t="shared" ref="Z28" si="26">ROUND(Z26-Z27+Z30,8)</f>
        <v>0</v>
      </c>
      <c r="AA28" s="850">
        <f>ROUND(AA26-AA27+AA30,8)</f>
        <v>0</v>
      </c>
      <c r="AB28" s="850">
        <f t="shared" ref="AB28" si="27">ROUND(AB26-AB27+AB30,8)</f>
        <v>0</v>
      </c>
      <c r="AC28" s="850">
        <f t="shared" ref="AC28:AD28" si="28">ROUND(AC26-AC27,8)</f>
        <v>0</v>
      </c>
      <c r="AD28" s="850">
        <f t="shared" si="28"/>
        <v>0</v>
      </c>
      <c r="AE28" s="179"/>
      <c r="AF28" s="179"/>
      <c r="AG28" s="179"/>
      <c r="AH28" s="179"/>
      <c r="AI28" s="179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79"/>
      <c r="AU28" s="179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79"/>
      <c r="BG28" s="179"/>
      <c r="BH28" s="179"/>
      <c r="BI28" s="179"/>
      <c r="BJ28" s="179"/>
      <c r="BK28" s="179"/>
      <c r="BL28" s="179"/>
      <c r="BM28" s="179"/>
      <c r="BN28" s="179"/>
      <c r="BO28" s="179"/>
      <c r="BP28" s="179"/>
      <c r="BQ28" s="179"/>
      <c r="BR28" s="179"/>
      <c r="BS28" s="179"/>
      <c r="BT28" s="179"/>
      <c r="BU28" s="179"/>
      <c r="BV28" s="179"/>
      <c r="BW28" s="179"/>
      <c r="BX28" s="179"/>
      <c r="BY28" s="179"/>
      <c r="BZ28" s="179"/>
      <c r="CA28" s="179"/>
      <c r="CB28" s="179"/>
      <c r="CC28" s="179"/>
      <c r="CD28" s="179"/>
      <c r="CE28" s="179"/>
      <c r="CF28" s="179"/>
      <c r="CG28" s="179"/>
      <c r="CH28" s="179"/>
      <c r="CI28" s="179"/>
      <c r="CJ28" s="179"/>
      <c r="CK28" s="179"/>
      <c r="CL28" s="179"/>
      <c r="CM28" s="179"/>
      <c r="CN28" s="179"/>
      <c r="CO28" s="179"/>
      <c r="CP28" s="179"/>
      <c r="CQ28" s="179"/>
      <c r="CR28" s="179"/>
      <c r="CS28" s="179"/>
      <c r="CT28" s="179"/>
      <c r="CU28" s="179"/>
      <c r="CV28" s="179"/>
      <c r="CW28" s="179"/>
      <c r="CX28" s="179"/>
      <c r="CY28" s="179"/>
      <c r="CZ28" s="179"/>
      <c r="DA28" s="179"/>
      <c r="DB28" s="179"/>
      <c r="DC28" s="179"/>
      <c r="DD28" s="179"/>
      <c r="DE28" s="179"/>
      <c r="DF28" s="179"/>
      <c r="DG28" s="179"/>
      <c r="DH28" s="179"/>
      <c r="DI28" s="179"/>
      <c r="DJ28" s="179"/>
    </row>
    <row r="29" spans="1:199">
      <c r="G29" s="851"/>
      <c r="H29" s="851"/>
      <c r="I29" s="851"/>
      <c r="J29" s="851"/>
      <c r="K29" s="851"/>
      <c r="L29" s="851"/>
      <c r="M29" s="851"/>
      <c r="N29" s="851"/>
      <c r="O29" s="851"/>
      <c r="P29" s="851"/>
      <c r="Q29" s="851"/>
      <c r="R29" s="851"/>
      <c r="S29" s="851"/>
      <c r="T29" s="851"/>
      <c r="U29" s="851"/>
      <c r="V29" s="851"/>
      <c r="W29" s="851"/>
      <c r="X29" s="851"/>
      <c r="Y29" s="851"/>
      <c r="Z29" s="851"/>
      <c r="AA29" s="851"/>
      <c r="AB29" s="851"/>
      <c r="AC29" s="851"/>
      <c r="AD29" s="851"/>
    </row>
    <row r="30" spans="1:199">
      <c r="B30" s="222" t="s">
        <v>469</v>
      </c>
      <c r="C30" s="223"/>
      <c r="D30" s="223"/>
      <c r="E30" s="224"/>
      <c r="F30" s="298">
        <v>0</v>
      </c>
      <c r="G30" s="852">
        <f>-0.5%*(G21)</f>
        <v>-4517.5610500000012</v>
      </c>
      <c r="H30" s="852">
        <f>G30+H31</f>
        <v>-4266.5854361111124</v>
      </c>
      <c r="I30" s="852">
        <f t="shared" ref="I30" si="29">H30+I31</f>
        <v>-4015.6098222222236</v>
      </c>
      <c r="J30" s="852">
        <f t="shared" ref="J30" si="30">I30+J31</f>
        <v>-3764.6342083333348</v>
      </c>
      <c r="K30" s="852">
        <f t="shared" ref="K30" si="31">J30+K31</f>
        <v>-3513.658594444446</v>
      </c>
      <c r="L30" s="852">
        <f t="shared" ref="L30" si="32">K30+L31</f>
        <v>-3262.6829805555572</v>
      </c>
      <c r="M30" s="852">
        <f t="shared" ref="M30" si="33">L30+M31</f>
        <v>-3011.7073666666683</v>
      </c>
      <c r="N30" s="852">
        <f t="shared" ref="N30" si="34">M30+N31</f>
        <v>-2760.7317527777795</v>
      </c>
      <c r="O30" s="852">
        <f t="shared" ref="O30" si="35">N30+O31</f>
        <v>-2509.7561388888907</v>
      </c>
      <c r="P30" s="852">
        <f t="shared" ref="P30" si="36">O30+P31</f>
        <v>-2258.7805250000019</v>
      </c>
      <c r="Q30" s="852">
        <f t="shared" ref="Q30" si="37">P30+Q31</f>
        <v>-2007.8049111111129</v>
      </c>
      <c r="R30" s="852">
        <f t="shared" ref="R30" si="38">Q30+R31</f>
        <v>-1756.8292972222239</v>
      </c>
      <c r="S30" s="852">
        <f t="shared" ref="S30" si="39">R30+S31</f>
        <v>-1505.8536833333349</v>
      </c>
      <c r="T30" s="852">
        <f t="shared" ref="T30" si="40">S30+T31</f>
        <v>-1254.8780694444458</v>
      </c>
      <c r="U30" s="852">
        <f t="shared" ref="U30" si="41">T30+U31</f>
        <v>-1003.9024555555569</v>
      </c>
      <c r="V30" s="852">
        <f t="shared" ref="V30" si="42">U30+V31</f>
        <v>-752.926841666668</v>
      </c>
      <c r="W30" s="852">
        <f t="shared" ref="W30" si="43">V30+W31</f>
        <v>-501.95122777777908</v>
      </c>
      <c r="X30" s="852">
        <f t="shared" ref="X30" si="44">W30+X31</f>
        <v>-250.97561388889014</v>
      </c>
      <c r="Y30" s="852">
        <v>0</v>
      </c>
      <c r="Z30" s="852"/>
      <c r="AA30" s="853"/>
      <c r="AB30" s="853"/>
      <c r="AC30" s="853"/>
      <c r="AD30" s="853"/>
      <c r="AE30" s="298"/>
      <c r="AF30" s="298"/>
      <c r="AG30" s="298"/>
      <c r="AH30" s="298"/>
      <c r="AI30" s="298"/>
      <c r="AJ30" s="298"/>
      <c r="AK30" s="298"/>
      <c r="AL30" s="298"/>
      <c r="AM30" s="298"/>
      <c r="AN30" s="298"/>
      <c r="AO30" s="298"/>
      <c r="AP30" s="298"/>
      <c r="AQ30" s="298"/>
      <c r="AR30" s="298"/>
      <c r="AS30" s="298"/>
      <c r="AT30" s="298"/>
      <c r="AU30" s="298"/>
      <c r="AV30" s="298"/>
      <c r="AW30" s="298"/>
      <c r="AX30" s="298"/>
      <c r="AY30" s="298"/>
      <c r="AZ30" s="298"/>
      <c r="BA30" s="298"/>
      <c r="BB30" s="298"/>
      <c r="BC30" s="298"/>
      <c r="BD30" s="298"/>
      <c r="BE30" s="298"/>
      <c r="BF30" s="298"/>
      <c r="BG30" s="298"/>
      <c r="BH30" s="298"/>
      <c r="BI30" s="298"/>
      <c r="BJ30" s="298"/>
      <c r="BK30" s="298"/>
      <c r="BL30" s="298"/>
      <c r="BM30" s="298"/>
      <c r="BN30" s="298"/>
      <c r="BO30" s="298"/>
      <c r="BP30" s="298"/>
      <c r="BQ30" s="298"/>
      <c r="BR30" s="298"/>
      <c r="BS30" s="298"/>
      <c r="BT30" s="298"/>
      <c r="BU30" s="298"/>
      <c r="BV30" s="298"/>
      <c r="BW30" s="298"/>
      <c r="BX30" s="298"/>
      <c r="BY30" s="298"/>
      <c r="BZ30" s="298"/>
      <c r="CA30" s="298"/>
      <c r="CB30" s="298"/>
      <c r="CC30" s="298"/>
      <c r="CD30" s="298"/>
      <c r="CE30" s="298"/>
      <c r="CF30" s="298"/>
      <c r="CG30" s="298"/>
      <c r="CH30" s="298"/>
      <c r="CI30" s="298"/>
      <c r="CJ30" s="298"/>
      <c r="CK30" s="298"/>
      <c r="CL30" s="298"/>
      <c r="CM30" s="298"/>
      <c r="CN30" s="298"/>
      <c r="CO30" s="298"/>
      <c r="CP30" s="298"/>
      <c r="CQ30" s="298"/>
      <c r="CR30" s="298"/>
      <c r="CS30" s="298"/>
      <c r="CT30" s="298"/>
      <c r="CU30" s="298"/>
      <c r="CV30" s="298"/>
      <c r="CW30" s="298"/>
      <c r="CX30" s="298"/>
      <c r="CY30" s="298"/>
      <c r="CZ30" s="298"/>
      <c r="DA30" s="298"/>
      <c r="DB30" s="298"/>
      <c r="DC30" s="298"/>
      <c r="DD30" s="298"/>
      <c r="DE30" s="298"/>
      <c r="DF30" s="298"/>
      <c r="DG30" s="298"/>
      <c r="DH30" s="298"/>
      <c r="DI30" s="298"/>
      <c r="DJ30" s="298"/>
      <c r="DK30" s="162"/>
      <c r="DL30" s="162"/>
      <c r="DM30" s="162"/>
      <c r="DN30" s="162"/>
      <c r="DO30" s="162"/>
      <c r="DP30" s="162"/>
      <c r="DQ30" s="162"/>
      <c r="DR30" s="162"/>
      <c r="DS30" s="162"/>
      <c r="DT30" s="162"/>
      <c r="DU30" s="162"/>
      <c r="DV30" s="162"/>
      <c r="DW30" s="162"/>
      <c r="DX30" s="162"/>
      <c r="DY30" s="162"/>
      <c r="DZ30" s="162"/>
      <c r="EA30" s="162"/>
      <c r="EB30" s="162"/>
      <c r="EC30" s="162"/>
      <c r="ED30" s="162"/>
      <c r="EE30" s="162"/>
      <c r="EF30" s="162"/>
      <c r="EG30" s="162"/>
      <c r="EH30" s="162"/>
      <c r="EI30" s="162"/>
      <c r="EJ30" s="162"/>
      <c r="EK30" s="162"/>
      <c r="EL30" s="162"/>
      <c r="EM30" s="162"/>
      <c r="EN30" s="162"/>
      <c r="EO30" s="162"/>
      <c r="EP30" s="162"/>
      <c r="EQ30" s="162"/>
      <c r="ER30" s="162"/>
      <c r="ES30" s="162"/>
      <c r="ET30" s="162"/>
      <c r="EU30" s="162"/>
      <c r="EV30" s="162"/>
      <c r="EW30" s="162"/>
      <c r="EX30" s="162"/>
      <c r="EY30" s="162"/>
      <c r="EZ30" s="162"/>
      <c r="FA30" s="162"/>
      <c r="FB30" s="162"/>
      <c r="FC30" s="162"/>
      <c r="FD30" s="162"/>
      <c r="FE30" s="162"/>
      <c r="FF30" s="162"/>
      <c r="FG30" s="162"/>
      <c r="FH30" s="162"/>
      <c r="FI30" s="162"/>
      <c r="FJ30" s="162"/>
      <c r="FK30" s="162"/>
      <c r="FL30" s="162"/>
      <c r="FM30" s="162"/>
      <c r="FN30" s="162"/>
      <c r="FO30" s="162"/>
      <c r="FP30" s="162"/>
      <c r="FQ30" s="162"/>
      <c r="FR30" s="162"/>
      <c r="FS30" s="162"/>
      <c r="FT30" s="162"/>
      <c r="FU30" s="162"/>
      <c r="FV30" s="162"/>
      <c r="FW30" s="162"/>
      <c r="FX30" s="162"/>
      <c r="FY30" s="162"/>
      <c r="FZ30" s="162"/>
      <c r="GA30" s="162"/>
      <c r="GB30" s="162"/>
      <c r="GC30" s="162"/>
      <c r="GD30" s="162"/>
      <c r="GE30" s="162"/>
      <c r="GF30" s="162"/>
      <c r="GG30" s="162"/>
      <c r="GH30" s="162"/>
      <c r="GI30" s="162"/>
      <c r="GJ30" s="162"/>
      <c r="GK30" s="162"/>
      <c r="GL30" s="162"/>
      <c r="GM30" s="162"/>
      <c r="GN30" s="162"/>
      <c r="GO30" s="162"/>
      <c r="GP30" s="162"/>
      <c r="GQ30" s="162"/>
    </row>
    <row r="31" spans="1:199">
      <c r="B31" s="218"/>
      <c r="C31" s="164"/>
      <c r="D31" s="225"/>
      <c r="E31" s="225"/>
      <c r="F31" s="297"/>
      <c r="G31" s="854">
        <f>-F30/20</f>
        <v>0</v>
      </c>
      <c r="H31" s="855">
        <f>-G30/18</f>
        <v>250.97561388888894</v>
      </c>
      <c r="I31" s="855">
        <f>H31</f>
        <v>250.97561388888894</v>
      </c>
      <c r="J31" s="855">
        <f t="shared" ref="J31:R31" si="45">I31</f>
        <v>250.97561388888894</v>
      </c>
      <c r="K31" s="855">
        <f t="shared" si="45"/>
        <v>250.97561388888894</v>
      </c>
      <c r="L31" s="855">
        <f t="shared" si="45"/>
        <v>250.97561388888894</v>
      </c>
      <c r="M31" s="855">
        <f t="shared" si="45"/>
        <v>250.97561388888894</v>
      </c>
      <c r="N31" s="855">
        <f t="shared" si="45"/>
        <v>250.97561388888894</v>
      </c>
      <c r="O31" s="855">
        <f t="shared" si="45"/>
        <v>250.97561388888894</v>
      </c>
      <c r="P31" s="855">
        <f t="shared" si="45"/>
        <v>250.97561388888894</v>
      </c>
      <c r="Q31" s="855">
        <f t="shared" si="45"/>
        <v>250.97561388888894</v>
      </c>
      <c r="R31" s="855">
        <f t="shared" si="45"/>
        <v>250.97561388888894</v>
      </c>
      <c r="S31" s="855">
        <f>R31</f>
        <v>250.97561388888894</v>
      </c>
      <c r="T31" s="855">
        <f t="shared" ref="T31:Y31" si="46">S31</f>
        <v>250.97561388888894</v>
      </c>
      <c r="U31" s="855">
        <f t="shared" si="46"/>
        <v>250.97561388888894</v>
      </c>
      <c r="V31" s="855">
        <f t="shared" si="46"/>
        <v>250.97561388888894</v>
      </c>
      <c r="W31" s="855">
        <f t="shared" si="46"/>
        <v>250.97561388888894</v>
      </c>
      <c r="X31" s="855">
        <f t="shared" si="46"/>
        <v>250.97561388888894</v>
      </c>
      <c r="Y31" s="855">
        <f t="shared" si="46"/>
        <v>250.97561388888894</v>
      </c>
      <c r="Z31" s="855"/>
      <c r="AA31" s="854"/>
      <c r="AB31" s="854"/>
      <c r="AC31" s="854"/>
      <c r="AD31" s="854"/>
      <c r="AE31" s="297"/>
      <c r="AF31" s="297"/>
      <c r="AG31" s="297"/>
      <c r="AH31" s="297"/>
      <c r="AI31" s="297"/>
      <c r="AJ31" s="297"/>
      <c r="AK31" s="297"/>
      <c r="AL31" s="297"/>
      <c r="AM31" s="297"/>
      <c r="AN31" s="297"/>
      <c r="AO31" s="297"/>
      <c r="AP31" s="297"/>
      <c r="AQ31" s="297"/>
      <c r="AR31" s="297"/>
      <c r="AS31" s="297"/>
      <c r="AT31" s="297"/>
      <c r="AU31" s="297"/>
      <c r="AV31" s="297"/>
      <c r="AW31" s="297"/>
      <c r="AX31" s="297"/>
      <c r="AY31" s="297"/>
      <c r="AZ31" s="297"/>
      <c r="BA31" s="297"/>
      <c r="BB31" s="297"/>
      <c r="BC31" s="297"/>
      <c r="BD31" s="297"/>
      <c r="BE31" s="297"/>
      <c r="BF31" s="297"/>
      <c r="BG31" s="297"/>
      <c r="BH31" s="297"/>
      <c r="BI31" s="297"/>
      <c r="BJ31" s="297"/>
      <c r="BK31" s="297"/>
      <c r="BL31" s="297"/>
      <c r="BM31" s="297"/>
      <c r="BN31" s="297"/>
      <c r="BO31" s="297"/>
      <c r="BP31" s="297"/>
      <c r="BQ31" s="297"/>
      <c r="BR31" s="297"/>
      <c r="BS31" s="297"/>
      <c r="BT31" s="297"/>
      <c r="BU31" s="297"/>
      <c r="BV31" s="297"/>
      <c r="BW31" s="297"/>
      <c r="BX31" s="297"/>
      <c r="BY31" s="297"/>
      <c r="BZ31" s="297"/>
      <c r="CA31" s="297"/>
      <c r="CB31" s="297"/>
      <c r="CC31" s="297"/>
      <c r="CD31" s="297"/>
      <c r="CE31" s="297"/>
      <c r="CF31" s="297"/>
      <c r="CG31" s="297"/>
      <c r="CH31" s="297"/>
      <c r="CI31" s="297"/>
      <c r="CJ31" s="297"/>
      <c r="CK31" s="297"/>
      <c r="CL31" s="297"/>
      <c r="CM31" s="297"/>
      <c r="CN31" s="297"/>
      <c r="CO31" s="297"/>
      <c r="CP31" s="297"/>
      <c r="CQ31" s="297"/>
      <c r="CR31" s="297"/>
      <c r="CS31" s="297"/>
      <c r="CT31" s="297"/>
      <c r="CU31" s="297"/>
      <c r="CV31" s="297"/>
      <c r="CW31" s="297"/>
      <c r="CX31" s="297"/>
      <c r="CY31" s="297"/>
      <c r="CZ31" s="297"/>
      <c r="DA31" s="297"/>
      <c r="DB31" s="297"/>
      <c r="DC31" s="297"/>
      <c r="DD31" s="297"/>
      <c r="DE31" s="297"/>
      <c r="DF31" s="297"/>
      <c r="DG31" s="297"/>
      <c r="DH31" s="297"/>
      <c r="DI31" s="297"/>
      <c r="DJ31" s="297"/>
      <c r="DK31" s="178"/>
      <c r="DL31" s="178"/>
      <c r="DM31" s="178"/>
      <c r="DN31" s="178"/>
      <c r="DO31" s="178"/>
      <c r="DP31" s="178"/>
      <c r="DQ31" s="178"/>
      <c r="DR31" s="178"/>
      <c r="DS31" s="178"/>
      <c r="DT31" s="178"/>
      <c r="DU31" s="178"/>
      <c r="DV31" s="178"/>
      <c r="DW31" s="178"/>
      <c r="DX31" s="178"/>
      <c r="DY31" s="178"/>
      <c r="DZ31" s="178"/>
      <c r="EA31" s="178"/>
      <c r="EB31" s="178"/>
      <c r="EC31" s="178"/>
      <c r="ED31" s="178"/>
      <c r="EE31" s="178"/>
      <c r="EF31" s="178"/>
      <c r="EG31" s="178"/>
      <c r="EH31" s="178"/>
      <c r="EI31" s="178"/>
      <c r="EJ31" s="178"/>
      <c r="EK31" s="178"/>
      <c r="EL31" s="178"/>
      <c r="EM31" s="178"/>
      <c r="EN31" s="178"/>
      <c r="EO31" s="178"/>
      <c r="EP31" s="178"/>
      <c r="EQ31" s="178"/>
      <c r="ER31" s="178"/>
      <c r="ES31" s="178"/>
      <c r="ET31" s="178"/>
      <c r="EU31" s="178"/>
      <c r="EV31" s="178"/>
      <c r="EW31" s="178"/>
      <c r="EX31" s="178"/>
      <c r="EY31" s="178"/>
      <c r="EZ31" s="178"/>
      <c r="FA31" s="178"/>
      <c r="FB31" s="178"/>
      <c r="FC31" s="178"/>
      <c r="FD31" s="178"/>
      <c r="FE31" s="178"/>
      <c r="FF31" s="178"/>
      <c r="FG31" s="178"/>
      <c r="FH31" s="178"/>
      <c r="FI31" s="178"/>
      <c r="FJ31" s="178"/>
      <c r="FK31" s="178"/>
      <c r="FL31" s="178"/>
      <c r="FM31" s="178"/>
      <c r="FN31" s="178"/>
      <c r="FO31" s="178"/>
      <c r="FP31" s="178"/>
      <c r="FQ31" s="178"/>
      <c r="FR31" s="178"/>
      <c r="FS31" s="178"/>
      <c r="FT31" s="178"/>
      <c r="FU31" s="178"/>
      <c r="FV31" s="178"/>
      <c r="FW31" s="178"/>
      <c r="FX31" s="178"/>
      <c r="FY31" s="178"/>
      <c r="FZ31" s="178"/>
      <c r="GA31" s="178"/>
      <c r="GB31" s="178"/>
      <c r="GC31" s="178"/>
      <c r="GD31" s="178"/>
      <c r="GE31" s="178"/>
      <c r="GF31" s="178"/>
      <c r="GG31" s="178"/>
      <c r="GH31" s="178"/>
      <c r="GI31" s="178"/>
      <c r="GJ31" s="178"/>
      <c r="GK31" s="178"/>
      <c r="GL31" s="178"/>
      <c r="GM31" s="178"/>
      <c r="GN31" s="178"/>
      <c r="GO31" s="178"/>
      <c r="GP31" s="178"/>
      <c r="GQ31" s="178"/>
    </row>
    <row r="32" spans="1:199" s="315" customFormat="1">
      <c r="B32" s="218"/>
      <c r="C32" s="164"/>
      <c r="D32" s="225"/>
      <c r="E32" s="225"/>
      <c r="F32" s="297"/>
      <c r="G32" s="297"/>
      <c r="H32" s="441"/>
      <c r="I32" s="441"/>
      <c r="J32" s="441"/>
      <c r="K32" s="441"/>
      <c r="L32" s="441"/>
      <c r="M32" s="441"/>
      <c r="N32" s="441"/>
      <c r="O32" s="441"/>
      <c r="P32" s="441"/>
      <c r="Q32" s="441"/>
      <c r="R32" s="441"/>
      <c r="S32" s="441"/>
      <c r="T32" s="441"/>
      <c r="U32" s="441"/>
      <c r="V32" s="441"/>
      <c r="W32" s="441"/>
      <c r="X32" s="441"/>
      <c r="Y32" s="441"/>
      <c r="Z32" s="441"/>
      <c r="AA32" s="297"/>
      <c r="AB32" s="297"/>
      <c r="AC32" s="297"/>
      <c r="AD32" s="297"/>
      <c r="AE32" s="297"/>
      <c r="AF32" s="297"/>
      <c r="AG32" s="297"/>
      <c r="AH32" s="297"/>
      <c r="AI32" s="297"/>
      <c r="AJ32" s="297"/>
      <c r="AK32" s="297"/>
      <c r="AL32" s="297"/>
      <c r="AM32" s="297"/>
      <c r="AN32" s="297"/>
      <c r="AO32" s="297"/>
      <c r="AP32" s="297"/>
      <c r="AQ32" s="297"/>
      <c r="AR32" s="297"/>
      <c r="AS32" s="297"/>
      <c r="AT32" s="297"/>
      <c r="AU32" s="297"/>
      <c r="AV32" s="297"/>
      <c r="AW32" s="297"/>
      <c r="AX32" s="297"/>
      <c r="AY32" s="297"/>
      <c r="AZ32" s="297"/>
      <c r="BA32" s="297"/>
      <c r="BB32" s="297"/>
      <c r="BC32" s="297"/>
      <c r="BD32" s="297"/>
      <c r="BE32" s="297"/>
      <c r="BF32" s="297"/>
      <c r="BG32" s="297"/>
      <c r="BH32" s="297"/>
      <c r="BI32" s="297"/>
      <c r="BJ32" s="297"/>
      <c r="BK32" s="297"/>
      <c r="BL32" s="297"/>
      <c r="BM32" s="297"/>
      <c r="BN32" s="297"/>
      <c r="BO32" s="297"/>
      <c r="BP32" s="297"/>
      <c r="BQ32" s="297"/>
      <c r="BR32" s="297"/>
      <c r="BS32" s="297"/>
      <c r="BT32" s="297"/>
      <c r="BU32" s="297"/>
      <c r="BV32" s="297"/>
      <c r="BW32" s="297"/>
      <c r="BX32" s="297"/>
      <c r="BY32" s="297"/>
      <c r="BZ32" s="297"/>
      <c r="CA32" s="297"/>
      <c r="CB32" s="297"/>
      <c r="CC32" s="297"/>
      <c r="CD32" s="297"/>
      <c r="CE32" s="297"/>
      <c r="CF32" s="297"/>
      <c r="CG32" s="297"/>
      <c r="CH32" s="297"/>
      <c r="CI32" s="297"/>
      <c r="CJ32" s="297"/>
      <c r="CK32" s="297"/>
      <c r="CL32" s="297"/>
      <c r="CM32" s="297"/>
      <c r="CN32" s="297"/>
      <c r="CO32" s="297"/>
      <c r="CP32" s="297"/>
      <c r="CQ32" s="297"/>
      <c r="CR32" s="297"/>
      <c r="CS32" s="297"/>
      <c r="CT32" s="297"/>
      <c r="CU32" s="297"/>
      <c r="CV32" s="297"/>
      <c r="CW32" s="297"/>
      <c r="CX32" s="297"/>
      <c r="CY32" s="297"/>
      <c r="CZ32" s="297"/>
      <c r="DA32" s="297"/>
      <c r="DB32" s="297"/>
      <c r="DC32" s="297"/>
      <c r="DD32" s="297"/>
      <c r="DE32" s="297"/>
      <c r="DF32" s="297"/>
      <c r="DG32" s="297"/>
      <c r="DH32" s="297"/>
      <c r="DI32" s="297"/>
      <c r="DJ32" s="297"/>
      <c r="DK32" s="178"/>
      <c r="DL32" s="178"/>
      <c r="DM32" s="178"/>
      <c r="DN32" s="178"/>
      <c r="DO32" s="178"/>
      <c r="DP32" s="178"/>
      <c r="DQ32" s="178"/>
      <c r="DR32" s="178"/>
      <c r="DS32" s="178"/>
      <c r="DT32" s="178"/>
      <c r="DU32" s="178"/>
      <c r="DV32" s="178"/>
      <c r="DW32" s="178"/>
      <c r="DX32" s="178"/>
      <c r="DY32" s="178"/>
      <c r="DZ32" s="178"/>
      <c r="EA32" s="178"/>
      <c r="EB32" s="178"/>
      <c r="EC32" s="178"/>
      <c r="ED32" s="178"/>
      <c r="EE32" s="178"/>
      <c r="EF32" s="178"/>
      <c r="EG32" s="178"/>
      <c r="EH32" s="178"/>
      <c r="EI32" s="178"/>
      <c r="EJ32" s="178"/>
      <c r="EK32" s="178"/>
      <c r="EL32" s="178"/>
      <c r="EM32" s="178"/>
      <c r="EN32" s="178"/>
      <c r="EO32" s="178"/>
      <c r="EP32" s="178"/>
      <c r="EQ32" s="178"/>
      <c r="ER32" s="178"/>
      <c r="ES32" s="178"/>
      <c r="ET32" s="178"/>
      <c r="EU32" s="178"/>
      <c r="EV32" s="178"/>
      <c r="EW32" s="178"/>
      <c r="EX32" s="178"/>
      <c r="EY32" s="178"/>
      <c r="EZ32" s="178"/>
      <c r="FA32" s="178"/>
      <c r="FB32" s="178"/>
      <c r="FC32" s="178"/>
      <c r="FD32" s="178"/>
      <c r="FE32" s="178"/>
      <c r="FF32" s="178"/>
      <c r="FG32" s="178"/>
      <c r="FH32" s="178"/>
      <c r="FI32" s="178"/>
      <c r="FJ32" s="178"/>
      <c r="FK32" s="178"/>
      <c r="FL32" s="178"/>
      <c r="FM32" s="178"/>
      <c r="FN32" s="178"/>
      <c r="FO32" s="178"/>
      <c r="FP32" s="178"/>
      <c r="FQ32" s="178"/>
      <c r="FR32" s="178"/>
      <c r="FS32" s="178"/>
      <c r="FT32" s="178"/>
      <c r="FU32" s="178"/>
      <c r="FV32" s="178"/>
      <c r="FW32" s="178"/>
      <c r="FX32" s="178"/>
      <c r="FY32" s="178"/>
      <c r="FZ32" s="178"/>
      <c r="GA32" s="178"/>
      <c r="GB32" s="178"/>
      <c r="GC32" s="178"/>
      <c r="GD32" s="178"/>
      <c r="GE32" s="178"/>
      <c r="GF32" s="178"/>
      <c r="GG32" s="178"/>
      <c r="GH32" s="178"/>
      <c r="GI32" s="178"/>
      <c r="GJ32" s="178"/>
      <c r="GK32" s="178"/>
      <c r="GL32" s="178"/>
      <c r="GM32" s="178"/>
      <c r="GN32" s="178"/>
      <c r="GO32" s="178"/>
      <c r="GP32" s="178"/>
      <c r="GQ32" s="178"/>
    </row>
    <row r="33" spans="2:199" s="315" customFormat="1">
      <c r="B33" s="371" t="s">
        <v>628</v>
      </c>
      <c r="C33" s="352"/>
      <c r="D33" s="368"/>
      <c r="E33" s="368"/>
      <c r="F33" s="368"/>
      <c r="G33" s="361"/>
      <c r="H33" s="361"/>
      <c r="I33" s="361"/>
      <c r="J33" s="39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441"/>
      <c r="V33" s="441"/>
      <c r="W33" s="441"/>
      <c r="X33" s="441"/>
      <c r="Y33" s="441"/>
      <c r="Z33" s="441"/>
      <c r="AA33" s="297"/>
      <c r="AB33" s="297"/>
      <c r="AC33" s="297"/>
      <c r="AD33" s="297"/>
      <c r="AE33" s="297"/>
      <c r="AF33" s="297"/>
      <c r="AG33" s="297"/>
      <c r="AH33" s="297"/>
      <c r="AI33" s="297"/>
      <c r="AJ33" s="297"/>
      <c r="AK33" s="297"/>
      <c r="AL33" s="297"/>
      <c r="AM33" s="297"/>
      <c r="AN33" s="297"/>
      <c r="AO33" s="297"/>
      <c r="AP33" s="297"/>
      <c r="AQ33" s="297"/>
      <c r="AR33" s="297"/>
      <c r="AS33" s="297"/>
      <c r="AT33" s="297"/>
      <c r="AU33" s="297"/>
      <c r="AV33" s="297"/>
      <c r="AW33" s="297"/>
      <c r="AX33" s="297"/>
      <c r="AY33" s="297"/>
      <c r="AZ33" s="297"/>
      <c r="BA33" s="297"/>
      <c r="BB33" s="297"/>
      <c r="BC33" s="297"/>
      <c r="BD33" s="297"/>
      <c r="BE33" s="297"/>
      <c r="BF33" s="297"/>
      <c r="BG33" s="297"/>
      <c r="BH33" s="297"/>
      <c r="BI33" s="297"/>
      <c r="BJ33" s="297"/>
      <c r="BK33" s="297"/>
      <c r="BL33" s="297"/>
      <c r="BM33" s="297"/>
      <c r="BN33" s="297"/>
      <c r="BO33" s="297"/>
      <c r="BP33" s="297"/>
      <c r="BQ33" s="297"/>
      <c r="BR33" s="297"/>
      <c r="BS33" s="297"/>
      <c r="BT33" s="297"/>
      <c r="BU33" s="297"/>
      <c r="BV33" s="297"/>
      <c r="BW33" s="297"/>
      <c r="BX33" s="297"/>
      <c r="BY33" s="297"/>
      <c r="BZ33" s="297"/>
      <c r="CA33" s="297"/>
      <c r="CB33" s="297"/>
      <c r="CC33" s="297"/>
      <c r="CD33" s="297"/>
      <c r="CE33" s="297"/>
      <c r="CF33" s="297"/>
      <c r="CG33" s="297"/>
      <c r="CH33" s="297"/>
      <c r="CI33" s="297"/>
      <c r="CJ33" s="297"/>
      <c r="CK33" s="297"/>
      <c r="CL33" s="297"/>
      <c r="CM33" s="297"/>
      <c r="CN33" s="297"/>
      <c r="CO33" s="297"/>
      <c r="CP33" s="297"/>
      <c r="CQ33" s="297"/>
      <c r="CR33" s="297"/>
      <c r="CS33" s="297"/>
      <c r="CT33" s="297"/>
      <c r="CU33" s="297"/>
      <c r="CV33" s="297"/>
      <c r="CW33" s="297"/>
      <c r="CX33" s="297"/>
      <c r="CY33" s="297"/>
      <c r="CZ33" s="297"/>
      <c r="DA33" s="297"/>
      <c r="DB33" s="297"/>
      <c r="DC33" s="297"/>
      <c r="DD33" s="297"/>
      <c r="DE33" s="297"/>
      <c r="DF33" s="297"/>
      <c r="DG33" s="297"/>
      <c r="DH33" s="297"/>
      <c r="DI33" s="297"/>
      <c r="DJ33" s="297"/>
      <c r="DK33" s="178"/>
      <c r="DL33" s="178"/>
      <c r="DM33" s="178"/>
      <c r="DN33" s="178"/>
      <c r="DO33" s="178"/>
      <c r="DP33" s="178"/>
      <c r="DQ33" s="178"/>
      <c r="DR33" s="178"/>
      <c r="DS33" s="178"/>
      <c r="DT33" s="178"/>
      <c r="DU33" s="178"/>
      <c r="DV33" s="178"/>
      <c r="DW33" s="178"/>
      <c r="DX33" s="178"/>
      <c r="DY33" s="178"/>
      <c r="DZ33" s="178"/>
      <c r="EA33" s="178"/>
      <c r="EB33" s="178"/>
      <c r="EC33" s="178"/>
      <c r="ED33" s="178"/>
      <c r="EE33" s="178"/>
      <c r="EF33" s="178"/>
      <c r="EG33" s="178"/>
      <c r="EH33" s="178"/>
      <c r="EI33" s="178"/>
      <c r="EJ33" s="178"/>
      <c r="EK33" s="178"/>
      <c r="EL33" s="178"/>
      <c r="EM33" s="178"/>
      <c r="EN33" s="178"/>
      <c r="EO33" s="178"/>
      <c r="EP33" s="178"/>
      <c r="EQ33" s="178"/>
      <c r="ER33" s="178"/>
      <c r="ES33" s="178"/>
      <c r="ET33" s="178"/>
      <c r="EU33" s="178"/>
      <c r="EV33" s="178"/>
      <c r="EW33" s="178"/>
      <c r="EX33" s="178"/>
      <c r="EY33" s="178"/>
      <c r="EZ33" s="178"/>
      <c r="FA33" s="178"/>
      <c r="FB33" s="178"/>
      <c r="FC33" s="178"/>
      <c r="FD33" s="178"/>
      <c r="FE33" s="178"/>
      <c r="FF33" s="178"/>
      <c r="FG33" s="178"/>
      <c r="FH33" s="178"/>
      <c r="FI33" s="178"/>
      <c r="FJ33" s="178"/>
      <c r="FK33" s="178"/>
      <c r="FL33" s="178"/>
      <c r="FM33" s="178"/>
      <c r="FN33" s="178"/>
      <c r="FO33" s="178"/>
      <c r="FP33" s="178"/>
      <c r="FQ33" s="178"/>
      <c r="FR33" s="178"/>
      <c r="FS33" s="178"/>
      <c r="FT33" s="178"/>
      <c r="FU33" s="178"/>
      <c r="FV33" s="178"/>
      <c r="FW33" s="178"/>
      <c r="FX33" s="178"/>
      <c r="FY33" s="178"/>
      <c r="FZ33" s="178"/>
      <c r="GA33" s="178"/>
      <c r="GB33" s="178"/>
      <c r="GC33" s="178"/>
      <c r="GD33" s="178"/>
      <c r="GE33" s="178"/>
      <c r="GF33" s="178"/>
      <c r="GG33" s="178"/>
      <c r="GH33" s="178"/>
      <c r="GI33" s="178"/>
      <c r="GJ33" s="178"/>
      <c r="GK33" s="178"/>
      <c r="GL33" s="178"/>
      <c r="GM33" s="178"/>
      <c r="GN33" s="178"/>
      <c r="GO33" s="178"/>
      <c r="GP33" s="178"/>
      <c r="GQ33" s="178"/>
    </row>
    <row r="34" spans="2:199" s="315" customFormat="1">
      <c r="B34" s="715" t="s">
        <v>470</v>
      </c>
      <c r="C34" s="715"/>
      <c r="D34" s="716"/>
      <c r="E34" s="716"/>
      <c r="F34" s="716"/>
      <c r="G34" s="845">
        <f>PROJ_AGCeAGPar!I320</f>
        <v>0</v>
      </c>
      <c r="H34" s="845">
        <f>PROJ_AGCeAGPar!J320</f>
        <v>0</v>
      </c>
      <c r="I34" s="845">
        <f>PROJ_AGCeAGPar!K320</f>
        <v>0</v>
      </c>
      <c r="J34" s="845">
        <f>PROJ_AGCeAGPar!L320</f>
        <v>0</v>
      </c>
      <c r="K34" s="845">
        <f>PROJ_AGCeAGPar!M320</f>
        <v>0</v>
      </c>
      <c r="L34" s="845">
        <f>PROJ_AGCeAGPar!N320</f>
        <v>0</v>
      </c>
      <c r="M34" s="845">
        <f>PROJ_AGCeAGPar!O320</f>
        <v>0</v>
      </c>
      <c r="N34" s="845">
        <f>PROJ_AGCeAGPar!P320</f>
        <v>0</v>
      </c>
      <c r="O34" s="845">
        <f>PROJ_AGCeAGPar!Q320</f>
        <v>0</v>
      </c>
      <c r="P34" s="845">
        <f>PROJ_AGCeAGPar!R320</f>
        <v>0</v>
      </c>
      <c r="Q34" s="845">
        <f>PROJ_AGCeAGPar!S320</f>
        <v>0</v>
      </c>
      <c r="R34" s="845">
        <f>PROJ_AGCeAGPar!T320</f>
        <v>0</v>
      </c>
      <c r="S34" s="845">
        <f>PROJ_AGCeAGPar!U320</f>
        <v>0</v>
      </c>
      <c r="T34" s="845">
        <f>PROJ_AGCeAGPar!V320</f>
        <v>0</v>
      </c>
      <c r="U34" s="845">
        <f>PROJ_AGCeAGPar!W320</f>
        <v>0</v>
      </c>
      <c r="V34" s="845">
        <f>PROJ_AGCeAGPar!X320</f>
        <v>0</v>
      </c>
      <c r="W34" s="845">
        <f>PROJ_AGCeAGPar!Y320</f>
        <v>0</v>
      </c>
      <c r="X34" s="845">
        <f>PROJ_AGCeAGPar!Z320</f>
        <v>0</v>
      </c>
      <c r="Y34" s="845">
        <f>PROJ_AGCeAGPar!AA320</f>
        <v>0</v>
      </c>
      <c r="Z34" s="845">
        <f>PROJ_AGCeAGPar!AB320</f>
        <v>0</v>
      </c>
      <c r="AA34" s="845">
        <f>PROJ_AGCeAGPar!AC320</f>
        <v>0</v>
      </c>
      <c r="AB34" s="717"/>
      <c r="AC34" s="717"/>
      <c r="AD34" s="717"/>
      <c r="AE34" s="717"/>
      <c r="AF34" s="717"/>
      <c r="AG34" s="717"/>
      <c r="AH34" s="717"/>
      <c r="AI34" s="717"/>
      <c r="AJ34" s="717"/>
      <c r="AK34" s="717"/>
      <c r="AL34" s="717"/>
      <c r="AM34" s="717"/>
      <c r="AN34" s="717"/>
      <c r="AO34" s="717"/>
      <c r="AP34" s="717"/>
      <c r="AQ34" s="717"/>
      <c r="AR34" s="717"/>
      <c r="AS34" s="717"/>
      <c r="AT34" s="717"/>
      <c r="AU34" s="717"/>
      <c r="AV34" s="717"/>
      <c r="AW34" s="717"/>
      <c r="AX34" s="717"/>
      <c r="AY34" s="717"/>
      <c r="AZ34" s="717"/>
      <c r="BA34" s="717"/>
      <c r="BB34" s="717"/>
      <c r="BC34" s="717"/>
      <c r="BD34" s="297"/>
      <c r="BE34" s="297"/>
      <c r="BF34" s="297"/>
      <c r="BG34" s="297"/>
      <c r="BH34" s="297"/>
      <c r="BI34" s="297"/>
      <c r="BJ34" s="297"/>
      <c r="BK34" s="297"/>
      <c r="BL34" s="297"/>
      <c r="BM34" s="297"/>
      <c r="BN34" s="297"/>
      <c r="BO34" s="297"/>
      <c r="BP34" s="297"/>
      <c r="BQ34" s="297"/>
      <c r="BR34" s="297"/>
      <c r="BS34" s="297"/>
      <c r="BT34" s="297"/>
      <c r="BU34" s="297"/>
      <c r="BV34" s="297"/>
      <c r="BW34" s="297"/>
      <c r="BX34" s="297"/>
      <c r="BY34" s="297"/>
      <c r="BZ34" s="297"/>
      <c r="CA34" s="297"/>
      <c r="CB34" s="297"/>
      <c r="CC34" s="297"/>
      <c r="CD34" s="297"/>
      <c r="CE34" s="297"/>
      <c r="CF34" s="297"/>
      <c r="CG34" s="297"/>
      <c r="CH34" s="297"/>
      <c r="CI34" s="297"/>
      <c r="CJ34" s="297"/>
      <c r="CK34" s="297"/>
      <c r="CL34" s="297"/>
      <c r="CM34" s="297"/>
      <c r="CN34" s="297"/>
      <c r="CO34" s="297"/>
      <c r="CP34" s="297"/>
      <c r="CQ34" s="297"/>
      <c r="CR34" s="297"/>
      <c r="CS34" s="297"/>
      <c r="CT34" s="297"/>
      <c r="CU34" s="297"/>
      <c r="CV34" s="297"/>
      <c r="CW34" s="297"/>
      <c r="CX34" s="297"/>
      <c r="CY34" s="297"/>
      <c r="CZ34" s="297"/>
      <c r="DA34" s="297"/>
      <c r="DB34" s="297"/>
      <c r="DC34" s="297"/>
      <c r="DD34" s="297"/>
      <c r="DE34" s="297"/>
      <c r="DF34" s="297"/>
      <c r="DG34" s="297"/>
      <c r="DH34" s="297"/>
      <c r="DI34" s="297"/>
      <c r="DJ34" s="297"/>
      <c r="DK34" s="178"/>
      <c r="DL34" s="178"/>
      <c r="DM34" s="178"/>
      <c r="DN34" s="178"/>
      <c r="DO34" s="178"/>
      <c r="DP34" s="178"/>
      <c r="DQ34" s="178"/>
      <c r="DR34" s="178"/>
      <c r="DS34" s="178"/>
      <c r="DT34" s="178"/>
      <c r="DU34" s="178"/>
      <c r="DV34" s="178"/>
      <c r="DW34" s="178"/>
      <c r="DX34" s="178"/>
      <c r="DY34" s="178"/>
      <c r="DZ34" s="178"/>
      <c r="EA34" s="178"/>
      <c r="EB34" s="178"/>
      <c r="EC34" s="178"/>
      <c r="ED34" s="178"/>
      <c r="EE34" s="178"/>
      <c r="EF34" s="178"/>
      <c r="EG34" s="178"/>
      <c r="EH34" s="178"/>
      <c r="EI34" s="178"/>
      <c r="EJ34" s="178"/>
      <c r="EK34" s="178"/>
      <c r="EL34" s="178"/>
      <c r="EM34" s="178"/>
      <c r="EN34" s="178"/>
      <c r="EO34" s="178"/>
      <c r="EP34" s="178"/>
      <c r="EQ34" s="178"/>
      <c r="ER34" s="178"/>
      <c r="ES34" s="178"/>
      <c r="ET34" s="178"/>
      <c r="EU34" s="178"/>
      <c r="EV34" s="178"/>
      <c r="EW34" s="178"/>
      <c r="EX34" s="178"/>
      <c r="EY34" s="178"/>
      <c r="EZ34" s="178"/>
      <c r="FA34" s="178"/>
      <c r="FB34" s="178"/>
      <c r="FC34" s="178"/>
      <c r="FD34" s="178"/>
      <c r="FE34" s="178"/>
      <c r="FF34" s="178"/>
      <c r="FG34" s="178"/>
      <c r="FH34" s="178"/>
      <c r="FI34" s="178"/>
      <c r="FJ34" s="178"/>
      <c r="FK34" s="178"/>
      <c r="FL34" s="178"/>
      <c r="FM34" s="178"/>
      <c r="FN34" s="178"/>
      <c r="FO34" s="178"/>
      <c r="FP34" s="178"/>
      <c r="FQ34" s="178"/>
      <c r="FR34" s="178"/>
      <c r="FS34" s="178"/>
      <c r="FT34" s="178"/>
      <c r="FU34" s="178"/>
      <c r="FV34" s="178"/>
      <c r="FW34" s="178"/>
      <c r="FX34" s="178"/>
      <c r="FY34" s="178"/>
      <c r="FZ34" s="178"/>
      <c r="GA34" s="178"/>
      <c r="GB34" s="178"/>
      <c r="GC34" s="178"/>
      <c r="GD34" s="178"/>
      <c r="GE34" s="178"/>
      <c r="GF34" s="178"/>
      <c r="GG34" s="178"/>
      <c r="GH34" s="178"/>
      <c r="GI34" s="178"/>
      <c r="GJ34" s="178"/>
      <c r="GK34" s="178"/>
      <c r="GL34" s="178"/>
      <c r="GM34" s="178"/>
      <c r="GN34" s="178"/>
      <c r="GO34" s="178"/>
      <c r="GP34" s="178"/>
      <c r="GQ34" s="178"/>
    </row>
    <row r="35" spans="2:199" s="315" customFormat="1">
      <c r="B35" s="352" t="s">
        <v>686</v>
      </c>
      <c r="C35" s="352"/>
      <c r="D35" s="368"/>
      <c r="E35" s="368"/>
      <c r="F35" s="368"/>
      <c r="G35" s="800">
        <f>MAX(0,G39-G34)</f>
        <v>0</v>
      </c>
      <c r="H35" s="800">
        <f t="shared" ref="H35:Y35" si="47">MAX(0,H39-H34)</f>
        <v>0</v>
      </c>
      <c r="I35" s="800">
        <f t="shared" si="47"/>
        <v>0</v>
      </c>
      <c r="J35" s="800">
        <f t="shared" si="47"/>
        <v>0</v>
      </c>
      <c r="K35" s="800">
        <f t="shared" si="47"/>
        <v>0</v>
      </c>
      <c r="L35" s="800">
        <f t="shared" si="47"/>
        <v>0</v>
      </c>
      <c r="M35" s="800">
        <f t="shared" si="47"/>
        <v>0</v>
      </c>
      <c r="N35" s="800">
        <f t="shared" si="47"/>
        <v>0</v>
      </c>
      <c r="O35" s="800">
        <f t="shared" si="47"/>
        <v>0</v>
      </c>
      <c r="P35" s="800">
        <f t="shared" si="47"/>
        <v>0</v>
      </c>
      <c r="Q35" s="800">
        <f t="shared" si="47"/>
        <v>0</v>
      </c>
      <c r="R35" s="800">
        <f t="shared" si="47"/>
        <v>0</v>
      </c>
      <c r="S35" s="800">
        <f t="shared" si="47"/>
        <v>0</v>
      </c>
      <c r="T35" s="800">
        <f t="shared" si="47"/>
        <v>0</v>
      </c>
      <c r="U35" s="800">
        <f t="shared" si="47"/>
        <v>0</v>
      </c>
      <c r="V35" s="800">
        <f t="shared" si="47"/>
        <v>0</v>
      </c>
      <c r="W35" s="800">
        <f t="shared" si="47"/>
        <v>0</v>
      </c>
      <c r="X35" s="800">
        <f t="shared" si="47"/>
        <v>0</v>
      </c>
      <c r="Y35" s="800">
        <f t="shared" si="47"/>
        <v>0</v>
      </c>
      <c r="Z35" s="615">
        <f t="shared" ref="Z35" si="48">Z39-Z34</f>
        <v>0</v>
      </c>
      <c r="AA35" s="615">
        <f t="shared" ref="AA35" si="49">AA39-AA34</f>
        <v>0</v>
      </c>
      <c r="AB35" s="361"/>
      <c r="AC35" s="361"/>
      <c r="AD35" s="361"/>
      <c r="AE35" s="361"/>
      <c r="AF35" s="361"/>
      <c r="AG35" s="361"/>
      <c r="AH35" s="361"/>
      <c r="AI35" s="361"/>
      <c r="AJ35" s="361"/>
      <c r="AK35" s="361"/>
      <c r="AL35" s="361"/>
      <c r="AM35" s="361"/>
      <c r="AN35" s="361"/>
      <c r="AO35" s="361"/>
      <c r="AP35" s="361"/>
      <c r="AQ35" s="361"/>
      <c r="AR35" s="361"/>
      <c r="AS35" s="361"/>
      <c r="AT35" s="361"/>
      <c r="AU35" s="361"/>
      <c r="AV35" s="361"/>
      <c r="AW35" s="361"/>
      <c r="AX35" s="361"/>
      <c r="AY35" s="361"/>
      <c r="AZ35" s="361"/>
      <c r="BA35" s="361"/>
      <c r="BB35" s="361"/>
      <c r="BC35" s="361"/>
      <c r="BD35" s="297"/>
      <c r="BE35" s="297"/>
      <c r="BF35" s="297"/>
      <c r="BG35" s="297"/>
      <c r="BH35" s="297"/>
      <c r="BI35" s="297"/>
      <c r="BJ35" s="297"/>
      <c r="BK35" s="297"/>
      <c r="BL35" s="297"/>
      <c r="BM35" s="297"/>
      <c r="BN35" s="297"/>
      <c r="BO35" s="297"/>
      <c r="BP35" s="297"/>
      <c r="BQ35" s="297"/>
      <c r="BR35" s="297"/>
      <c r="BS35" s="297"/>
      <c r="BT35" s="297"/>
      <c r="BU35" s="297"/>
      <c r="BV35" s="297"/>
      <c r="BW35" s="297"/>
      <c r="BX35" s="297"/>
      <c r="BY35" s="297"/>
      <c r="BZ35" s="297"/>
      <c r="CA35" s="297"/>
      <c r="CB35" s="297"/>
      <c r="CC35" s="297"/>
      <c r="CD35" s="297"/>
      <c r="CE35" s="297"/>
      <c r="CF35" s="297"/>
      <c r="CG35" s="297"/>
      <c r="CH35" s="297"/>
      <c r="CI35" s="297"/>
      <c r="CJ35" s="297"/>
      <c r="CK35" s="297"/>
      <c r="CL35" s="297"/>
      <c r="CM35" s="297"/>
      <c r="CN35" s="297"/>
      <c r="CO35" s="297"/>
      <c r="CP35" s="297"/>
      <c r="CQ35" s="297"/>
      <c r="CR35" s="297"/>
      <c r="CS35" s="297"/>
      <c r="CT35" s="297"/>
      <c r="CU35" s="297"/>
      <c r="CV35" s="297"/>
      <c r="CW35" s="297"/>
      <c r="CX35" s="297"/>
      <c r="CY35" s="297"/>
      <c r="CZ35" s="297"/>
      <c r="DA35" s="297"/>
      <c r="DB35" s="297"/>
      <c r="DC35" s="297"/>
      <c r="DD35" s="297"/>
      <c r="DE35" s="297"/>
      <c r="DF35" s="297"/>
      <c r="DG35" s="297"/>
      <c r="DH35" s="297"/>
      <c r="DI35" s="297"/>
      <c r="DJ35" s="297"/>
      <c r="DK35" s="178"/>
      <c r="DL35" s="178"/>
      <c r="DM35" s="178"/>
      <c r="DN35" s="178"/>
      <c r="DO35" s="178"/>
      <c r="DP35" s="178"/>
      <c r="DQ35" s="178"/>
      <c r="DR35" s="178"/>
      <c r="DS35" s="178"/>
      <c r="DT35" s="178"/>
      <c r="DU35" s="178"/>
      <c r="DV35" s="178"/>
      <c r="DW35" s="178"/>
      <c r="DX35" s="178"/>
      <c r="DY35" s="178"/>
      <c r="DZ35" s="178"/>
      <c r="EA35" s="178"/>
      <c r="EB35" s="178"/>
      <c r="EC35" s="178"/>
      <c r="ED35" s="178"/>
      <c r="EE35" s="178"/>
      <c r="EF35" s="178"/>
      <c r="EG35" s="178"/>
      <c r="EH35" s="178"/>
      <c r="EI35" s="178"/>
      <c r="EJ35" s="178"/>
      <c r="EK35" s="178"/>
      <c r="EL35" s="178"/>
      <c r="EM35" s="178"/>
      <c r="EN35" s="178"/>
      <c r="EO35" s="178"/>
      <c r="EP35" s="178"/>
      <c r="EQ35" s="178"/>
      <c r="ER35" s="178"/>
      <c r="ES35" s="178"/>
      <c r="ET35" s="178"/>
      <c r="EU35" s="178"/>
      <c r="EV35" s="178"/>
      <c r="EW35" s="178"/>
      <c r="EX35" s="178"/>
      <c r="EY35" s="178"/>
      <c r="EZ35" s="178"/>
      <c r="FA35" s="178"/>
      <c r="FB35" s="178"/>
      <c r="FC35" s="178"/>
      <c r="FD35" s="178"/>
      <c r="FE35" s="178"/>
      <c r="FF35" s="178"/>
      <c r="FG35" s="178"/>
      <c r="FH35" s="178"/>
      <c r="FI35" s="178"/>
      <c r="FJ35" s="178"/>
      <c r="FK35" s="178"/>
      <c r="FL35" s="178"/>
      <c r="FM35" s="178"/>
      <c r="FN35" s="178"/>
      <c r="FO35" s="178"/>
      <c r="FP35" s="178"/>
      <c r="FQ35" s="178"/>
      <c r="FR35" s="178"/>
      <c r="FS35" s="178"/>
      <c r="FT35" s="178"/>
      <c r="FU35" s="178"/>
      <c r="FV35" s="178"/>
      <c r="FW35" s="178"/>
      <c r="FX35" s="178"/>
      <c r="FY35" s="178"/>
      <c r="FZ35" s="178"/>
      <c r="GA35" s="178"/>
      <c r="GB35" s="178"/>
      <c r="GC35" s="178"/>
      <c r="GD35" s="178"/>
      <c r="GE35" s="178"/>
      <c r="GF35" s="178"/>
      <c r="GG35" s="178"/>
      <c r="GH35" s="178"/>
      <c r="GI35" s="178"/>
      <c r="GJ35" s="178"/>
      <c r="GK35" s="178"/>
      <c r="GL35" s="178"/>
      <c r="GM35" s="178"/>
      <c r="GN35" s="178"/>
      <c r="GO35" s="178"/>
      <c r="GP35" s="178"/>
      <c r="GQ35" s="178"/>
    </row>
    <row r="36" spans="2:199" s="315" customFormat="1">
      <c r="B36" s="352" t="s">
        <v>433</v>
      </c>
      <c r="C36" s="352"/>
      <c r="D36" s="368"/>
      <c r="E36" s="368"/>
      <c r="F36" s="368"/>
      <c r="G36" s="800">
        <f>MIN(0,G39-G34)</f>
        <v>0</v>
      </c>
      <c r="H36" s="800">
        <f t="shared" ref="H36:Y36" si="50">MIN(0,H39-H34)</f>
        <v>0</v>
      </c>
      <c r="I36" s="800">
        <f t="shared" si="50"/>
        <v>0</v>
      </c>
      <c r="J36" s="800">
        <f t="shared" si="50"/>
        <v>0</v>
      </c>
      <c r="K36" s="800">
        <f t="shared" si="50"/>
        <v>0</v>
      </c>
      <c r="L36" s="800">
        <f t="shared" si="50"/>
        <v>0</v>
      </c>
      <c r="M36" s="800">
        <f t="shared" si="50"/>
        <v>0</v>
      </c>
      <c r="N36" s="800">
        <f t="shared" si="50"/>
        <v>0</v>
      </c>
      <c r="O36" s="800">
        <f t="shared" si="50"/>
        <v>0</v>
      </c>
      <c r="P36" s="800">
        <f t="shared" si="50"/>
        <v>0</v>
      </c>
      <c r="Q36" s="800">
        <f t="shared" si="50"/>
        <v>0</v>
      </c>
      <c r="R36" s="800">
        <f t="shared" si="50"/>
        <v>0</v>
      </c>
      <c r="S36" s="800">
        <f t="shared" si="50"/>
        <v>0</v>
      </c>
      <c r="T36" s="800">
        <f t="shared" si="50"/>
        <v>0</v>
      </c>
      <c r="U36" s="800">
        <f t="shared" si="50"/>
        <v>0</v>
      </c>
      <c r="V36" s="800">
        <f t="shared" si="50"/>
        <v>0</v>
      </c>
      <c r="W36" s="800">
        <f t="shared" si="50"/>
        <v>0</v>
      </c>
      <c r="X36" s="800">
        <f t="shared" si="50"/>
        <v>0</v>
      </c>
      <c r="Y36" s="800">
        <f t="shared" si="50"/>
        <v>0</v>
      </c>
      <c r="Z36" s="615">
        <f t="shared" ref="Z36:AA36" si="51">Z39-Z34</f>
        <v>0</v>
      </c>
      <c r="AA36" s="615">
        <f t="shared" si="51"/>
        <v>0</v>
      </c>
      <c r="AB36" s="361"/>
      <c r="AC36" s="361"/>
      <c r="AD36" s="361"/>
      <c r="AE36" s="361"/>
      <c r="AF36" s="361"/>
      <c r="AG36" s="361"/>
      <c r="AH36" s="361"/>
      <c r="AI36" s="361"/>
      <c r="AJ36" s="361"/>
      <c r="AK36" s="361"/>
      <c r="AL36" s="361"/>
      <c r="AM36" s="361"/>
      <c r="AN36" s="361"/>
      <c r="AO36" s="361"/>
      <c r="AP36" s="361"/>
      <c r="AQ36" s="361"/>
      <c r="AR36" s="361"/>
      <c r="AS36" s="361"/>
      <c r="AT36" s="361"/>
      <c r="AU36" s="361"/>
      <c r="AV36" s="361"/>
      <c r="AW36" s="361"/>
      <c r="AX36" s="361"/>
      <c r="AY36" s="361"/>
      <c r="AZ36" s="361"/>
      <c r="BA36" s="361"/>
      <c r="BB36" s="361"/>
      <c r="BC36" s="361"/>
      <c r="BD36" s="297"/>
      <c r="BE36" s="297"/>
      <c r="BF36" s="297"/>
      <c r="BG36" s="297"/>
      <c r="BH36" s="297"/>
      <c r="BI36" s="297"/>
      <c r="BJ36" s="297"/>
      <c r="BK36" s="297"/>
      <c r="BL36" s="297"/>
      <c r="BM36" s="297"/>
      <c r="BN36" s="297"/>
      <c r="BO36" s="297"/>
      <c r="BP36" s="297"/>
      <c r="BQ36" s="297"/>
      <c r="BR36" s="297"/>
      <c r="BS36" s="297"/>
      <c r="BT36" s="297"/>
      <c r="BU36" s="297"/>
      <c r="BV36" s="297"/>
      <c r="BW36" s="297"/>
      <c r="BX36" s="297"/>
      <c r="BY36" s="297"/>
      <c r="BZ36" s="297"/>
      <c r="CA36" s="297"/>
      <c r="CB36" s="297"/>
      <c r="CC36" s="297"/>
      <c r="CD36" s="297"/>
      <c r="CE36" s="297"/>
      <c r="CF36" s="297"/>
      <c r="CG36" s="297"/>
      <c r="CH36" s="297"/>
      <c r="CI36" s="297"/>
      <c r="CJ36" s="297"/>
      <c r="CK36" s="297"/>
      <c r="CL36" s="297"/>
      <c r="CM36" s="297"/>
      <c r="CN36" s="297"/>
      <c r="CO36" s="297"/>
      <c r="CP36" s="297"/>
      <c r="CQ36" s="297"/>
      <c r="CR36" s="297"/>
      <c r="CS36" s="297"/>
      <c r="CT36" s="297"/>
      <c r="CU36" s="297"/>
      <c r="CV36" s="297"/>
      <c r="CW36" s="297"/>
      <c r="CX36" s="297"/>
      <c r="CY36" s="297"/>
      <c r="CZ36" s="297"/>
      <c r="DA36" s="297"/>
      <c r="DB36" s="297"/>
      <c r="DC36" s="297"/>
      <c r="DD36" s="297"/>
      <c r="DE36" s="297"/>
      <c r="DF36" s="297"/>
      <c r="DG36" s="297"/>
      <c r="DH36" s="297"/>
      <c r="DI36" s="297"/>
      <c r="DJ36" s="297"/>
      <c r="DK36" s="178"/>
      <c r="DL36" s="178"/>
      <c r="DM36" s="178"/>
      <c r="DN36" s="178"/>
      <c r="DO36" s="178"/>
      <c r="DP36" s="178"/>
      <c r="DQ36" s="178"/>
      <c r="DR36" s="178"/>
      <c r="DS36" s="178"/>
      <c r="DT36" s="178"/>
      <c r="DU36" s="178"/>
      <c r="DV36" s="178"/>
      <c r="DW36" s="178"/>
      <c r="DX36" s="178"/>
      <c r="DY36" s="178"/>
      <c r="DZ36" s="178"/>
      <c r="EA36" s="178"/>
      <c r="EB36" s="178"/>
      <c r="EC36" s="178"/>
      <c r="ED36" s="178"/>
      <c r="EE36" s="178"/>
      <c r="EF36" s="178"/>
      <c r="EG36" s="178"/>
      <c r="EH36" s="178"/>
      <c r="EI36" s="178"/>
      <c r="EJ36" s="178"/>
      <c r="EK36" s="178"/>
      <c r="EL36" s="178"/>
      <c r="EM36" s="178"/>
      <c r="EN36" s="178"/>
      <c r="EO36" s="178"/>
      <c r="EP36" s="178"/>
      <c r="EQ36" s="178"/>
      <c r="ER36" s="178"/>
      <c r="ES36" s="178"/>
      <c r="ET36" s="178"/>
      <c r="EU36" s="178"/>
      <c r="EV36" s="178"/>
      <c r="EW36" s="178"/>
      <c r="EX36" s="178"/>
      <c r="EY36" s="178"/>
      <c r="EZ36" s="178"/>
      <c r="FA36" s="178"/>
      <c r="FB36" s="178"/>
      <c r="FC36" s="178"/>
      <c r="FD36" s="178"/>
      <c r="FE36" s="178"/>
      <c r="FF36" s="178"/>
      <c r="FG36" s="178"/>
      <c r="FH36" s="178"/>
      <c r="FI36" s="178"/>
      <c r="FJ36" s="178"/>
      <c r="FK36" s="178"/>
      <c r="FL36" s="178"/>
      <c r="FM36" s="178"/>
      <c r="FN36" s="178"/>
      <c r="FO36" s="178"/>
      <c r="FP36" s="178"/>
      <c r="FQ36" s="178"/>
      <c r="FR36" s="178"/>
      <c r="FS36" s="178"/>
      <c r="FT36" s="178"/>
      <c r="FU36" s="178"/>
      <c r="FV36" s="178"/>
      <c r="FW36" s="178"/>
      <c r="FX36" s="178"/>
      <c r="FY36" s="178"/>
      <c r="FZ36" s="178"/>
      <c r="GA36" s="178"/>
      <c r="GB36" s="178"/>
      <c r="GC36" s="178"/>
      <c r="GD36" s="178"/>
      <c r="GE36" s="178"/>
      <c r="GF36" s="178"/>
      <c r="GG36" s="178"/>
      <c r="GH36" s="178"/>
      <c r="GI36" s="178"/>
      <c r="GJ36" s="178"/>
      <c r="GK36" s="178"/>
      <c r="GL36" s="178"/>
      <c r="GM36" s="178"/>
      <c r="GN36" s="178"/>
      <c r="GO36" s="178"/>
      <c r="GP36" s="178"/>
      <c r="GQ36" s="178"/>
    </row>
    <row r="37" spans="2:199" s="315" customFormat="1" ht="13.5" thickBot="1">
      <c r="B37" s="352" t="s">
        <v>687</v>
      </c>
      <c r="C37" s="372" t="s">
        <v>466</v>
      </c>
      <c r="D37" s="368"/>
      <c r="E37" s="368"/>
      <c r="F37" s="368"/>
      <c r="G37" s="615">
        <f>-G38*(G34)</f>
        <v>0</v>
      </c>
      <c r="H37" s="615">
        <f t="shared" ref="H37:N37" si="52">-H38*(H34)</f>
        <v>0</v>
      </c>
      <c r="I37" s="615">
        <f t="shared" si="52"/>
        <v>0</v>
      </c>
      <c r="J37" s="615">
        <f t="shared" si="52"/>
        <v>0</v>
      </c>
      <c r="K37" s="615">
        <f t="shared" si="52"/>
        <v>0</v>
      </c>
      <c r="L37" s="615">
        <f t="shared" si="52"/>
        <v>0</v>
      </c>
      <c r="M37" s="615">
        <f t="shared" si="52"/>
        <v>0</v>
      </c>
      <c r="N37" s="615">
        <f t="shared" si="52"/>
        <v>0</v>
      </c>
      <c r="O37" s="615">
        <f>-O38*(O34)</f>
        <v>0</v>
      </c>
      <c r="P37" s="615">
        <f t="shared" ref="P37" si="53">-P38*(P34)</f>
        <v>0</v>
      </c>
      <c r="Q37" s="615">
        <f t="shared" ref="Q37" si="54">-Q38*(Q34)</f>
        <v>0</v>
      </c>
      <c r="R37" s="615">
        <f t="shared" ref="R37" si="55">-R38*(R34)</f>
        <v>0</v>
      </c>
      <c r="S37" s="615">
        <f t="shared" ref="S37" si="56">-S38*(S34)</f>
        <v>0</v>
      </c>
      <c r="T37" s="615">
        <f t="shared" ref="T37" si="57">-T38*(T34)</f>
        <v>0</v>
      </c>
      <c r="U37" s="615">
        <f t="shared" ref="U37" si="58">-U38*(U34)</f>
        <v>0</v>
      </c>
      <c r="V37" s="615">
        <f t="shared" ref="V37" si="59">-V38*(V34)</f>
        <v>0</v>
      </c>
      <c r="W37" s="615">
        <f t="shared" ref="W37" si="60">-W38*(W34)</f>
        <v>0</v>
      </c>
      <c r="X37" s="615">
        <f t="shared" ref="X37" si="61">-X38*(X34)</f>
        <v>0</v>
      </c>
      <c r="Y37" s="615">
        <f t="shared" ref="Y37" si="62">-Y38*(Y34)</f>
        <v>0</v>
      </c>
      <c r="Z37" s="615">
        <f t="shared" ref="Z37" si="63">-Z38*(Z34)</f>
        <v>0</v>
      </c>
      <c r="AA37" s="615">
        <f t="shared" ref="AA37" si="64">-AA38*(AA34)</f>
        <v>0</v>
      </c>
      <c r="AB37" s="361"/>
      <c r="AC37" s="361"/>
      <c r="AD37" s="361"/>
      <c r="AE37" s="361"/>
      <c r="AF37" s="361"/>
      <c r="AG37" s="361"/>
      <c r="AH37" s="361"/>
      <c r="AI37" s="361"/>
      <c r="AJ37" s="361"/>
      <c r="AK37" s="361"/>
      <c r="AL37" s="361"/>
      <c r="AM37" s="361"/>
      <c r="AN37" s="361"/>
      <c r="AO37" s="361"/>
      <c r="AP37" s="361"/>
      <c r="AQ37" s="361"/>
      <c r="AR37" s="361"/>
      <c r="AS37" s="361"/>
      <c r="AT37" s="361"/>
      <c r="AU37" s="361"/>
      <c r="AV37" s="361"/>
      <c r="AW37" s="361"/>
      <c r="AX37" s="361"/>
      <c r="AY37" s="361"/>
      <c r="AZ37" s="361"/>
      <c r="BA37" s="361"/>
      <c r="BB37" s="361"/>
      <c r="BC37" s="361"/>
      <c r="BD37" s="297"/>
      <c r="BE37" s="297"/>
      <c r="BF37" s="297"/>
      <c r="BG37" s="297"/>
      <c r="BH37" s="297"/>
      <c r="BI37" s="297"/>
      <c r="BJ37" s="297"/>
      <c r="BK37" s="297"/>
      <c r="BL37" s="297"/>
      <c r="BM37" s="297"/>
      <c r="BN37" s="297"/>
      <c r="BO37" s="297"/>
      <c r="BP37" s="297"/>
      <c r="BQ37" s="297"/>
      <c r="BR37" s="297"/>
      <c r="BS37" s="297"/>
      <c r="BT37" s="297"/>
      <c r="BU37" s="297"/>
      <c r="BV37" s="297"/>
      <c r="BW37" s="297"/>
      <c r="BX37" s="297"/>
      <c r="BY37" s="297"/>
      <c r="BZ37" s="297"/>
      <c r="CA37" s="297"/>
      <c r="CB37" s="297"/>
      <c r="CC37" s="297"/>
      <c r="CD37" s="297"/>
      <c r="CE37" s="297"/>
      <c r="CF37" s="297"/>
      <c r="CG37" s="297"/>
      <c r="CH37" s="297"/>
      <c r="CI37" s="297"/>
      <c r="CJ37" s="297"/>
      <c r="CK37" s="297"/>
      <c r="CL37" s="297"/>
      <c r="CM37" s="297"/>
      <c r="CN37" s="297"/>
      <c r="CO37" s="297"/>
      <c r="CP37" s="297"/>
      <c r="CQ37" s="297"/>
      <c r="CR37" s="297"/>
      <c r="CS37" s="297"/>
      <c r="CT37" s="297"/>
      <c r="CU37" s="297"/>
      <c r="CV37" s="297"/>
      <c r="CW37" s="297"/>
      <c r="CX37" s="297"/>
      <c r="CY37" s="297"/>
      <c r="CZ37" s="297"/>
      <c r="DA37" s="297"/>
      <c r="DB37" s="297"/>
      <c r="DC37" s="297"/>
      <c r="DD37" s="297"/>
      <c r="DE37" s="297"/>
      <c r="DF37" s="297"/>
      <c r="DG37" s="297"/>
      <c r="DH37" s="297"/>
      <c r="DI37" s="297"/>
      <c r="DJ37" s="297"/>
      <c r="DK37" s="178"/>
      <c r="DL37" s="178"/>
      <c r="DM37" s="178"/>
      <c r="DN37" s="178"/>
      <c r="DO37" s="178"/>
      <c r="DP37" s="178"/>
      <c r="DQ37" s="178"/>
      <c r="DR37" s="178"/>
      <c r="DS37" s="178"/>
      <c r="DT37" s="178"/>
      <c r="DU37" s="178"/>
      <c r="DV37" s="178"/>
      <c r="DW37" s="178"/>
      <c r="DX37" s="178"/>
      <c r="DY37" s="178"/>
      <c r="DZ37" s="178"/>
      <c r="EA37" s="178"/>
      <c r="EB37" s="178"/>
      <c r="EC37" s="178"/>
      <c r="ED37" s="178"/>
      <c r="EE37" s="178"/>
      <c r="EF37" s="178"/>
      <c r="EG37" s="178"/>
      <c r="EH37" s="178"/>
      <c r="EI37" s="178"/>
      <c r="EJ37" s="178"/>
      <c r="EK37" s="178"/>
      <c r="EL37" s="178"/>
      <c r="EM37" s="178"/>
      <c r="EN37" s="178"/>
      <c r="EO37" s="178"/>
      <c r="EP37" s="178"/>
      <c r="EQ37" s="178"/>
      <c r="ER37" s="178"/>
      <c r="ES37" s="178"/>
      <c r="ET37" s="178"/>
      <c r="EU37" s="178"/>
      <c r="EV37" s="178"/>
      <c r="EW37" s="178"/>
      <c r="EX37" s="178"/>
      <c r="EY37" s="178"/>
      <c r="EZ37" s="178"/>
      <c r="FA37" s="178"/>
      <c r="FB37" s="178"/>
      <c r="FC37" s="178"/>
      <c r="FD37" s="178"/>
      <c r="FE37" s="178"/>
      <c r="FF37" s="178"/>
      <c r="FG37" s="178"/>
      <c r="FH37" s="178"/>
      <c r="FI37" s="178"/>
      <c r="FJ37" s="178"/>
      <c r="FK37" s="178"/>
      <c r="FL37" s="178"/>
      <c r="FM37" s="178"/>
      <c r="FN37" s="178"/>
      <c r="FO37" s="178"/>
      <c r="FP37" s="178"/>
      <c r="FQ37" s="178"/>
      <c r="FR37" s="178"/>
      <c r="FS37" s="178"/>
      <c r="FT37" s="178"/>
      <c r="FU37" s="178"/>
      <c r="FV37" s="178"/>
      <c r="FW37" s="178"/>
      <c r="FX37" s="178"/>
      <c r="FY37" s="178"/>
      <c r="FZ37" s="178"/>
      <c r="GA37" s="178"/>
      <c r="GB37" s="178"/>
      <c r="GC37" s="178"/>
      <c r="GD37" s="178"/>
      <c r="GE37" s="178"/>
      <c r="GF37" s="178"/>
      <c r="GG37" s="178"/>
      <c r="GH37" s="178"/>
      <c r="GI37" s="178"/>
      <c r="GJ37" s="178"/>
      <c r="GK37" s="178"/>
      <c r="GL37" s="178"/>
      <c r="GM37" s="178"/>
      <c r="GN37" s="178"/>
      <c r="GO37" s="178"/>
      <c r="GP37" s="178"/>
      <c r="GQ37" s="178"/>
    </row>
    <row r="38" spans="2:199" s="315" customFormat="1">
      <c r="B38" s="356" t="s">
        <v>689</v>
      </c>
      <c r="C38" s="712">
        <v>1</v>
      </c>
      <c r="D38" s="421"/>
      <c r="E38" s="421"/>
      <c r="F38" s="421"/>
      <c r="G38" s="714">
        <f>$C$38*HLOOKUP(G$7,Macroeconomics!$B$5:$GB$36,Macroeconomics!$A$24,0)</f>
        <v>8.756043060229167E-2</v>
      </c>
      <c r="H38" s="714">
        <f>$C$38*HLOOKUP(H$7,Macroeconomics!$B$5:$GB$36,Macroeconomics!$A$24,0)</f>
        <v>8.444931666376497E-2</v>
      </c>
      <c r="I38" s="714">
        <f>$C$38*HLOOKUP(I$7,Macroeconomics!$B$5:$GB$36,Macroeconomics!$A$24,0)</f>
        <v>9.6145242716012547E-2</v>
      </c>
      <c r="J38" s="714">
        <f>$C$38*HLOOKUP(J$7,Macroeconomics!$B$5:$GB$36,Macroeconomics!$A$24,0)</f>
        <v>9.4942253320802195E-2</v>
      </c>
      <c r="K38" s="714">
        <f>$C$38*HLOOKUP(K$7,Macroeconomics!$B$5:$GB$36,Macroeconomics!$A$24,0)</f>
        <v>9.6699999999999994E-2</v>
      </c>
      <c r="L38" s="714">
        <f>$C$38*HLOOKUP(L$7,Macroeconomics!$B$5:$GB$36,Macroeconomics!$A$24,0)</f>
        <v>9.6699999999999994E-2</v>
      </c>
      <c r="M38" s="714">
        <f>$C$38*HLOOKUP(M$7,Macroeconomics!$B$5:$GB$36,Macroeconomics!$A$24,0)</f>
        <v>9.4299999999999995E-2</v>
      </c>
      <c r="N38" s="714">
        <f>$C$38*HLOOKUP(N$7,Macroeconomics!$B$5:$GB$36,Macroeconomics!$A$24,0)</f>
        <v>9.4200000000000006E-2</v>
      </c>
      <c r="O38" s="714">
        <f>$C$38*HLOOKUP(O$7,Macroeconomics!$B$5:$GB$36,Macroeconomics!$A$24,0)</f>
        <v>9.4200000000000006E-2</v>
      </c>
      <c r="P38" s="714">
        <f>$C$38*HLOOKUP(P$7,Macroeconomics!$B$5:$GB$36,Macroeconomics!$A$24,0)</f>
        <v>9.4200000000000006E-2</v>
      </c>
      <c r="Q38" s="714">
        <f>$C$38*HLOOKUP(Q$7,Macroeconomics!$B$5:$GB$36,Macroeconomics!$A$24,0)</f>
        <v>9.1799999999999993E-2</v>
      </c>
      <c r="R38" s="714">
        <f>$C$38*HLOOKUP(R$7,Macroeconomics!$B$5:$GB$36,Macroeconomics!$A$24,0)</f>
        <v>9.1799999999999993E-2</v>
      </c>
      <c r="S38" s="714">
        <f>$C$38*HLOOKUP(S$7,Macroeconomics!$B$5:$GB$36,Macroeconomics!$A$24,0)</f>
        <v>9.1799999999999993E-2</v>
      </c>
      <c r="T38" s="714">
        <f>$C$38*HLOOKUP(T$7,Macroeconomics!$B$5:$GB$36,Macroeconomics!$A$24,0)</f>
        <v>9.1799999999999993E-2</v>
      </c>
      <c r="U38" s="714">
        <f>$C$38*HLOOKUP(U$7,Macroeconomics!$B$5:$GB$36,Macroeconomics!$A$24,0)</f>
        <v>9.1799999999999993E-2</v>
      </c>
      <c r="V38" s="714">
        <f>$C$38*HLOOKUP(V$7,Macroeconomics!$B$5:$GB$36,Macroeconomics!$A$24,0)</f>
        <v>8.929999999999999E-2</v>
      </c>
      <c r="W38" s="714">
        <f>$C$38*HLOOKUP(W$7,Macroeconomics!$B$5:$GB$36,Macroeconomics!$A$24,0)</f>
        <v>8.929999999999999E-2</v>
      </c>
      <c r="X38" s="714">
        <f>$C$38*HLOOKUP(X$7,Macroeconomics!$B$5:$GB$36,Macroeconomics!$A$24,0)</f>
        <v>8.929999999999999E-2</v>
      </c>
      <c r="Y38" s="714">
        <f>$C$38*HLOOKUP(Y$7,Macroeconomics!$B$5:$GB$36,Macroeconomics!$A$24,0)</f>
        <v>8.929999999999999E-2</v>
      </c>
      <c r="Z38" s="714">
        <f>$C$38*HLOOKUP(Z$7,Macroeconomics!$B$5:$GB$36,Macroeconomics!$A$24,0)</f>
        <v>8.929999999999999E-2</v>
      </c>
      <c r="AA38" s="714">
        <f>$C$38*HLOOKUP(AA$7,Macroeconomics!$B$5:$GB$36,Macroeconomics!$A$24,0)</f>
        <v>8.929999999999999E-2</v>
      </c>
      <c r="AB38" s="714"/>
      <c r="AC38" s="714"/>
      <c r="AD38" s="714"/>
      <c r="AE38" s="714"/>
      <c r="AF38" s="714"/>
      <c r="AG38" s="714"/>
      <c r="AH38" s="714"/>
      <c r="AI38" s="714"/>
      <c r="AJ38" s="714"/>
      <c r="AK38" s="714"/>
      <c r="AL38" s="714"/>
      <c r="AM38" s="714"/>
      <c r="AN38" s="714"/>
      <c r="AO38" s="714"/>
      <c r="AP38" s="714"/>
      <c r="AQ38" s="714"/>
      <c r="AR38" s="714"/>
      <c r="AS38" s="714"/>
      <c r="AT38" s="714"/>
      <c r="AU38" s="714"/>
      <c r="AV38" s="714"/>
      <c r="AW38" s="714"/>
      <c r="AX38" s="714"/>
      <c r="AY38" s="714"/>
      <c r="AZ38" s="714"/>
      <c r="BA38" s="714"/>
      <c r="BB38" s="714"/>
      <c r="BC38" s="714"/>
      <c r="BD38" s="297"/>
      <c r="BE38" s="297"/>
      <c r="BF38" s="297"/>
      <c r="BG38" s="297"/>
      <c r="BH38" s="297"/>
      <c r="BI38" s="297"/>
      <c r="BJ38" s="297"/>
      <c r="BK38" s="297"/>
      <c r="BL38" s="297"/>
      <c r="BM38" s="297"/>
      <c r="BN38" s="297"/>
      <c r="BO38" s="297"/>
      <c r="BP38" s="297"/>
      <c r="BQ38" s="297"/>
      <c r="BR38" s="297"/>
      <c r="BS38" s="297"/>
      <c r="BT38" s="297"/>
      <c r="BU38" s="297"/>
      <c r="BV38" s="297"/>
      <c r="BW38" s="297"/>
      <c r="BX38" s="297"/>
      <c r="BY38" s="297"/>
      <c r="BZ38" s="297"/>
      <c r="CA38" s="297"/>
      <c r="CB38" s="297"/>
      <c r="CC38" s="297"/>
      <c r="CD38" s="297"/>
      <c r="CE38" s="297"/>
      <c r="CF38" s="297"/>
      <c r="CG38" s="297"/>
      <c r="CH38" s="297"/>
      <c r="CI38" s="297"/>
      <c r="CJ38" s="297"/>
      <c r="CK38" s="297"/>
      <c r="CL38" s="297"/>
      <c r="CM38" s="297"/>
      <c r="CN38" s="297"/>
      <c r="CO38" s="297"/>
      <c r="CP38" s="297"/>
      <c r="CQ38" s="297"/>
      <c r="CR38" s="297"/>
      <c r="CS38" s="297"/>
      <c r="CT38" s="297"/>
      <c r="CU38" s="297"/>
      <c r="CV38" s="297"/>
      <c r="CW38" s="297"/>
      <c r="CX38" s="297"/>
      <c r="CY38" s="297"/>
      <c r="CZ38" s="297"/>
      <c r="DA38" s="297"/>
      <c r="DB38" s="297"/>
      <c r="DC38" s="297"/>
      <c r="DD38" s="297"/>
      <c r="DE38" s="297"/>
      <c r="DF38" s="297"/>
      <c r="DG38" s="297"/>
      <c r="DH38" s="297"/>
      <c r="DI38" s="297"/>
      <c r="DJ38" s="297"/>
      <c r="DK38" s="178"/>
      <c r="DL38" s="178"/>
      <c r="DM38" s="178"/>
      <c r="DN38" s="178"/>
      <c r="DO38" s="178"/>
      <c r="DP38" s="178"/>
      <c r="DQ38" s="178"/>
      <c r="DR38" s="178"/>
      <c r="DS38" s="178"/>
      <c r="DT38" s="178"/>
      <c r="DU38" s="178"/>
      <c r="DV38" s="178"/>
      <c r="DW38" s="178"/>
      <c r="DX38" s="178"/>
      <c r="DY38" s="178"/>
      <c r="DZ38" s="178"/>
      <c r="EA38" s="178"/>
      <c r="EB38" s="178"/>
      <c r="EC38" s="178"/>
      <c r="ED38" s="178"/>
      <c r="EE38" s="178"/>
      <c r="EF38" s="178"/>
      <c r="EG38" s="178"/>
      <c r="EH38" s="178"/>
      <c r="EI38" s="178"/>
      <c r="EJ38" s="178"/>
      <c r="EK38" s="178"/>
      <c r="EL38" s="178"/>
      <c r="EM38" s="178"/>
      <c r="EN38" s="178"/>
      <c r="EO38" s="178"/>
      <c r="EP38" s="178"/>
      <c r="EQ38" s="178"/>
      <c r="ER38" s="178"/>
      <c r="ES38" s="178"/>
      <c r="ET38" s="178"/>
      <c r="EU38" s="178"/>
      <c r="EV38" s="178"/>
      <c r="EW38" s="178"/>
      <c r="EX38" s="178"/>
      <c r="EY38" s="178"/>
      <c r="EZ38" s="178"/>
      <c r="FA38" s="178"/>
      <c r="FB38" s="178"/>
      <c r="FC38" s="178"/>
      <c r="FD38" s="178"/>
      <c r="FE38" s="178"/>
      <c r="FF38" s="178"/>
      <c r="FG38" s="178"/>
      <c r="FH38" s="178"/>
      <c r="FI38" s="178"/>
      <c r="FJ38" s="178"/>
      <c r="FK38" s="178"/>
      <c r="FL38" s="178"/>
      <c r="FM38" s="178"/>
      <c r="FN38" s="178"/>
      <c r="FO38" s="178"/>
      <c r="FP38" s="178"/>
      <c r="FQ38" s="178"/>
      <c r="FR38" s="178"/>
      <c r="FS38" s="178"/>
      <c r="FT38" s="178"/>
      <c r="FU38" s="178"/>
      <c r="FV38" s="178"/>
      <c r="FW38" s="178"/>
      <c r="FX38" s="178"/>
      <c r="FY38" s="178"/>
      <c r="FZ38" s="178"/>
      <c r="GA38" s="178"/>
      <c r="GB38" s="178"/>
      <c r="GC38" s="178"/>
      <c r="GD38" s="178"/>
      <c r="GE38" s="178"/>
      <c r="GF38" s="178"/>
      <c r="GG38" s="178"/>
      <c r="GH38" s="178"/>
      <c r="GI38" s="178"/>
      <c r="GJ38" s="178"/>
      <c r="GK38" s="178"/>
      <c r="GL38" s="178"/>
      <c r="GM38" s="178"/>
      <c r="GN38" s="178"/>
      <c r="GO38" s="178"/>
      <c r="GP38" s="178"/>
      <c r="GQ38" s="178"/>
    </row>
    <row r="39" spans="2:199" s="315" customFormat="1">
      <c r="B39" s="371" t="s">
        <v>688</v>
      </c>
      <c r="C39" s="352"/>
      <c r="D39" s="368"/>
      <c r="E39" s="368"/>
      <c r="F39" s="368"/>
      <c r="G39" s="616">
        <f>PROJ_AGCeAGPar!J320</f>
        <v>0</v>
      </c>
      <c r="H39" s="616">
        <f>PROJ_AGCeAGPar!K320</f>
        <v>0</v>
      </c>
      <c r="I39" s="616">
        <f>PROJ_AGCeAGPar!L320</f>
        <v>0</v>
      </c>
      <c r="J39" s="616">
        <f>PROJ_AGCeAGPar!M320</f>
        <v>0</v>
      </c>
      <c r="K39" s="616">
        <f>PROJ_AGCeAGPar!N320</f>
        <v>0</v>
      </c>
      <c r="L39" s="616">
        <f>PROJ_AGCeAGPar!O320</f>
        <v>0</v>
      </c>
      <c r="M39" s="616">
        <f>PROJ_AGCeAGPar!P320</f>
        <v>0</v>
      </c>
      <c r="N39" s="616">
        <f>PROJ_AGCeAGPar!Q320</f>
        <v>0</v>
      </c>
      <c r="O39" s="616">
        <f>PROJ_AGCeAGPar!R320</f>
        <v>0</v>
      </c>
      <c r="P39" s="616">
        <f>PROJ_AGCeAGPar!S320</f>
        <v>0</v>
      </c>
      <c r="Q39" s="616">
        <f>PROJ_AGCeAGPar!T320</f>
        <v>0</v>
      </c>
      <c r="R39" s="616">
        <f>PROJ_AGCeAGPar!U320</f>
        <v>0</v>
      </c>
      <c r="S39" s="616">
        <f>PROJ_AGCeAGPar!V320</f>
        <v>0</v>
      </c>
      <c r="T39" s="616">
        <f>PROJ_AGCeAGPar!W320</f>
        <v>0</v>
      </c>
      <c r="U39" s="616">
        <f>PROJ_AGCeAGPar!X320</f>
        <v>0</v>
      </c>
      <c r="V39" s="616">
        <f>PROJ_AGCeAGPar!Y320</f>
        <v>0</v>
      </c>
      <c r="W39" s="616">
        <f>PROJ_AGCeAGPar!Z320</f>
        <v>0</v>
      </c>
      <c r="X39" s="616">
        <f>PROJ_AGCeAGPar!AA320</f>
        <v>0</v>
      </c>
      <c r="Y39" s="616">
        <f>PROJ_AGCeAGPar!AB320</f>
        <v>0</v>
      </c>
      <c r="Z39" s="616">
        <f>PROJ_AGCeAGPar!AC320</f>
        <v>0</v>
      </c>
      <c r="AA39" s="616">
        <f>PROJ_AGCeAGPar!AD320</f>
        <v>0</v>
      </c>
      <c r="AB39" s="592"/>
      <c r="AC39" s="592"/>
      <c r="AD39" s="592"/>
      <c r="AE39" s="592"/>
      <c r="AF39" s="592"/>
      <c r="AG39" s="592"/>
      <c r="AH39" s="592"/>
      <c r="AI39" s="592"/>
      <c r="AJ39" s="592"/>
      <c r="AK39" s="592"/>
      <c r="AL39" s="592"/>
      <c r="AM39" s="592"/>
      <c r="AN39" s="592"/>
      <c r="AO39" s="592"/>
      <c r="AP39" s="592"/>
      <c r="AQ39" s="592"/>
      <c r="AR39" s="592"/>
      <c r="AS39" s="592"/>
      <c r="AT39" s="592"/>
      <c r="AU39" s="592"/>
      <c r="AV39" s="592"/>
      <c r="AW39" s="592"/>
      <c r="AX39" s="592"/>
      <c r="AY39" s="592"/>
      <c r="AZ39" s="592"/>
      <c r="BA39" s="592"/>
      <c r="BB39" s="592"/>
      <c r="BC39" s="592"/>
      <c r="BD39" s="297"/>
      <c r="BE39" s="297"/>
      <c r="BF39" s="297"/>
      <c r="BG39" s="297"/>
      <c r="BH39" s="297"/>
      <c r="BI39" s="297"/>
      <c r="BJ39" s="297"/>
      <c r="BK39" s="297"/>
      <c r="BL39" s="297"/>
      <c r="BM39" s="297"/>
      <c r="BN39" s="297"/>
      <c r="BO39" s="297"/>
      <c r="BP39" s="297"/>
      <c r="BQ39" s="297"/>
      <c r="BR39" s="297"/>
      <c r="BS39" s="297"/>
      <c r="BT39" s="297"/>
      <c r="BU39" s="297"/>
      <c r="BV39" s="297"/>
      <c r="BW39" s="297"/>
      <c r="BX39" s="297"/>
      <c r="BY39" s="297"/>
      <c r="BZ39" s="297"/>
      <c r="CA39" s="297"/>
      <c r="CB39" s="297"/>
      <c r="CC39" s="297"/>
      <c r="CD39" s="297"/>
      <c r="CE39" s="297"/>
      <c r="CF39" s="297"/>
      <c r="CG39" s="297"/>
      <c r="CH39" s="297"/>
      <c r="CI39" s="297"/>
      <c r="CJ39" s="297"/>
      <c r="CK39" s="297"/>
      <c r="CL39" s="297"/>
      <c r="CM39" s="297"/>
      <c r="CN39" s="297"/>
      <c r="CO39" s="297"/>
      <c r="CP39" s="297"/>
      <c r="CQ39" s="297"/>
      <c r="CR39" s="297"/>
      <c r="CS39" s="297"/>
      <c r="CT39" s="297"/>
      <c r="CU39" s="297"/>
      <c r="CV39" s="297"/>
      <c r="CW39" s="297"/>
      <c r="CX39" s="297"/>
      <c r="CY39" s="297"/>
      <c r="CZ39" s="297"/>
      <c r="DA39" s="297"/>
      <c r="DB39" s="297"/>
      <c r="DC39" s="297"/>
      <c r="DD39" s="297"/>
      <c r="DE39" s="297"/>
      <c r="DF39" s="297"/>
      <c r="DG39" s="297"/>
      <c r="DH39" s="297"/>
      <c r="DI39" s="297"/>
      <c r="DJ39" s="297"/>
      <c r="DK39" s="178"/>
      <c r="DL39" s="178"/>
      <c r="DM39" s="178"/>
      <c r="DN39" s="178"/>
      <c r="DO39" s="178"/>
      <c r="DP39" s="178"/>
      <c r="DQ39" s="178"/>
      <c r="DR39" s="178"/>
      <c r="DS39" s="178"/>
      <c r="DT39" s="178"/>
      <c r="DU39" s="178"/>
      <c r="DV39" s="178"/>
      <c r="DW39" s="178"/>
      <c r="DX39" s="178"/>
      <c r="DY39" s="178"/>
      <c r="DZ39" s="178"/>
      <c r="EA39" s="178"/>
      <c r="EB39" s="178"/>
      <c r="EC39" s="178"/>
      <c r="ED39" s="178"/>
      <c r="EE39" s="178"/>
      <c r="EF39" s="178"/>
      <c r="EG39" s="178"/>
      <c r="EH39" s="178"/>
      <c r="EI39" s="178"/>
      <c r="EJ39" s="178"/>
      <c r="EK39" s="178"/>
      <c r="EL39" s="178"/>
      <c r="EM39" s="178"/>
      <c r="EN39" s="178"/>
      <c r="EO39" s="178"/>
      <c r="EP39" s="178"/>
      <c r="EQ39" s="178"/>
      <c r="ER39" s="178"/>
      <c r="ES39" s="178"/>
      <c r="ET39" s="178"/>
      <c r="EU39" s="178"/>
      <c r="EV39" s="178"/>
      <c r="EW39" s="178"/>
      <c r="EX39" s="178"/>
      <c r="EY39" s="178"/>
      <c r="EZ39" s="178"/>
      <c r="FA39" s="178"/>
      <c r="FB39" s="178"/>
      <c r="FC39" s="178"/>
      <c r="FD39" s="178"/>
      <c r="FE39" s="178"/>
      <c r="FF39" s="178"/>
      <c r="FG39" s="178"/>
      <c r="FH39" s="178"/>
      <c r="FI39" s="178"/>
      <c r="FJ39" s="178"/>
      <c r="FK39" s="178"/>
      <c r="FL39" s="178"/>
      <c r="FM39" s="178"/>
      <c r="FN39" s="178"/>
      <c r="FO39" s="178"/>
      <c r="FP39" s="178"/>
      <c r="FQ39" s="178"/>
      <c r="FR39" s="178"/>
      <c r="FS39" s="178"/>
      <c r="FT39" s="178"/>
      <c r="FU39" s="178"/>
      <c r="FV39" s="178"/>
      <c r="FW39" s="178"/>
      <c r="FX39" s="178"/>
      <c r="FY39" s="178"/>
      <c r="FZ39" s="178"/>
      <c r="GA39" s="178"/>
      <c r="GB39" s="178"/>
      <c r="GC39" s="178"/>
      <c r="GD39" s="178"/>
      <c r="GE39" s="178"/>
      <c r="GF39" s="178"/>
      <c r="GG39" s="178"/>
      <c r="GH39" s="178"/>
      <c r="GI39" s="178"/>
      <c r="GJ39" s="178"/>
      <c r="GK39" s="178"/>
      <c r="GL39" s="178"/>
      <c r="GM39" s="178"/>
      <c r="GN39" s="178"/>
      <c r="GO39" s="178"/>
      <c r="GP39" s="178"/>
      <c r="GQ39" s="178"/>
    </row>
    <row r="40" spans="2:199" s="315" customFormat="1">
      <c r="B40" s="218"/>
      <c r="C40" s="164"/>
      <c r="D40" s="225"/>
      <c r="E40" s="225"/>
      <c r="F40" s="297"/>
      <c r="G40" s="297"/>
      <c r="H40" s="441"/>
      <c r="I40" s="441"/>
      <c r="J40" s="441"/>
      <c r="K40" s="441"/>
      <c r="L40" s="441"/>
      <c r="M40" s="441"/>
      <c r="N40" s="441"/>
      <c r="O40" s="441"/>
      <c r="P40" s="441"/>
      <c r="Q40" s="441"/>
      <c r="R40" s="441"/>
      <c r="S40" s="441"/>
      <c r="T40" s="441"/>
      <c r="U40" s="441"/>
      <c r="V40" s="441"/>
      <c r="W40" s="441"/>
      <c r="X40" s="441"/>
      <c r="Y40" s="441"/>
      <c r="Z40" s="441"/>
      <c r="AA40" s="297"/>
      <c r="AB40" s="297"/>
      <c r="AC40" s="297"/>
      <c r="AD40" s="297"/>
      <c r="AE40" s="297"/>
      <c r="AF40" s="297"/>
      <c r="AG40" s="297"/>
      <c r="AH40" s="297"/>
      <c r="AI40" s="297"/>
      <c r="AJ40" s="297"/>
      <c r="AK40" s="297"/>
      <c r="AL40" s="297"/>
      <c r="AM40" s="297"/>
      <c r="AN40" s="297"/>
      <c r="AO40" s="297"/>
      <c r="AP40" s="297"/>
      <c r="AQ40" s="297"/>
      <c r="AR40" s="297"/>
      <c r="AS40" s="297"/>
      <c r="AT40" s="297"/>
      <c r="AU40" s="297"/>
      <c r="AV40" s="297"/>
      <c r="AW40" s="297"/>
      <c r="AX40" s="297"/>
      <c r="AY40" s="297"/>
      <c r="AZ40" s="297"/>
      <c r="BA40" s="297"/>
      <c r="BB40" s="297"/>
      <c r="BC40" s="297"/>
      <c r="BD40" s="297"/>
      <c r="BE40" s="297"/>
      <c r="BF40" s="297"/>
      <c r="BG40" s="297"/>
      <c r="BH40" s="297"/>
      <c r="BI40" s="297"/>
      <c r="BJ40" s="297"/>
      <c r="BK40" s="297"/>
      <c r="BL40" s="297"/>
      <c r="BM40" s="297"/>
      <c r="BN40" s="297"/>
      <c r="BO40" s="297"/>
      <c r="BP40" s="297"/>
      <c r="BQ40" s="297"/>
      <c r="BR40" s="297"/>
      <c r="BS40" s="297"/>
      <c r="BT40" s="297"/>
      <c r="BU40" s="297"/>
      <c r="BV40" s="297"/>
      <c r="BW40" s="297"/>
      <c r="BX40" s="297"/>
      <c r="BY40" s="297"/>
      <c r="BZ40" s="297"/>
      <c r="CA40" s="297"/>
      <c r="CB40" s="297"/>
      <c r="CC40" s="297"/>
      <c r="CD40" s="297"/>
      <c r="CE40" s="297"/>
      <c r="CF40" s="297"/>
      <c r="CG40" s="297"/>
      <c r="CH40" s="297"/>
      <c r="CI40" s="297"/>
      <c r="CJ40" s="297"/>
      <c r="CK40" s="297"/>
      <c r="CL40" s="297"/>
      <c r="CM40" s="297"/>
      <c r="CN40" s="297"/>
      <c r="CO40" s="297"/>
      <c r="CP40" s="297"/>
      <c r="CQ40" s="297"/>
      <c r="CR40" s="297"/>
      <c r="CS40" s="297"/>
      <c r="CT40" s="297"/>
      <c r="CU40" s="297"/>
      <c r="CV40" s="297"/>
      <c r="CW40" s="297"/>
      <c r="CX40" s="297"/>
      <c r="CY40" s="297"/>
      <c r="CZ40" s="297"/>
      <c r="DA40" s="297"/>
      <c r="DB40" s="297"/>
      <c r="DC40" s="297"/>
      <c r="DD40" s="297"/>
      <c r="DE40" s="297"/>
      <c r="DF40" s="297"/>
      <c r="DG40" s="297"/>
      <c r="DH40" s="297"/>
      <c r="DI40" s="297"/>
      <c r="DJ40" s="297"/>
      <c r="DK40" s="178"/>
      <c r="DL40" s="178"/>
      <c r="DM40" s="178"/>
      <c r="DN40" s="178"/>
      <c r="DO40" s="178"/>
      <c r="DP40" s="178"/>
      <c r="DQ40" s="178"/>
      <c r="DR40" s="178"/>
      <c r="DS40" s="178"/>
      <c r="DT40" s="178"/>
      <c r="DU40" s="178"/>
      <c r="DV40" s="178"/>
      <c r="DW40" s="178"/>
      <c r="DX40" s="178"/>
      <c r="DY40" s="178"/>
      <c r="DZ40" s="178"/>
      <c r="EA40" s="178"/>
      <c r="EB40" s="178"/>
      <c r="EC40" s="178"/>
      <c r="ED40" s="178"/>
      <c r="EE40" s="178"/>
      <c r="EF40" s="178"/>
      <c r="EG40" s="178"/>
      <c r="EH40" s="178"/>
      <c r="EI40" s="178"/>
      <c r="EJ40" s="178"/>
      <c r="EK40" s="178"/>
      <c r="EL40" s="178"/>
      <c r="EM40" s="178"/>
      <c r="EN40" s="178"/>
      <c r="EO40" s="178"/>
      <c r="EP40" s="178"/>
      <c r="EQ40" s="178"/>
      <c r="ER40" s="178"/>
      <c r="ES40" s="178"/>
      <c r="ET40" s="178"/>
      <c r="EU40" s="178"/>
      <c r="EV40" s="178"/>
      <c r="EW40" s="178"/>
      <c r="EX40" s="178"/>
      <c r="EY40" s="178"/>
      <c r="EZ40" s="178"/>
      <c r="FA40" s="178"/>
      <c r="FB40" s="178"/>
      <c r="FC40" s="178"/>
      <c r="FD40" s="178"/>
      <c r="FE40" s="178"/>
      <c r="FF40" s="178"/>
      <c r="FG40" s="178"/>
      <c r="FH40" s="178"/>
      <c r="FI40" s="178"/>
      <c r="FJ40" s="178"/>
      <c r="FK40" s="178"/>
      <c r="FL40" s="178"/>
      <c r="FM40" s="178"/>
      <c r="FN40" s="178"/>
      <c r="FO40" s="178"/>
      <c r="FP40" s="178"/>
      <c r="FQ40" s="178"/>
      <c r="FR40" s="178"/>
      <c r="FS40" s="178"/>
      <c r="FT40" s="178"/>
      <c r="FU40" s="178"/>
      <c r="FV40" s="178"/>
      <c r="FW40" s="178"/>
      <c r="FX40" s="178"/>
      <c r="FY40" s="178"/>
      <c r="FZ40" s="178"/>
      <c r="GA40" s="178"/>
      <c r="GB40" s="178"/>
      <c r="GC40" s="178"/>
      <c r="GD40" s="178"/>
      <c r="GE40" s="178"/>
      <c r="GF40" s="178"/>
      <c r="GG40" s="178"/>
      <c r="GH40" s="178"/>
      <c r="GI40" s="178"/>
      <c r="GJ40" s="178"/>
      <c r="GK40" s="178"/>
      <c r="GL40" s="178"/>
      <c r="GM40" s="178"/>
      <c r="GN40" s="178"/>
      <c r="GO40" s="178"/>
      <c r="GP40" s="178"/>
      <c r="GQ40" s="178"/>
    </row>
    <row r="41" spans="2:199" s="315" customFormat="1">
      <c r="B41" s="196" t="s">
        <v>323</v>
      </c>
      <c r="C41" s="220"/>
      <c r="D41" s="496"/>
      <c r="E41" s="496"/>
      <c r="F41" s="497"/>
      <c r="G41" s="497"/>
      <c r="H41" s="497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Y41" s="497"/>
      <c r="Z41" s="441"/>
      <c r="AA41" s="297"/>
      <c r="AB41" s="297"/>
      <c r="AC41" s="297"/>
      <c r="AD41" s="297"/>
      <c r="AE41" s="297"/>
      <c r="AF41" s="297"/>
      <c r="AG41" s="297"/>
      <c r="AH41" s="297"/>
      <c r="AI41" s="297"/>
      <c r="AJ41" s="297"/>
      <c r="AK41" s="297"/>
      <c r="AL41" s="297"/>
      <c r="AM41" s="297"/>
      <c r="AN41" s="297"/>
      <c r="AO41" s="297"/>
      <c r="AP41" s="297"/>
      <c r="AQ41" s="297"/>
      <c r="AR41" s="297"/>
      <c r="AS41" s="297"/>
      <c r="AT41" s="297"/>
      <c r="AU41" s="297"/>
      <c r="AV41" s="297"/>
      <c r="AW41" s="297"/>
      <c r="AX41" s="297"/>
      <c r="AY41" s="297"/>
      <c r="AZ41" s="297"/>
      <c r="BA41" s="297"/>
      <c r="BB41" s="297"/>
      <c r="BC41" s="297"/>
      <c r="BD41" s="297"/>
      <c r="BE41" s="297"/>
      <c r="BF41" s="297"/>
      <c r="BG41" s="297"/>
      <c r="BH41" s="297"/>
      <c r="BI41" s="297"/>
      <c r="BJ41" s="297"/>
      <c r="BK41" s="297"/>
      <c r="BL41" s="297"/>
      <c r="BM41" s="297"/>
      <c r="BN41" s="297"/>
      <c r="BO41" s="297"/>
      <c r="BP41" s="297"/>
      <c r="BQ41" s="297"/>
      <c r="BR41" s="297"/>
      <c r="BS41" s="297"/>
      <c r="BT41" s="297"/>
      <c r="BU41" s="297"/>
      <c r="BV41" s="297"/>
      <c r="BW41" s="297"/>
      <c r="BX41" s="297"/>
      <c r="BY41" s="297"/>
      <c r="BZ41" s="297"/>
      <c r="CA41" s="297"/>
      <c r="CB41" s="297"/>
      <c r="CC41" s="297"/>
      <c r="CD41" s="297"/>
      <c r="CE41" s="297"/>
      <c r="CF41" s="297"/>
      <c r="CG41" s="297"/>
      <c r="CH41" s="297"/>
      <c r="CI41" s="297"/>
      <c r="CJ41" s="297"/>
      <c r="CK41" s="297"/>
      <c r="CL41" s="297"/>
      <c r="CM41" s="297"/>
      <c r="CN41" s="297"/>
      <c r="CO41" s="297"/>
      <c r="CP41" s="297"/>
      <c r="CQ41" s="297"/>
      <c r="CR41" s="297"/>
      <c r="CS41" s="297"/>
      <c r="CT41" s="297"/>
      <c r="CU41" s="297"/>
      <c r="CV41" s="297"/>
      <c r="CW41" s="297"/>
      <c r="CX41" s="297"/>
      <c r="CY41" s="297"/>
      <c r="CZ41" s="297"/>
      <c r="DA41" s="297"/>
      <c r="DB41" s="297"/>
      <c r="DC41" s="297"/>
      <c r="DD41" s="297"/>
      <c r="DE41" s="297"/>
      <c r="DF41" s="297"/>
      <c r="DG41" s="297"/>
      <c r="DH41" s="297"/>
      <c r="DI41" s="297"/>
      <c r="DJ41" s="297"/>
      <c r="DK41" s="178"/>
      <c r="DL41" s="178"/>
      <c r="DM41" s="178"/>
      <c r="DN41" s="178"/>
      <c r="DO41" s="178"/>
      <c r="DP41" s="178"/>
      <c r="DQ41" s="178"/>
      <c r="DR41" s="178"/>
      <c r="DS41" s="178"/>
      <c r="DT41" s="178"/>
      <c r="DU41" s="178"/>
      <c r="DV41" s="178"/>
      <c r="DW41" s="178"/>
      <c r="DX41" s="178"/>
      <c r="DY41" s="178"/>
      <c r="DZ41" s="178"/>
      <c r="EA41" s="178"/>
      <c r="EB41" s="178"/>
      <c r="EC41" s="178"/>
      <c r="ED41" s="178"/>
      <c r="EE41" s="178"/>
      <c r="EF41" s="178"/>
      <c r="EG41" s="178"/>
      <c r="EH41" s="178"/>
      <c r="EI41" s="178"/>
      <c r="EJ41" s="178"/>
      <c r="EK41" s="178"/>
      <c r="EL41" s="178"/>
      <c r="EM41" s="178"/>
      <c r="EN41" s="178"/>
      <c r="EO41" s="178"/>
      <c r="EP41" s="178"/>
      <c r="EQ41" s="178"/>
      <c r="ER41" s="178"/>
      <c r="ES41" s="178"/>
      <c r="ET41" s="178"/>
      <c r="EU41" s="178"/>
      <c r="EV41" s="178"/>
      <c r="EW41" s="178"/>
      <c r="EX41" s="178"/>
      <c r="EY41" s="178"/>
      <c r="EZ41" s="178"/>
      <c r="FA41" s="178"/>
      <c r="FB41" s="178"/>
      <c r="FC41" s="178"/>
      <c r="FD41" s="178"/>
      <c r="FE41" s="178"/>
      <c r="FF41" s="178"/>
      <c r="FG41" s="178"/>
      <c r="FH41" s="178"/>
      <c r="FI41" s="178"/>
      <c r="FJ41" s="178"/>
      <c r="FK41" s="178"/>
      <c r="FL41" s="178"/>
      <c r="FM41" s="178"/>
      <c r="FN41" s="178"/>
      <c r="FO41" s="178"/>
      <c r="FP41" s="178"/>
      <c r="FQ41" s="178"/>
      <c r="FR41" s="178"/>
      <c r="FS41" s="178"/>
      <c r="FT41" s="178"/>
      <c r="FU41" s="178"/>
      <c r="FV41" s="178"/>
      <c r="FW41" s="178"/>
      <c r="FX41" s="178"/>
      <c r="FY41" s="178"/>
      <c r="FZ41" s="178"/>
      <c r="GA41" s="178"/>
      <c r="GB41" s="178"/>
      <c r="GC41" s="178"/>
      <c r="GD41" s="178"/>
      <c r="GE41" s="178"/>
      <c r="GF41" s="178"/>
      <c r="GG41" s="178"/>
      <c r="GH41" s="178"/>
      <c r="GI41" s="178"/>
      <c r="GJ41" s="178"/>
      <c r="GK41" s="178"/>
      <c r="GL41" s="178"/>
      <c r="GM41" s="178"/>
      <c r="GN41" s="178"/>
      <c r="GO41" s="178"/>
      <c r="GP41" s="178"/>
      <c r="GQ41" s="178"/>
    </row>
    <row r="42" spans="2:199" s="315" customFormat="1">
      <c r="B42" s="218" t="s">
        <v>626</v>
      </c>
      <c r="C42" s="164"/>
      <c r="D42" s="225">
        <f>PROJ_AGCeAGPar!G305+PROJ_AGCeAGPar!G306+PROJ_AGCeAGPar!G307*20%+PROJ_AGCeAGPar!G312</f>
        <v>273.65519999999998</v>
      </c>
      <c r="E42" s="225">
        <f>PROJ_AGCeAGPar!H305+PROJ_AGCeAGPar!H306+PROJ_AGCeAGPar!H307*20%+PROJ_AGCeAGPar!H312</f>
        <v>574.62620000000004</v>
      </c>
      <c r="F42" s="225">
        <f>PROJ_AGCeAGPar!I305+PROJ_AGCeAGPar!I306+PROJ_AGCeAGPar!I307*20%+PROJ_AGCeAGPar!I312</f>
        <v>51.386200000000002</v>
      </c>
      <c r="G42" s="856">
        <f>PROJ_AGCeAGPar!J305+PROJ_AGCeAGPar!J306+PROJ_AGCeAGPar!J307*20%+PROJ_AGCeAGPar!J312</f>
        <v>13.444000000000001</v>
      </c>
      <c r="H42" s="856">
        <f>PROJ_AGCeAGPar!K305+PROJ_AGCeAGPar!K306+PROJ_AGCeAGPar!K307*20%+PROJ_AGCeAGPar!K312</f>
        <v>606.33931698821664</v>
      </c>
      <c r="I42" s="856">
        <f>PROJ_AGCeAGPar!L305+PROJ_AGCeAGPar!L306+PROJ_AGCeAGPar!L307*20%+PROJ_AGCeAGPar!L312</f>
        <v>582.39048769409226</v>
      </c>
      <c r="J42" s="856">
        <f>PROJ_AGCeAGPar!M305+PROJ_AGCeAGPar!M306+PROJ_AGCeAGPar!M307*20%+PROJ_AGCeAGPar!M312</f>
        <v>843.33903707492004</v>
      </c>
      <c r="K42" s="856">
        <f>PROJ_AGCeAGPar!N305+PROJ_AGCeAGPar!N306+PROJ_AGCeAGPar!N307*20%+PROJ_AGCeAGPar!N312</f>
        <v>1096.2916374804661</v>
      </c>
      <c r="L42" s="856">
        <f>PROJ_AGCeAGPar!O305+PROJ_AGCeAGPar!O306+PROJ_AGCeAGPar!O307*20%+PROJ_AGCeAGPar!O312</f>
        <v>1246.6280762602964</v>
      </c>
      <c r="M42" s="856">
        <f>PROJ_AGCeAGPar!P305+PROJ_AGCeAGPar!P306+PROJ_AGCeAGPar!P307*20%+PROJ_AGCeAGPar!P312</f>
        <v>1436.6425320807609</v>
      </c>
      <c r="N42" s="856">
        <f>PROJ_AGCeAGPar!Q305+PROJ_AGCeAGPar!Q306+PROJ_AGCeAGPar!Q307*20%+PROJ_AGCeAGPar!Q312</f>
        <v>1660.1889390477691</v>
      </c>
      <c r="O42" s="856">
        <f>PROJ_AGCeAGPar!R305+PROJ_AGCeAGPar!R306+PROJ_AGCeAGPar!R307*20%+PROJ_AGCeAGPar!R312</f>
        <v>1934.7990095310056</v>
      </c>
      <c r="P42" s="856">
        <f>PROJ_AGCeAGPar!S305+PROJ_AGCeAGPar!S306+PROJ_AGCeAGPar!S307*20%+PROJ_AGCeAGPar!S312</f>
        <v>2273.523438716828</v>
      </c>
      <c r="Q42" s="856">
        <f>PROJ_AGCeAGPar!T305+PROJ_AGCeAGPar!T306+PROJ_AGCeAGPar!T307*20%+PROJ_AGCeAGPar!T312</f>
        <v>2650.9464961452268</v>
      </c>
      <c r="R42" s="856">
        <f>PROJ_AGCeAGPar!U305+PROJ_AGCeAGPar!U306+PROJ_AGCeAGPar!U307*20%+PROJ_AGCeAGPar!U312</f>
        <v>3087.629198916055</v>
      </c>
      <c r="S42" s="856">
        <f>PROJ_AGCeAGPar!V305+PROJ_AGCeAGPar!V306+PROJ_AGCeAGPar!V307*20%+PROJ_AGCeAGPar!V312</f>
        <v>0</v>
      </c>
      <c r="T42" s="856">
        <f>PROJ_AGCeAGPar!W305+PROJ_AGCeAGPar!W306+PROJ_AGCeAGPar!W307*20%+PROJ_AGCeAGPar!W312</f>
        <v>0</v>
      </c>
      <c r="U42" s="856">
        <f>PROJ_AGCeAGPar!X305+PROJ_AGCeAGPar!X306+PROJ_AGCeAGPar!X307*20%+PROJ_AGCeAGPar!X312</f>
        <v>0</v>
      </c>
      <c r="V42" s="856">
        <f>PROJ_AGCeAGPar!Y305+PROJ_AGCeAGPar!Y306+PROJ_AGCeAGPar!Y307*20%+PROJ_AGCeAGPar!Y312</f>
        <v>0</v>
      </c>
      <c r="W42" s="856">
        <f>PROJ_AGCeAGPar!Z305+PROJ_AGCeAGPar!Z306+PROJ_AGCeAGPar!Z307*20%+PROJ_AGCeAGPar!Z312</f>
        <v>0</v>
      </c>
      <c r="X42" s="856">
        <f>PROJ_AGCeAGPar!AA305+PROJ_AGCeAGPar!AA306+PROJ_AGCeAGPar!AA307*20%+PROJ_AGCeAGPar!AA312</f>
        <v>0</v>
      </c>
      <c r="Y42" s="856">
        <f>PROJ_AGCeAGPar!AB305+PROJ_AGCeAGPar!AB306+PROJ_AGCeAGPar!AB307*20%+PROJ_AGCeAGPar!AB312</f>
        <v>0</v>
      </c>
      <c r="Z42" s="441"/>
      <c r="AA42" s="297"/>
      <c r="AB42" s="297"/>
      <c r="AC42" s="297"/>
      <c r="AD42" s="297"/>
      <c r="AE42" s="297"/>
      <c r="AF42" s="297"/>
      <c r="AG42" s="297"/>
      <c r="AH42" s="297"/>
      <c r="AI42" s="297"/>
      <c r="AJ42" s="297"/>
      <c r="AK42" s="297"/>
      <c r="AL42" s="297"/>
      <c r="AM42" s="297"/>
      <c r="AN42" s="297"/>
      <c r="AO42" s="297"/>
      <c r="AP42" s="297"/>
      <c r="AQ42" s="297"/>
      <c r="AR42" s="297"/>
      <c r="AS42" s="297"/>
      <c r="AT42" s="297"/>
      <c r="AU42" s="297"/>
      <c r="AV42" s="297"/>
      <c r="AW42" s="297"/>
      <c r="AX42" s="297"/>
      <c r="AY42" s="297"/>
      <c r="AZ42" s="297"/>
      <c r="BA42" s="297"/>
      <c r="BB42" s="297"/>
      <c r="BC42" s="297"/>
      <c r="BD42" s="297"/>
      <c r="BE42" s="297"/>
      <c r="BF42" s="297"/>
      <c r="BG42" s="297"/>
      <c r="BH42" s="297"/>
      <c r="BI42" s="297"/>
      <c r="BJ42" s="297"/>
      <c r="BK42" s="297"/>
      <c r="BL42" s="297"/>
      <c r="BM42" s="297"/>
      <c r="BN42" s="297"/>
      <c r="BO42" s="297"/>
      <c r="BP42" s="297"/>
      <c r="BQ42" s="297"/>
      <c r="BR42" s="297"/>
      <c r="BS42" s="297"/>
      <c r="BT42" s="297"/>
      <c r="BU42" s="297"/>
      <c r="BV42" s="297"/>
      <c r="BW42" s="297"/>
      <c r="BX42" s="297"/>
      <c r="BY42" s="297"/>
      <c r="BZ42" s="297"/>
      <c r="CA42" s="297"/>
      <c r="CB42" s="297"/>
      <c r="CC42" s="297"/>
      <c r="CD42" s="297"/>
      <c r="CE42" s="297"/>
      <c r="CF42" s="297"/>
      <c r="CG42" s="297"/>
      <c r="CH42" s="297"/>
      <c r="CI42" s="297"/>
      <c r="CJ42" s="297"/>
      <c r="CK42" s="297"/>
      <c r="CL42" s="297"/>
      <c r="CM42" s="297"/>
      <c r="CN42" s="297"/>
      <c r="CO42" s="297"/>
      <c r="CP42" s="297"/>
      <c r="CQ42" s="297"/>
      <c r="CR42" s="297"/>
      <c r="CS42" s="297"/>
      <c r="CT42" s="297"/>
      <c r="CU42" s="297"/>
      <c r="CV42" s="297"/>
      <c r="CW42" s="297"/>
      <c r="CX42" s="297"/>
      <c r="CY42" s="297"/>
      <c r="CZ42" s="297"/>
      <c r="DA42" s="297"/>
      <c r="DB42" s="297"/>
      <c r="DC42" s="297"/>
      <c r="DD42" s="297"/>
      <c r="DE42" s="297"/>
      <c r="DF42" s="297"/>
      <c r="DG42" s="297"/>
      <c r="DH42" s="297"/>
      <c r="DI42" s="297"/>
      <c r="DJ42" s="297"/>
      <c r="DK42" s="178"/>
      <c r="DL42" s="178"/>
      <c r="DM42" s="178"/>
      <c r="DN42" s="178"/>
      <c r="DO42" s="178"/>
      <c r="DP42" s="178"/>
      <c r="DQ42" s="178"/>
      <c r="DR42" s="178"/>
      <c r="DS42" s="178"/>
      <c r="DT42" s="178"/>
      <c r="DU42" s="178"/>
      <c r="DV42" s="178"/>
      <c r="DW42" s="178"/>
      <c r="DX42" s="178"/>
      <c r="DY42" s="178"/>
      <c r="DZ42" s="178"/>
      <c r="EA42" s="178"/>
      <c r="EB42" s="178"/>
      <c r="EC42" s="178"/>
      <c r="ED42" s="178"/>
      <c r="EE42" s="178"/>
      <c r="EF42" s="178"/>
      <c r="EG42" s="178"/>
      <c r="EH42" s="178"/>
      <c r="EI42" s="178"/>
      <c r="EJ42" s="178"/>
      <c r="EK42" s="178"/>
      <c r="EL42" s="178"/>
      <c r="EM42" s="178"/>
      <c r="EN42" s="178"/>
      <c r="EO42" s="178"/>
      <c r="EP42" s="178"/>
      <c r="EQ42" s="178"/>
      <c r="ER42" s="178"/>
      <c r="ES42" s="178"/>
      <c r="ET42" s="178"/>
      <c r="EU42" s="178"/>
      <c r="EV42" s="178"/>
      <c r="EW42" s="178"/>
      <c r="EX42" s="178"/>
      <c r="EY42" s="178"/>
      <c r="EZ42" s="178"/>
      <c r="FA42" s="178"/>
      <c r="FB42" s="178"/>
      <c r="FC42" s="178"/>
      <c r="FD42" s="178"/>
      <c r="FE42" s="178"/>
      <c r="FF42" s="178"/>
      <c r="FG42" s="178"/>
      <c r="FH42" s="178"/>
      <c r="FI42" s="178"/>
      <c r="FJ42" s="178"/>
      <c r="FK42" s="178"/>
      <c r="FL42" s="178"/>
      <c r="FM42" s="178"/>
      <c r="FN42" s="178"/>
      <c r="FO42" s="178"/>
      <c r="FP42" s="178"/>
      <c r="FQ42" s="178"/>
      <c r="FR42" s="178"/>
      <c r="FS42" s="178"/>
      <c r="FT42" s="178"/>
      <c r="FU42" s="178"/>
      <c r="FV42" s="178"/>
      <c r="FW42" s="178"/>
      <c r="FX42" s="178"/>
      <c r="FY42" s="178"/>
      <c r="FZ42" s="178"/>
      <c r="GA42" s="178"/>
      <c r="GB42" s="178"/>
      <c r="GC42" s="178"/>
      <c r="GD42" s="178"/>
      <c r="GE42" s="178"/>
      <c r="GF42" s="178"/>
      <c r="GG42" s="178"/>
      <c r="GH42" s="178"/>
      <c r="GI42" s="178"/>
      <c r="GJ42" s="178"/>
      <c r="GK42" s="178"/>
      <c r="GL42" s="178"/>
      <c r="GM42" s="178"/>
      <c r="GN42" s="178"/>
      <c r="GO42" s="178"/>
      <c r="GP42" s="178"/>
      <c r="GQ42" s="178"/>
    </row>
    <row r="43" spans="2:199" s="315" customFormat="1">
      <c r="B43" s="218" t="s">
        <v>627</v>
      </c>
      <c r="C43" s="164"/>
      <c r="D43" s="225">
        <f>PROJ_AGCeAGPar!H305+PROJ_AGCeAGPar!H306+PROJ_AGCeAGPar!H307*20%+PROJ_AGCeAGPar!H312</f>
        <v>574.62620000000004</v>
      </c>
      <c r="E43" s="225">
        <f>PROJ_AGCeAGPar!I305+PROJ_AGCeAGPar!I306+PROJ_AGCeAGPar!I307*20%+PROJ_AGCeAGPar!I312</f>
        <v>51.386200000000002</v>
      </c>
      <c r="F43" s="225">
        <f>PROJ_AGCeAGPar!J305+PROJ_AGCeAGPar!J306+PROJ_AGCeAGPar!J307*20%+PROJ_AGCeAGPar!J312</f>
        <v>13.444000000000001</v>
      </c>
      <c r="G43" s="856">
        <f>PROJ_AGCeAGPar!K305+PROJ_AGCeAGPar!K306+PROJ_AGCeAGPar!K307*20%+PROJ_AGCeAGPar!K312</f>
        <v>606.33931698821664</v>
      </c>
      <c r="H43" s="856">
        <f>PROJ_AGCeAGPar!L305+PROJ_AGCeAGPar!L306+PROJ_AGCeAGPar!L307*20%+PROJ_AGCeAGPar!L312</f>
        <v>582.39048769409226</v>
      </c>
      <c r="I43" s="856">
        <f>PROJ_AGCeAGPar!M305+PROJ_AGCeAGPar!M306+PROJ_AGCeAGPar!M307*20%+PROJ_AGCeAGPar!M312</f>
        <v>843.33903707492004</v>
      </c>
      <c r="J43" s="856">
        <f>PROJ_AGCeAGPar!N305+PROJ_AGCeAGPar!N306+PROJ_AGCeAGPar!N307*20%+PROJ_AGCeAGPar!N312</f>
        <v>1096.2916374804661</v>
      </c>
      <c r="K43" s="856">
        <f>PROJ_AGCeAGPar!O305+PROJ_AGCeAGPar!O306+PROJ_AGCeAGPar!O307*20%+PROJ_AGCeAGPar!O312</f>
        <v>1246.6280762602964</v>
      </c>
      <c r="L43" s="856">
        <f>PROJ_AGCeAGPar!P305+PROJ_AGCeAGPar!P306+PROJ_AGCeAGPar!P307*20%+PROJ_AGCeAGPar!P312</f>
        <v>1436.6425320807609</v>
      </c>
      <c r="M43" s="856">
        <f>PROJ_AGCeAGPar!Q305+PROJ_AGCeAGPar!Q306+PROJ_AGCeAGPar!Q307*20%+PROJ_AGCeAGPar!Q312</f>
        <v>1660.1889390477691</v>
      </c>
      <c r="N43" s="856">
        <f>PROJ_AGCeAGPar!R305+PROJ_AGCeAGPar!R306+PROJ_AGCeAGPar!R307*20%+PROJ_AGCeAGPar!R312</f>
        <v>1934.7990095310056</v>
      </c>
      <c r="O43" s="856">
        <f>PROJ_AGCeAGPar!S305+PROJ_AGCeAGPar!S306+PROJ_AGCeAGPar!S307*20%+PROJ_AGCeAGPar!S312</f>
        <v>2273.523438716828</v>
      </c>
      <c r="P43" s="856">
        <f>PROJ_AGCeAGPar!T305+PROJ_AGCeAGPar!T306+PROJ_AGCeAGPar!T307*20%+PROJ_AGCeAGPar!T312</f>
        <v>2650.9464961452268</v>
      </c>
      <c r="Q43" s="856">
        <f>PROJ_AGCeAGPar!U305+PROJ_AGCeAGPar!U306+PROJ_AGCeAGPar!U307*20%+PROJ_AGCeAGPar!U312</f>
        <v>3087.629198916055</v>
      </c>
      <c r="R43" s="856">
        <f>PROJ_AGCeAGPar!V305+PROJ_AGCeAGPar!V306+PROJ_AGCeAGPar!V307*20%+PROJ_AGCeAGPar!V312</f>
        <v>0</v>
      </c>
      <c r="S43" s="856">
        <f>PROJ_AGCeAGPar!W305+PROJ_AGCeAGPar!W306+PROJ_AGCeAGPar!W307*20%+PROJ_AGCeAGPar!W312</f>
        <v>0</v>
      </c>
      <c r="T43" s="856">
        <f>PROJ_AGCeAGPar!X305+PROJ_AGCeAGPar!X306+PROJ_AGCeAGPar!X307*20%+PROJ_AGCeAGPar!X312</f>
        <v>0</v>
      </c>
      <c r="U43" s="856">
        <f>PROJ_AGCeAGPar!Y305+PROJ_AGCeAGPar!Y306+PROJ_AGCeAGPar!Y307*20%+PROJ_AGCeAGPar!Y312</f>
        <v>0</v>
      </c>
      <c r="V43" s="856">
        <f>PROJ_AGCeAGPar!Z305+PROJ_AGCeAGPar!Z306+PROJ_AGCeAGPar!Z307*20%+PROJ_AGCeAGPar!Z312</f>
        <v>0</v>
      </c>
      <c r="W43" s="856">
        <f>PROJ_AGCeAGPar!AA305+PROJ_AGCeAGPar!AA306+PROJ_AGCeAGPar!AA307*20%+PROJ_AGCeAGPar!AA312</f>
        <v>0</v>
      </c>
      <c r="X43" s="856">
        <f>PROJ_AGCeAGPar!AB305+PROJ_AGCeAGPar!AB306+PROJ_AGCeAGPar!AB307*20%+PROJ_AGCeAGPar!AB312</f>
        <v>0</v>
      </c>
      <c r="Y43" s="856">
        <f>PROJ_AGCeAGPar!AC305+PROJ_AGCeAGPar!AC306+PROJ_AGCeAGPar!AC307*20%+PROJ_AGCeAGPar!AC312</f>
        <v>0</v>
      </c>
      <c r="Z43" s="441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297"/>
      <c r="AM43" s="297"/>
      <c r="AN43" s="297"/>
      <c r="AO43" s="297"/>
      <c r="AP43" s="297"/>
      <c r="AQ43" s="297"/>
      <c r="AR43" s="297"/>
      <c r="AS43" s="297"/>
      <c r="AT43" s="297"/>
      <c r="AU43" s="297"/>
      <c r="AV43" s="297"/>
      <c r="AW43" s="297"/>
      <c r="AX43" s="297"/>
      <c r="AY43" s="297"/>
      <c r="AZ43" s="297"/>
      <c r="BA43" s="297"/>
      <c r="BB43" s="297"/>
      <c r="BC43" s="297"/>
      <c r="BD43" s="297"/>
      <c r="BE43" s="297"/>
      <c r="BF43" s="297"/>
      <c r="BG43" s="297"/>
      <c r="BH43" s="297"/>
      <c r="BI43" s="297"/>
      <c r="BJ43" s="297"/>
      <c r="BK43" s="297"/>
      <c r="BL43" s="297"/>
      <c r="BM43" s="297"/>
      <c r="BN43" s="297"/>
      <c r="BO43" s="297"/>
      <c r="BP43" s="297"/>
      <c r="BQ43" s="297"/>
      <c r="BR43" s="297"/>
      <c r="BS43" s="297"/>
      <c r="BT43" s="297"/>
      <c r="BU43" s="297"/>
      <c r="BV43" s="297"/>
      <c r="BW43" s="297"/>
      <c r="BX43" s="297"/>
      <c r="BY43" s="297"/>
      <c r="BZ43" s="297"/>
      <c r="CA43" s="297"/>
      <c r="CB43" s="297"/>
      <c r="CC43" s="297"/>
      <c r="CD43" s="297"/>
      <c r="CE43" s="297"/>
      <c r="CF43" s="297"/>
      <c r="CG43" s="297"/>
      <c r="CH43" s="297"/>
      <c r="CI43" s="297"/>
      <c r="CJ43" s="297"/>
      <c r="CK43" s="297"/>
      <c r="CL43" s="297"/>
      <c r="CM43" s="297"/>
      <c r="CN43" s="297"/>
      <c r="CO43" s="297"/>
      <c r="CP43" s="297"/>
      <c r="CQ43" s="297"/>
      <c r="CR43" s="297"/>
      <c r="CS43" s="297"/>
      <c r="CT43" s="297"/>
      <c r="CU43" s="297"/>
      <c r="CV43" s="297"/>
      <c r="CW43" s="297"/>
      <c r="CX43" s="297"/>
      <c r="CY43" s="297"/>
      <c r="CZ43" s="297"/>
      <c r="DA43" s="297"/>
      <c r="DB43" s="297"/>
      <c r="DC43" s="297"/>
      <c r="DD43" s="297"/>
      <c r="DE43" s="297"/>
      <c r="DF43" s="297"/>
      <c r="DG43" s="297"/>
      <c r="DH43" s="297"/>
      <c r="DI43" s="297"/>
      <c r="DJ43" s="297"/>
      <c r="DK43" s="178"/>
      <c r="DL43" s="178"/>
      <c r="DM43" s="178"/>
      <c r="DN43" s="178"/>
      <c r="DO43" s="178"/>
      <c r="DP43" s="178"/>
      <c r="DQ43" s="178"/>
      <c r="DR43" s="178"/>
      <c r="DS43" s="178"/>
      <c r="DT43" s="178"/>
      <c r="DU43" s="178"/>
      <c r="DV43" s="178"/>
      <c r="DW43" s="178"/>
      <c r="DX43" s="178"/>
      <c r="DY43" s="178"/>
      <c r="DZ43" s="178"/>
      <c r="EA43" s="178"/>
      <c r="EB43" s="178"/>
      <c r="EC43" s="178"/>
      <c r="ED43" s="178"/>
      <c r="EE43" s="178"/>
      <c r="EF43" s="178"/>
      <c r="EG43" s="178"/>
      <c r="EH43" s="178"/>
      <c r="EI43" s="178"/>
      <c r="EJ43" s="178"/>
      <c r="EK43" s="178"/>
      <c r="EL43" s="178"/>
      <c r="EM43" s="178"/>
      <c r="EN43" s="178"/>
      <c r="EO43" s="178"/>
      <c r="EP43" s="178"/>
      <c r="EQ43" s="178"/>
      <c r="ER43" s="178"/>
      <c r="ES43" s="178"/>
      <c r="ET43" s="178"/>
      <c r="EU43" s="178"/>
      <c r="EV43" s="178"/>
      <c r="EW43" s="178"/>
      <c r="EX43" s="178"/>
      <c r="EY43" s="178"/>
      <c r="EZ43" s="178"/>
      <c r="FA43" s="178"/>
      <c r="FB43" s="178"/>
      <c r="FC43" s="178"/>
      <c r="FD43" s="178"/>
      <c r="FE43" s="178"/>
      <c r="FF43" s="178"/>
      <c r="FG43" s="178"/>
      <c r="FH43" s="178"/>
      <c r="FI43" s="178"/>
      <c r="FJ43" s="178"/>
      <c r="FK43" s="178"/>
      <c r="FL43" s="178"/>
      <c r="FM43" s="178"/>
      <c r="FN43" s="178"/>
      <c r="FO43" s="178"/>
      <c r="FP43" s="178"/>
      <c r="FQ43" s="178"/>
      <c r="FR43" s="178"/>
      <c r="FS43" s="178"/>
      <c r="FT43" s="178"/>
      <c r="FU43" s="178"/>
      <c r="FV43" s="178"/>
      <c r="FW43" s="178"/>
      <c r="FX43" s="178"/>
      <c r="FY43" s="178"/>
      <c r="FZ43" s="178"/>
      <c r="GA43" s="178"/>
      <c r="GB43" s="178"/>
      <c r="GC43" s="178"/>
      <c r="GD43" s="178"/>
      <c r="GE43" s="178"/>
      <c r="GF43" s="178"/>
      <c r="GG43" s="178"/>
      <c r="GH43" s="178"/>
      <c r="GI43" s="178"/>
      <c r="GJ43" s="178"/>
      <c r="GK43" s="178"/>
      <c r="GL43" s="178"/>
      <c r="GM43" s="178"/>
      <c r="GN43" s="178"/>
      <c r="GO43" s="178"/>
      <c r="GP43" s="178"/>
      <c r="GQ43" s="178"/>
    </row>
    <row r="44" spans="2:199" s="315" customFormat="1">
      <c r="B44" s="218" t="s">
        <v>623</v>
      </c>
      <c r="C44" s="164"/>
      <c r="D44" s="225">
        <f>(D42+D43)/2</f>
        <v>424.14070000000004</v>
      </c>
      <c r="E44" s="225">
        <f t="shared" ref="E44:Y44" si="65">(E42+E43)/2</f>
        <v>313.00620000000004</v>
      </c>
      <c r="F44" s="225">
        <f t="shared" si="65"/>
        <v>32.415100000000002</v>
      </c>
      <c r="G44" s="856">
        <f t="shared" si="65"/>
        <v>309.8916584941083</v>
      </c>
      <c r="H44" s="856">
        <f t="shared" si="65"/>
        <v>594.36490234115445</v>
      </c>
      <c r="I44" s="856">
        <f t="shared" si="65"/>
        <v>712.86476238450609</v>
      </c>
      <c r="J44" s="856">
        <f t="shared" si="65"/>
        <v>969.81533727769306</v>
      </c>
      <c r="K44" s="856">
        <f t="shared" si="65"/>
        <v>1171.4598568703814</v>
      </c>
      <c r="L44" s="856">
        <f t="shared" si="65"/>
        <v>1341.6353041705288</v>
      </c>
      <c r="M44" s="856">
        <f t="shared" si="65"/>
        <v>1548.4157355642651</v>
      </c>
      <c r="N44" s="856">
        <f t="shared" si="65"/>
        <v>1797.4939742893873</v>
      </c>
      <c r="O44" s="856">
        <f t="shared" si="65"/>
        <v>2104.1612241239168</v>
      </c>
      <c r="P44" s="856">
        <f t="shared" si="65"/>
        <v>2462.2349674310271</v>
      </c>
      <c r="Q44" s="856">
        <f t="shared" si="65"/>
        <v>2869.2878475306406</v>
      </c>
      <c r="R44" s="856">
        <f t="shared" si="65"/>
        <v>1543.8145994580275</v>
      </c>
      <c r="S44" s="856">
        <f t="shared" si="65"/>
        <v>0</v>
      </c>
      <c r="T44" s="856">
        <f t="shared" si="65"/>
        <v>0</v>
      </c>
      <c r="U44" s="856">
        <f t="shared" si="65"/>
        <v>0</v>
      </c>
      <c r="V44" s="856">
        <f t="shared" si="65"/>
        <v>0</v>
      </c>
      <c r="W44" s="856">
        <f t="shared" si="65"/>
        <v>0</v>
      </c>
      <c r="X44" s="856">
        <f t="shared" si="65"/>
        <v>0</v>
      </c>
      <c r="Y44" s="856">
        <f t="shared" si="65"/>
        <v>0</v>
      </c>
      <c r="Z44" s="441"/>
      <c r="AA44" s="297"/>
      <c r="AB44" s="297"/>
      <c r="AC44" s="297"/>
      <c r="AD44" s="297"/>
      <c r="AE44" s="297"/>
      <c r="AF44" s="297"/>
      <c r="AG44" s="297"/>
      <c r="AH44" s="297"/>
      <c r="AI44" s="297"/>
      <c r="AJ44" s="297"/>
      <c r="AK44" s="297"/>
      <c r="AL44" s="297"/>
      <c r="AM44" s="297"/>
      <c r="AN44" s="297"/>
      <c r="AO44" s="297"/>
      <c r="AP44" s="297"/>
      <c r="AQ44" s="297"/>
      <c r="AR44" s="297"/>
      <c r="AS44" s="297"/>
      <c r="AT44" s="297"/>
      <c r="AU44" s="297"/>
      <c r="AV44" s="297"/>
      <c r="AW44" s="297"/>
      <c r="AX44" s="297"/>
      <c r="AY44" s="297"/>
      <c r="AZ44" s="297"/>
      <c r="BA44" s="297"/>
      <c r="BB44" s="297"/>
      <c r="BC44" s="297"/>
      <c r="BD44" s="297"/>
      <c r="BE44" s="297"/>
      <c r="BF44" s="297"/>
      <c r="BG44" s="297"/>
      <c r="BH44" s="297"/>
      <c r="BI44" s="297"/>
      <c r="BJ44" s="297"/>
      <c r="BK44" s="297"/>
      <c r="BL44" s="297"/>
      <c r="BM44" s="297"/>
      <c r="BN44" s="297"/>
      <c r="BO44" s="297"/>
      <c r="BP44" s="297"/>
      <c r="BQ44" s="297"/>
      <c r="BR44" s="297"/>
      <c r="BS44" s="297"/>
      <c r="BT44" s="297"/>
      <c r="BU44" s="297"/>
      <c r="BV44" s="297"/>
      <c r="BW44" s="297"/>
      <c r="BX44" s="297"/>
      <c r="BY44" s="297"/>
      <c r="BZ44" s="297"/>
      <c r="CA44" s="297"/>
      <c r="CB44" s="297"/>
      <c r="CC44" s="297"/>
      <c r="CD44" s="297"/>
      <c r="CE44" s="297"/>
      <c r="CF44" s="297"/>
      <c r="CG44" s="297"/>
      <c r="CH44" s="297"/>
      <c r="CI44" s="297"/>
      <c r="CJ44" s="297"/>
      <c r="CK44" s="297"/>
      <c r="CL44" s="297"/>
      <c r="CM44" s="297"/>
      <c r="CN44" s="297"/>
      <c r="CO44" s="297"/>
      <c r="CP44" s="297"/>
      <c r="CQ44" s="297"/>
      <c r="CR44" s="297"/>
      <c r="CS44" s="297"/>
      <c r="CT44" s="297"/>
      <c r="CU44" s="297"/>
      <c r="CV44" s="297"/>
      <c r="CW44" s="297"/>
      <c r="CX44" s="297"/>
      <c r="CY44" s="297"/>
      <c r="CZ44" s="297"/>
      <c r="DA44" s="297"/>
      <c r="DB44" s="297"/>
      <c r="DC44" s="297"/>
      <c r="DD44" s="297"/>
      <c r="DE44" s="297"/>
      <c r="DF44" s="297"/>
      <c r="DG44" s="297"/>
      <c r="DH44" s="297"/>
      <c r="DI44" s="297"/>
      <c r="DJ44" s="297"/>
      <c r="DK44" s="178"/>
      <c r="DL44" s="178"/>
      <c r="DM44" s="178"/>
      <c r="DN44" s="178"/>
      <c r="DO44" s="178"/>
      <c r="DP44" s="178"/>
      <c r="DQ44" s="178"/>
      <c r="DR44" s="178"/>
      <c r="DS44" s="178"/>
      <c r="DT44" s="178"/>
      <c r="DU44" s="178"/>
      <c r="DV44" s="178"/>
      <c r="DW44" s="178"/>
      <c r="DX44" s="178"/>
      <c r="DY44" s="178"/>
      <c r="DZ44" s="178"/>
      <c r="EA44" s="178"/>
      <c r="EB44" s="178"/>
      <c r="EC44" s="178"/>
      <c r="ED44" s="178"/>
      <c r="EE44" s="178"/>
      <c r="EF44" s="178"/>
      <c r="EG44" s="178"/>
      <c r="EH44" s="178"/>
      <c r="EI44" s="178"/>
      <c r="EJ44" s="178"/>
      <c r="EK44" s="178"/>
      <c r="EL44" s="178"/>
      <c r="EM44" s="178"/>
      <c r="EN44" s="178"/>
      <c r="EO44" s="178"/>
      <c r="EP44" s="178"/>
      <c r="EQ44" s="178"/>
      <c r="ER44" s="178"/>
      <c r="ES44" s="178"/>
      <c r="ET44" s="178"/>
      <c r="EU44" s="178"/>
      <c r="EV44" s="178"/>
      <c r="EW44" s="178"/>
      <c r="EX44" s="178"/>
      <c r="EY44" s="178"/>
      <c r="EZ44" s="178"/>
      <c r="FA44" s="178"/>
      <c r="FB44" s="178"/>
      <c r="FC44" s="178"/>
      <c r="FD44" s="178"/>
      <c r="FE44" s="178"/>
      <c r="FF44" s="178"/>
      <c r="FG44" s="178"/>
      <c r="FH44" s="178"/>
      <c r="FI44" s="178"/>
      <c r="FJ44" s="178"/>
      <c r="FK44" s="178"/>
      <c r="FL44" s="178"/>
      <c r="FM44" s="178"/>
      <c r="FN44" s="178"/>
      <c r="FO44" s="178"/>
      <c r="FP44" s="178"/>
      <c r="FQ44" s="178"/>
      <c r="FR44" s="178"/>
      <c r="FS44" s="178"/>
      <c r="FT44" s="178"/>
      <c r="FU44" s="178"/>
      <c r="FV44" s="178"/>
      <c r="FW44" s="178"/>
      <c r="FX44" s="178"/>
      <c r="FY44" s="178"/>
      <c r="FZ44" s="178"/>
      <c r="GA44" s="178"/>
      <c r="GB44" s="178"/>
      <c r="GC44" s="178"/>
      <c r="GD44" s="178"/>
      <c r="GE44" s="178"/>
      <c r="GF44" s="178"/>
      <c r="GG44" s="178"/>
      <c r="GH44" s="178"/>
      <c r="GI44" s="178"/>
      <c r="GJ44" s="178"/>
      <c r="GK44" s="178"/>
      <c r="GL44" s="178"/>
      <c r="GM44" s="178"/>
      <c r="GN44" s="178"/>
      <c r="GO44" s="178"/>
      <c r="GP44" s="178"/>
      <c r="GQ44" s="178"/>
    </row>
    <row r="45" spans="2:199" s="315" customFormat="1">
      <c r="B45" s="190" t="s">
        <v>624</v>
      </c>
      <c r="C45" s="490">
        <v>1</v>
      </c>
      <c r="D45" s="589">
        <f>PROJ_AGCeAGPar!H287</f>
        <v>4.5330000000000004</v>
      </c>
      <c r="E45" s="589">
        <f>PROJ_AGCeAGPar!I287</f>
        <v>4.3049999999999997</v>
      </c>
      <c r="F45" s="589">
        <f>PROJ_AGCeAGPar!J287</f>
        <v>1.458</v>
      </c>
      <c r="G45" s="857">
        <f>HLOOKUP(G$7,Macroeconomics!$B$5:$GB$36,Macroeconomics!$A$24,0)*$C$45*G42</f>
        <v>1.1771624290172094</v>
      </c>
      <c r="H45" s="857">
        <f>HLOOKUP(H$7,Macroeconomics!$B$5:$GB$36,Macroeconomics!$A$24,0)*$C$45*H42*50%</f>
        <v>25.602470493014437</v>
      </c>
      <c r="I45" s="857">
        <f>HLOOKUP(I$7,Macroeconomics!$B$5:$GB$36,Macroeconomics!$A$24,0)*$C$45*I42</f>
        <v>55.994074794845417</v>
      </c>
      <c r="J45" s="857">
        <f>HLOOKUP(J$7,Macroeconomics!$B$5:$GB$36,Macroeconomics!$A$24,0)*$C$45*J42</f>
        <v>80.068508493288448</v>
      </c>
      <c r="K45" s="857">
        <f>HLOOKUP(K$7,Macroeconomics!$B$5:$GB$36,Macroeconomics!$A$24,0)*$C$45*K42</f>
        <v>106.01140134436106</v>
      </c>
      <c r="L45" s="857">
        <f>HLOOKUP(L$7,Macroeconomics!$B$5:$GB$36,Macroeconomics!$A$24,0)*$C$45*L42</f>
        <v>120.54893497437065</v>
      </c>
      <c r="M45" s="857">
        <f>HLOOKUP(M$7,Macroeconomics!$B$5:$GB$36,Macroeconomics!$A$24,0)*$C$45*M42</f>
        <v>135.47539077521574</v>
      </c>
      <c r="N45" s="857">
        <f>HLOOKUP(N$7,Macroeconomics!$B$5:$GB$36,Macroeconomics!$A$24,0)*$C$45*N42</f>
        <v>156.38979805829985</v>
      </c>
      <c r="O45" s="857">
        <f>HLOOKUP(O$7,Macroeconomics!$B$5:$GB$36,Macroeconomics!$A$24,0)*$C$45*O42</f>
        <v>182.25806669782074</v>
      </c>
      <c r="P45" s="857">
        <f>HLOOKUP(P$7,Macroeconomics!$B$5:$GB$36,Macroeconomics!$A$24,0)*$C$45*P42</f>
        <v>214.1659079271252</v>
      </c>
      <c r="Q45" s="857">
        <f>HLOOKUP(Q$7,Macroeconomics!$B$5:$GB$36,Macroeconomics!$A$24,0)*$C$45*Q42</f>
        <v>243.3568883461318</v>
      </c>
      <c r="R45" s="857">
        <f>HLOOKUP(R$7,Macroeconomics!$B$5:$GB$36,Macroeconomics!$A$24,0)*$C$45*R42</f>
        <v>283.44436046049384</v>
      </c>
      <c r="S45" s="857">
        <f>HLOOKUP(S$7,Macroeconomics!$B$5:$GB$36,Macroeconomics!$A$24,0)*$C$45*S42</f>
        <v>0</v>
      </c>
      <c r="T45" s="857">
        <f>HLOOKUP(T$7,Macroeconomics!$B$5:$GB$36,Macroeconomics!$A$24,0)*$C$45*T42</f>
        <v>0</v>
      </c>
      <c r="U45" s="857">
        <f>HLOOKUP(U$7,Macroeconomics!$B$5:$GB$36,Macroeconomics!$A$24,0)*$C$45*U42</f>
        <v>0</v>
      </c>
      <c r="V45" s="857">
        <f>HLOOKUP(V$7,Macroeconomics!$B$5:$GB$36,Macroeconomics!$A$24,0)*$C$45*V42</f>
        <v>0</v>
      </c>
      <c r="W45" s="857">
        <f>HLOOKUP(W$7,Macroeconomics!$B$5:$GB$36,Macroeconomics!$A$24,0)*$C$45*W42</f>
        <v>0</v>
      </c>
      <c r="X45" s="857">
        <f>HLOOKUP(X$7,Macroeconomics!$B$5:$GB$36,Macroeconomics!$A$24,0)*$C$45*X42</f>
        <v>0</v>
      </c>
      <c r="Y45" s="857">
        <f>HLOOKUP(Y$7,Macroeconomics!$B$5:$GB$36,Macroeconomics!$A$24,0)*$C$45*Y42</f>
        <v>0</v>
      </c>
      <c r="Z45" s="441"/>
      <c r="AA45" s="297"/>
      <c r="AB45" s="297"/>
      <c r="AC45" s="297"/>
      <c r="AD45" s="297"/>
      <c r="AE45" s="297"/>
      <c r="AF45" s="297"/>
      <c r="AG45" s="297"/>
      <c r="AH45" s="297"/>
      <c r="AI45" s="297"/>
      <c r="AJ45" s="297"/>
      <c r="AK45" s="297"/>
      <c r="AL45" s="297"/>
      <c r="AM45" s="297"/>
      <c r="AN45" s="297"/>
      <c r="AO45" s="297"/>
      <c r="AP45" s="297"/>
      <c r="AQ45" s="297"/>
      <c r="AR45" s="297"/>
      <c r="AS45" s="297"/>
      <c r="AT45" s="297"/>
      <c r="AU45" s="297"/>
      <c r="AV45" s="297"/>
      <c r="AW45" s="297"/>
      <c r="AX45" s="297"/>
      <c r="AY45" s="297"/>
      <c r="AZ45" s="297"/>
      <c r="BA45" s="297"/>
      <c r="BB45" s="297"/>
      <c r="BC45" s="297"/>
      <c r="BD45" s="297"/>
      <c r="BE45" s="297"/>
      <c r="BF45" s="297"/>
      <c r="BG45" s="297"/>
      <c r="BH45" s="297"/>
      <c r="BI45" s="297"/>
      <c r="BJ45" s="297"/>
      <c r="BK45" s="297"/>
      <c r="BL45" s="297"/>
      <c r="BM45" s="297"/>
      <c r="BN45" s="297"/>
      <c r="BO45" s="297"/>
      <c r="BP45" s="297"/>
      <c r="BQ45" s="297"/>
      <c r="BR45" s="297"/>
      <c r="BS45" s="297"/>
      <c r="BT45" s="297"/>
      <c r="BU45" s="297"/>
      <c r="BV45" s="297"/>
      <c r="BW45" s="297"/>
      <c r="BX45" s="297"/>
      <c r="BY45" s="297"/>
      <c r="BZ45" s="297"/>
      <c r="CA45" s="297"/>
      <c r="CB45" s="297"/>
      <c r="CC45" s="297"/>
      <c r="CD45" s="297"/>
      <c r="CE45" s="297"/>
      <c r="CF45" s="297"/>
      <c r="CG45" s="297"/>
      <c r="CH45" s="297"/>
      <c r="CI45" s="297"/>
      <c r="CJ45" s="297"/>
      <c r="CK45" s="297"/>
      <c r="CL45" s="297"/>
      <c r="CM45" s="297"/>
      <c r="CN45" s="297"/>
      <c r="CO45" s="297"/>
      <c r="CP45" s="297"/>
      <c r="CQ45" s="297"/>
      <c r="CR45" s="297"/>
      <c r="CS45" s="297"/>
      <c r="CT45" s="297"/>
      <c r="CU45" s="297"/>
      <c r="CV45" s="297"/>
      <c r="CW45" s="297"/>
      <c r="CX45" s="297"/>
      <c r="CY45" s="297"/>
      <c r="CZ45" s="297"/>
      <c r="DA45" s="297"/>
      <c r="DB45" s="297"/>
      <c r="DC45" s="297"/>
      <c r="DD45" s="297"/>
      <c r="DE45" s="297"/>
      <c r="DF45" s="297"/>
      <c r="DG45" s="297"/>
      <c r="DH45" s="297"/>
      <c r="DI45" s="297"/>
      <c r="DJ45" s="297"/>
      <c r="DK45" s="178"/>
      <c r="DL45" s="178"/>
      <c r="DM45" s="178"/>
      <c r="DN45" s="178"/>
      <c r="DO45" s="178"/>
      <c r="DP45" s="178"/>
      <c r="DQ45" s="178"/>
      <c r="DR45" s="178"/>
      <c r="DS45" s="178"/>
      <c r="DT45" s="178"/>
      <c r="DU45" s="178"/>
      <c r="DV45" s="178"/>
      <c r="DW45" s="178"/>
      <c r="DX45" s="178"/>
      <c r="DY45" s="178"/>
      <c r="DZ45" s="178"/>
      <c r="EA45" s="178"/>
      <c r="EB45" s="178"/>
      <c r="EC45" s="178"/>
      <c r="ED45" s="178"/>
      <c r="EE45" s="178"/>
      <c r="EF45" s="178"/>
      <c r="EG45" s="178"/>
      <c r="EH45" s="178"/>
      <c r="EI45" s="178"/>
      <c r="EJ45" s="178"/>
      <c r="EK45" s="178"/>
      <c r="EL45" s="178"/>
      <c r="EM45" s="178"/>
      <c r="EN45" s="178"/>
      <c r="EO45" s="178"/>
      <c r="EP45" s="178"/>
      <c r="EQ45" s="178"/>
      <c r="ER45" s="178"/>
      <c r="ES45" s="178"/>
      <c r="ET45" s="178"/>
      <c r="EU45" s="178"/>
      <c r="EV45" s="178"/>
      <c r="EW45" s="178"/>
      <c r="EX45" s="178"/>
      <c r="EY45" s="178"/>
      <c r="EZ45" s="178"/>
      <c r="FA45" s="178"/>
      <c r="FB45" s="178"/>
      <c r="FC45" s="178"/>
      <c r="FD45" s="178"/>
      <c r="FE45" s="178"/>
      <c r="FF45" s="178"/>
      <c r="FG45" s="178"/>
      <c r="FH45" s="178"/>
      <c r="FI45" s="178"/>
      <c r="FJ45" s="178"/>
      <c r="FK45" s="178"/>
      <c r="FL45" s="178"/>
      <c r="FM45" s="178"/>
      <c r="FN45" s="178"/>
      <c r="FO45" s="178"/>
      <c r="FP45" s="178"/>
      <c r="FQ45" s="178"/>
      <c r="FR45" s="178"/>
      <c r="FS45" s="178"/>
      <c r="FT45" s="178"/>
      <c r="FU45" s="178"/>
      <c r="FV45" s="178"/>
      <c r="FW45" s="178"/>
      <c r="FX45" s="178"/>
      <c r="FY45" s="178"/>
      <c r="FZ45" s="178"/>
      <c r="GA45" s="178"/>
      <c r="GB45" s="178"/>
      <c r="GC45" s="178"/>
      <c r="GD45" s="178"/>
      <c r="GE45" s="178"/>
      <c r="GF45" s="178"/>
      <c r="GG45" s="178"/>
      <c r="GH45" s="178"/>
      <c r="GI45" s="178"/>
      <c r="GJ45" s="178"/>
      <c r="GK45" s="178"/>
      <c r="GL45" s="178"/>
      <c r="GM45" s="178"/>
      <c r="GN45" s="178"/>
      <c r="GO45" s="178"/>
      <c r="GP45" s="178"/>
      <c r="GQ45" s="178"/>
    </row>
    <row r="46" spans="2:199" s="315" customFormat="1">
      <c r="B46" s="491" t="s">
        <v>625</v>
      </c>
      <c r="C46" s="164"/>
      <c r="D46" s="492">
        <f>D45/D44</f>
        <v>1.0687491202801335E-2</v>
      </c>
      <c r="E46" s="492">
        <f t="shared" ref="E46:Y46" si="66">E45/E44</f>
        <v>1.3753721172296266E-2</v>
      </c>
      <c r="F46" s="492">
        <f t="shared" si="66"/>
        <v>4.4979037547315907E-2</v>
      </c>
      <c r="G46" s="858">
        <f t="shared" si="66"/>
        <v>3.7986257349988972E-3</v>
      </c>
      <c r="H46" s="858">
        <f t="shared" si="66"/>
        <v>4.3075340404805887E-2</v>
      </c>
      <c r="I46" s="858">
        <f t="shared" si="66"/>
        <v>7.8547962740572727E-2</v>
      </c>
      <c r="J46" s="858">
        <f t="shared" si="66"/>
        <v>8.2560571498120114E-2</v>
      </c>
      <c r="K46" s="858">
        <f t="shared" si="66"/>
        <v>9.0495120872153723E-2</v>
      </c>
      <c r="L46" s="858">
        <f t="shared" si="66"/>
        <v>8.9852238234667273E-2</v>
      </c>
      <c r="M46" s="858">
        <f t="shared" si="66"/>
        <v>8.7492904950262948E-2</v>
      </c>
      <c r="N46" s="858">
        <f t="shared" si="66"/>
        <v>8.7004351778217359E-2</v>
      </c>
      <c r="O46" s="858">
        <f t="shared" si="66"/>
        <v>8.6617919106320024E-2</v>
      </c>
      <c r="P46" s="858">
        <f t="shared" si="66"/>
        <v>8.6980288542719872E-2</v>
      </c>
      <c r="Q46" s="858">
        <f t="shared" si="66"/>
        <v>8.4814386453268886E-2</v>
      </c>
      <c r="R46" s="858">
        <f t="shared" si="66"/>
        <v>0.18359999999999999</v>
      </c>
      <c r="S46" s="858" t="e">
        <f t="shared" si="66"/>
        <v>#DIV/0!</v>
      </c>
      <c r="T46" s="858" t="e">
        <f t="shared" si="66"/>
        <v>#DIV/0!</v>
      </c>
      <c r="U46" s="858" t="e">
        <f t="shared" si="66"/>
        <v>#DIV/0!</v>
      </c>
      <c r="V46" s="858" t="e">
        <f t="shared" si="66"/>
        <v>#DIV/0!</v>
      </c>
      <c r="W46" s="858" t="e">
        <f t="shared" si="66"/>
        <v>#DIV/0!</v>
      </c>
      <c r="X46" s="858" t="e">
        <f t="shared" si="66"/>
        <v>#DIV/0!</v>
      </c>
      <c r="Y46" s="858" t="e">
        <f t="shared" si="66"/>
        <v>#DIV/0!</v>
      </c>
      <c r="Z46" s="441"/>
      <c r="AA46" s="297"/>
      <c r="AB46" s="297"/>
      <c r="AC46" s="297"/>
      <c r="AD46" s="297"/>
      <c r="AE46" s="297"/>
      <c r="AF46" s="297"/>
      <c r="AG46" s="297"/>
      <c r="AH46" s="297"/>
      <c r="AI46" s="297"/>
      <c r="AJ46" s="297"/>
      <c r="AK46" s="297"/>
      <c r="AL46" s="297"/>
      <c r="AM46" s="297"/>
      <c r="AN46" s="297"/>
      <c r="AO46" s="297"/>
      <c r="AP46" s="297"/>
      <c r="AQ46" s="297"/>
      <c r="AR46" s="297"/>
      <c r="AS46" s="297"/>
      <c r="AT46" s="297"/>
      <c r="AU46" s="297"/>
      <c r="AV46" s="297"/>
      <c r="AW46" s="297"/>
      <c r="AX46" s="297"/>
      <c r="AY46" s="297"/>
      <c r="AZ46" s="297"/>
      <c r="BA46" s="297"/>
      <c r="BB46" s="297"/>
      <c r="BC46" s="297"/>
      <c r="BD46" s="297"/>
      <c r="BE46" s="297"/>
      <c r="BF46" s="297"/>
      <c r="BG46" s="297"/>
      <c r="BH46" s="297"/>
      <c r="BI46" s="297"/>
      <c r="BJ46" s="297"/>
      <c r="BK46" s="297"/>
      <c r="BL46" s="297"/>
      <c r="BM46" s="297"/>
      <c r="BN46" s="297"/>
      <c r="BO46" s="297"/>
      <c r="BP46" s="297"/>
      <c r="BQ46" s="297"/>
      <c r="BR46" s="297"/>
      <c r="BS46" s="297"/>
      <c r="BT46" s="297"/>
      <c r="BU46" s="297"/>
      <c r="BV46" s="297"/>
      <c r="BW46" s="297"/>
      <c r="BX46" s="297"/>
      <c r="BY46" s="297"/>
      <c r="BZ46" s="297"/>
      <c r="CA46" s="297"/>
      <c r="CB46" s="297"/>
      <c r="CC46" s="297"/>
      <c r="CD46" s="297"/>
      <c r="CE46" s="297"/>
      <c r="CF46" s="297"/>
      <c r="CG46" s="297"/>
      <c r="CH46" s="297"/>
      <c r="CI46" s="297"/>
      <c r="CJ46" s="297"/>
      <c r="CK46" s="297"/>
      <c r="CL46" s="297"/>
      <c r="CM46" s="297"/>
      <c r="CN46" s="297"/>
      <c r="CO46" s="297"/>
      <c r="CP46" s="297"/>
      <c r="CQ46" s="297"/>
      <c r="CR46" s="297"/>
      <c r="CS46" s="297"/>
      <c r="CT46" s="297"/>
      <c r="CU46" s="297"/>
      <c r="CV46" s="297"/>
      <c r="CW46" s="297"/>
      <c r="CX46" s="297"/>
      <c r="CY46" s="297"/>
      <c r="CZ46" s="297"/>
      <c r="DA46" s="297"/>
      <c r="DB46" s="297"/>
      <c r="DC46" s="297"/>
      <c r="DD46" s="297"/>
      <c r="DE46" s="297"/>
      <c r="DF46" s="297"/>
      <c r="DG46" s="297"/>
      <c r="DH46" s="297"/>
      <c r="DI46" s="297"/>
      <c r="DJ46" s="297"/>
      <c r="DK46" s="178"/>
      <c r="DL46" s="178"/>
      <c r="DM46" s="178"/>
      <c r="DN46" s="178"/>
      <c r="DO46" s="178"/>
      <c r="DP46" s="178"/>
      <c r="DQ46" s="178"/>
      <c r="DR46" s="178"/>
      <c r="DS46" s="178"/>
      <c r="DT46" s="178"/>
      <c r="DU46" s="178"/>
      <c r="DV46" s="178"/>
      <c r="DW46" s="178"/>
      <c r="DX46" s="178"/>
      <c r="DY46" s="178"/>
      <c r="DZ46" s="178"/>
      <c r="EA46" s="178"/>
      <c r="EB46" s="178"/>
      <c r="EC46" s="178"/>
      <c r="ED46" s="178"/>
      <c r="EE46" s="178"/>
      <c r="EF46" s="178"/>
      <c r="EG46" s="178"/>
      <c r="EH46" s="178"/>
      <c r="EI46" s="178"/>
      <c r="EJ46" s="178"/>
      <c r="EK46" s="178"/>
      <c r="EL46" s="178"/>
      <c r="EM46" s="178"/>
      <c r="EN46" s="178"/>
      <c r="EO46" s="178"/>
      <c r="EP46" s="178"/>
      <c r="EQ46" s="178"/>
      <c r="ER46" s="178"/>
      <c r="ES46" s="178"/>
      <c r="ET46" s="178"/>
      <c r="EU46" s="178"/>
      <c r="EV46" s="178"/>
      <c r="EW46" s="178"/>
      <c r="EX46" s="178"/>
      <c r="EY46" s="178"/>
      <c r="EZ46" s="178"/>
      <c r="FA46" s="178"/>
      <c r="FB46" s="178"/>
      <c r="FC46" s="178"/>
      <c r="FD46" s="178"/>
      <c r="FE46" s="178"/>
      <c r="FF46" s="178"/>
      <c r="FG46" s="178"/>
      <c r="FH46" s="178"/>
      <c r="FI46" s="178"/>
      <c r="FJ46" s="178"/>
      <c r="FK46" s="178"/>
      <c r="FL46" s="178"/>
      <c r="FM46" s="178"/>
      <c r="FN46" s="178"/>
      <c r="FO46" s="178"/>
      <c r="FP46" s="178"/>
      <c r="FQ46" s="178"/>
      <c r="FR46" s="178"/>
      <c r="FS46" s="178"/>
      <c r="FT46" s="178"/>
      <c r="FU46" s="178"/>
      <c r="FV46" s="178"/>
      <c r="FW46" s="178"/>
      <c r="FX46" s="178"/>
      <c r="FY46" s="178"/>
      <c r="FZ46" s="178"/>
      <c r="GA46" s="178"/>
      <c r="GB46" s="178"/>
      <c r="GC46" s="178"/>
      <c r="GD46" s="178"/>
      <c r="GE46" s="178"/>
      <c r="GF46" s="178"/>
      <c r="GG46" s="178"/>
      <c r="GH46" s="178"/>
      <c r="GI46" s="178"/>
      <c r="GJ46" s="178"/>
      <c r="GK46" s="178"/>
      <c r="GL46" s="178"/>
      <c r="GM46" s="178"/>
      <c r="GN46" s="178"/>
      <c r="GO46" s="178"/>
      <c r="GP46" s="178"/>
      <c r="GQ46" s="178"/>
    </row>
    <row r="47" spans="2:199" s="315" customFormat="1">
      <c r="B47" s="493" t="s">
        <v>466</v>
      </c>
      <c r="C47" s="164"/>
      <c r="D47" s="494">
        <f>D46/HLOOKUP(D$7,Macroeconomics!$B$5:$GB$36,Macroeconomics!$A$24,0)</f>
        <v>0.10820836634699606</v>
      </c>
      <c r="E47" s="494">
        <f>E46/HLOOKUP(E$7,Macroeconomics!$B$5:$GB$36,Macroeconomics!$A$24,0)</f>
        <v>0.1409619556196646</v>
      </c>
      <c r="F47" s="494">
        <f>F46/HLOOKUP(F$7,Macroeconomics!$B$5:$GB$36,Macroeconomics!$A$24,0)</f>
        <v>0.38813553118603378</v>
      </c>
      <c r="G47" s="859">
        <f>G46/HLOOKUP(G$7,Macroeconomics!$B$5:$GB$36,Macroeconomics!$A$24,0)</f>
        <v>4.3382903771369503E-2</v>
      </c>
      <c r="H47" s="859">
        <f>H46/HLOOKUP(H$7,Macroeconomics!$B$5:$GB$36,Macroeconomics!$A$24,0)</f>
        <v>0.51007328545132458</v>
      </c>
      <c r="I47" s="859">
        <f>I46/HLOOKUP(I$7,Macroeconomics!$B$5:$GB$36,Macroeconomics!$A$24,0)</f>
        <v>0.81697191167931726</v>
      </c>
      <c r="J47" s="859">
        <f>J46/HLOOKUP(J$7,Macroeconomics!$B$5:$GB$36,Macroeconomics!$A$24,0)</f>
        <v>0.86958723445455444</v>
      </c>
      <c r="K47" s="859">
        <f>K46/HLOOKUP(K$7,Macroeconomics!$B$5:$GB$36,Macroeconomics!$A$24,0)</f>
        <v>0.93583372153209643</v>
      </c>
      <c r="L47" s="859">
        <f>L46/HLOOKUP(L$7,Macroeconomics!$B$5:$GB$36,Macroeconomics!$A$24,0)</f>
        <v>0.92918550397794497</v>
      </c>
      <c r="M47" s="859">
        <f>M46/HLOOKUP(M$7,Macroeconomics!$B$5:$GB$36,Macroeconomics!$A$24,0)</f>
        <v>0.9278144745520992</v>
      </c>
      <c r="N47" s="859">
        <f>N46/HLOOKUP(N$7,Macroeconomics!$B$5:$GB$36,Macroeconomics!$A$24,0)</f>
        <v>0.92361307620188271</v>
      </c>
      <c r="O47" s="859">
        <f>O46/HLOOKUP(O$7,Macroeconomics!$B$5:$GB$36,Macroeconomics!$A$24,0)</f>
        <v>0.91951081853842909</v>
      </c>
      <c r="P47" s="859">
        <f>P46/HLOOKUP(P$7,Macroeconomics!$B$5:$GB$36,Macroeconomics!$A$24,0)</f>
        <v>0.92335762784203679</v>
      </c>
      <c r="Q47" s="859">
        <f>Q46/HLOOKUP(Q$7,Macroeconomics!$B$5:$GB$36,Macroeconomics!$A$24,0)</f>
        <v>0.92390399186567418</v>
      </c>
      <c r="R47" s="859">
        <f>R46/HLOOKUP(R$7,Macroeconomics!$B$5:$GB$36,Macroeconomics!$A$24,0)</f>
        <v>2</v>
      </c>
      <c r="S47" s="859" t="e">
        <f>S46/HLOOKUP(S$7,Macroeconomics!$B$5:$GB$36,Macroeconomics!$A$24,0)</f>
        <v>#DIV/0!</v>
      </c>
      <c r="T47" s="859" t="e">
        <f>T46/HLOOKUP(T$7,Macroeconomics!$B$5:$GB$36,Macroeconomics!$A$24,0)</f>
        <v>#DIV/0!</v>
      </c>
      <c r="U47" s="859" t="e">
        <f>U46/HLOOKUP(U$7,Macroeconomics!$B$5:$GB$36,Macroeconomics!$A$24,0)</f>
        <v>#DIV/0!</v>
      </c>
      <c r="V47" s="859" t="e">
        <f>V46/HLOOKUP(V$7,Macroeconomics!$B$5:$GB$36,Macroeconomics!$A$24,0)</f>
        <v>#DIV/0!</v>
      </c>
      <c r="W47" s="859" t="e">
        <f>W46/HLOOKUP(W$7,Macroeconomics!$B$5:$GB$36,Macroeconomics!$A$24,0)</f>
        <v>#DIV/0!</v>
      </c>
      <c r="X47" s="859" t="e">
        <f>X46/HLOOKUP(X$7,Macroeconomics!$B$5:$GB$36,Macroeconomics!$A$24,0)</f>
        <v>#DIV/0!</v>
      </c>
      <c r="Y47" s="859" t="e">
        <f>Y46/HLOOKUP(Y$7,Macroeconomics!$B$5:$GB$36,Macroeconomics!$A$24,0)</f>
        <v>#DIV/0!</v>
      </c>
      <c r="Z47" s="441"/>
      <c r="AA47" s="297"/>
      <c r="AB47" s="297"/>
      <c r="AC47" s="297"/>
      <c r="AD47" s="297"/>
      <c r="AE47" s="297"/>
      <c r="AF47" s="297"/>
      <c r="AG47" s="297"/>
      <c r="AH47" s="297"/>
      <c r="AI47" s="297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7"/>
      <c r="AU47" s="297"/>
      <c r="AV47" s="297"/>
      <c r="AW47" s="297"/>
      <c r="AX47" s="297"/>
      <c r="AY47" s="297"/>
      <c r="AZ47" s="297"/>
      <c r="BA47" s="297"/>
      <c r="BB47" s="297"/>
      <c r="BC47" s="297"/>
      <c r="BD47" s="297"/>
      <c r="BE47" s="297"/>
      <c r="BF47" s="297"/>
      <c r="BG47" s="297"/>
      <c r="BH47" s="297"/>
      <c r="BI47" s="297"/>
      <c r="BJ47" s="297"/>
      <c r="BK47" s="297"/>
      <c r="BL47" s="297"/>
      <c r="BM47" s="297"/>
      <c r="BN47" s="297"/>
      <c r="BO47" s="297"/>
      <c r="BP47" s="297"/>
      <c r="BQ47" s="297"/>
      <c r="BR47" s="297"/>
      <c r="BS47" s="297"/>
      <c r="BT47" s="297"/>
      <c r="BU47" s="297"/>
      <c r="BV47" s="297"/>
      <c r="BW47" s="297"/>
      <c r="BX47" s="297"/>
      <c r="BY47" s="297"/>
      <c r="BZ47" s="297"/>
      <c r="CA47" s="297"/>
      <c r="CB47" s="297"/>
      <c r="CC47" s="297"/>
      <c r="CD47" s="297"/>
      <c r="CE47" s="297"/>
      <c r="CF47" s="297"/>
      <c r="CG47" s="297"/>
      <c r="CH47" s="297"/>
      <c r="CI47" s="297"/>
      <c r="CJ47" s="297"/>
      <c r="CK47" s="297"/>
      <c r="CL47" s="297"/>
      <c r="CM47" s="297"/>
      <c r="CN47" s="297"/>
      <c r="CO47" s="297"/>
      <c r="CP47" s="297"/>
      <c r="CQ47" s="297"/>
      <c r="CR47" s="297"/>
      <c r="CS47" s="297"/>
      <c r="CT47" s="297"/>
      <c r="CU47" s="297"/>
      <c r="CV47" s="297"/>
      <c r="CW47" s="297"/>
      <c r="CX47" s="297"/>
      <c r="CY47" s="297"/>
      <c r="CZ47" s="297"/>
      <c r="DA47" s="297"/>
      <c r="DB47" s="297"/>
      <c r="DC47" s="297"/>
      <c r="DD47" s="297"/>
      <c r="DE47" s="297"/>
      <c r="DF47" s="297"/>
      <c r="DG47" s="297"/>
      <c r="DH47" s="297"/>
      <c r="DI47" s="297"/>
      <c r="DJ47" s="297"/>
      <c r="DK47" s="178"/>
      <c r="DL47" s="178"/>
      <c r="DM47" s="178"/>
      <c r="DN47" s="178"/>
      <c r="DO47" s="178"/>
      <c r="DP47" s="178"/>
      <c r="DQ47" s="178"/>
      <c r="DR47" s="178"/>
      <c r="DS47" s="178"/>
      <c r="DT47" s="178"/>
      <c r="DU47" s="178"/>
      <c r="DV47" s="178"/>
      <c r="DW47" s="178"/>
      <c r="DX47" s="178"/>
      <c r="DY47" s="178"/>
      <c r="DZ47" s="178"/>
      <c r="EA47" s="178"/>
      <c r="EB47" s="178"/>
      <c r="EC47" s="178"/>
      <c r="ED47" s="178"/>
      <c r="EE47" s="178"/>
      <c r="EF47" s="178"/>
      <c r="EG47" s="178"/>
      <c r="EH47" s="178"/>
      <c r="EI47" s="178"/>
      <c r="EJ47" s="178"/>
      <c r="EK47" s="178"/>
      <c r="EL47" s="178"/>
      <c r="EM47" s="178"/>
      <c r="EN47" s="178"/>
      <c r="EO47" s="178"/>
      <c r="EP47" s="178"/>
      <c r="EQ47" s="178"/>
      <c r="ER47" s="178"/>
      <c r="ES47" s="178"/>
      <c r="ET47" s="178"/>
      <c r="EU47" s="178"/>
      <c r="EV47" s="178"/>
      <c r="EW47" s="178"/>
      <c r="EX47" s="178"/>
      <c r="EY47" s="178"/>
      <c r="EZ47" s="178"/>
      <c r="FA47" s="178"/>
      <c r="FB47" s="178"/>
      <c r="FC47" s="178"/>
      <c r="FD47" s="178"/>
      <c r="FE47" s="178"/>
      <c r="FF47" s="178"/>
      <c r="FG47" s="178"/>
      <c r="FH47" s="178"/>
      <c r="FI47" s="178"/>
      <c r="FJ47" s="178"/>
      <c r="FK47" s="178"/>
      <c r="FL47" s="178"/>
      <c r="FM47" s="178"/>
      <c r="FN47" s="178"/>
      <c r="FO47" s="178"/>
      <c r="FP47" s="178"/>
      <c r="FQ47" s="178"/>
      <c r="FR47" s="178"/>
      <c r="FS47" s="178"/>
      <c r="FT47" s="178"/>
      <c r="FU47" s="178"/>
      <c r="FV47" s="178"/>
      <c r="FW47" s="178"/>
      <c r="FX47" s="178"/>
      <c r="FY47" s="178"/>
      <c r="FZ47" s="178"/>
      <c r="GA47" s="178"/>
      <c r="GB47" s="178"/>
      <c r="GC47" s="178"/>
      <c r="GD47" s="178"/>
      <c r="GE47" s="178"/>
      <c r="GF47" s="178"/>
      <c r="GG47" s="178"/>
      <c r="GH47" s="178"/>
      <c r="GI47" s="178"/>
      <c r="GJ47" s="178"/>
      <c r="GK47" s="178"/>
      <c r="GL47" s="178"/>
      <c r="GM47" s="178"/>
      <c r="GN47" s="178"/>
      <c r="GO47" s="178"/>
      <c r="GP47" s="178"/>
      <c r="GQ47" s="178"/>
    </row>
    <row r="48" spans="2:199"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  <c r="AB48" s="227"/>
      <c r="AC48" s="227"/>
      <c r="AD48" s="227"/>
      <c r="AE48" s="227"/>
      <c r="AF48" s="227"/>
      <c r="AG48" s="227"/>
      <c r="AH48" s="227"/>
      <c r="AI48" s="227"/>
      <c r="AJ48" s="227"/>
      <c r="AK48" s="227"/>
      <c r="AL48" s="227"/>
      <c r="AM48" s="227"/>
      <c r="AN48" s="227"/>
      <c r="AO48" s="227"/>
      <c r="AP48" s="227"/>
      <c r="AQ48" s="227"/>
      <c r="AR48" s="227"/>
      <c r="AS48" s="227"/>
      <c r="AT48" s="227"/>
      <c r="AU48" s="227"/>
      <c r="AV48" s="227"/>
      <c r="AW48" s="227"/>
      <c r="AX48" s="227"/>
      <c r="AY48" s="227"/>
      <c r="AZ48" s="227"/>
      <c r="BA48" s="227"/>
      <c r="BB48" s="227"/>
      <c r="BC48" s="227"/>
      <c r="BD48" s="227"/>
      <c r="BE48" s="227"/>
      <c r="BF48" s="227"/>
      <c r="BG48" s="227"/>
      <c r="BH48" s="227"/>
      <c r="BI48" s="227"/>
      <c r="BJ48" s="227"/>
      <c r="BK48" s="227"/>
      <c r="BL48" s="227"/>
      <c r="BM48" s="227"/>
      <c r="BN48" s="227"/>
      <c r="BO48" s="227"/>
    </row>
    <row r="49" spans="2:199">
      <c r="B49" s="156"/>
      <c r="D49" s="153"/>
      <c r="E49" s="216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  <c r="AJ49" s="153"/>
      <c r="AK49" s="153"/>
      <c r="AL49" s="153"/>
      <c r="AM49" s="153"/>
      <c r="AN49" s="153"/>
      <c r="AO49" s="153"/>
      <c r="AP49" s="153"/>
      <c r="AQ49" s="153"/>
      <c r="AR49" s="153"/>
      <c r="AS49" s="153"/>
      <c r="AT49" s="153"/>
      <c r="AU49" s="153"/>
      <c r="AV49" s="153"/>
      <c r="AW49" s="153"/>
      <c r="AX49" s="153"/>
      <c r="AY49" s="153"/>
      <c r="AZ49" s="153"/>
      <c r="BA49" s="153"/>
      <c r="BB49" s="153"/>
      <c r="BC49" s="153"/>
      <c r="BD49" s="153"/>
      <c r="BE49" s="153"/>
      <c r="BF49" s="153"/>
      <c r="BG49" s="153"/>
      <c r="BH49" s="153"/>
      <c r="BI49" s="153"/>
      <c r="BJ49" s="153"/>
      <c r="BK49" s="153"/>
      <c r="BL49" s="153"/>
      <c r="BM49" s="153"/>
      <c r="BN49" s="153"/>
      <c r="BO49" s="153"/>
      <c r="BP49" s="153"/>
      <c r="BQ49" s="153"/>
      <c r="BR49" s="153"/>
      <c r="BS49" s="153"/>
      <c r="BT49" s="153"/>
      <c r="BU49" s="153"/>
      <c r="BV49" s="153"/>
      <c r="BW49" s="153"/>
      <c r="BX49" s="153"/>
      <c r="BY49" s="153"/>
      <c r="BZ49" s="153"/>
      <c r="CA49" s="153"/>
      <c r="CB49" s="153"/>
      <c r="CC49" s="153"/>
      <c r="CD49" s="153"/>
      <c r="CE49" s="153"/>
      <c r="CF49" s="153"/>
      <c r="CG49" s="153"/>
      <c r="CH49" s="153"/>
      <c r="CI49" s="153"/>
      <c r="CJ49" s="153"/>
      <c r="CK49" s="153"/>
      <c r="CL49" s="153"/>
      <c r="CM49" s="153"/>
      <c r="CN49" s="153"/>
      <c r="CO49" s="153"/>
      <c r="CP49" s="153"/>
      <c r="CQ49" s="153"/>
      <c r="CR49" s="153"/>
      <c r="CS49" s="153"/>
      <c r="CT49" s="153"/>
      <c r="CU49" s="153"/>
      <c r="CV49" s="153"/>
      <c r="CW49" s="153"/>
      <c r="CX49" s="153"/>
      <c r="CY49" s="153"/>
      <c r="CZ49" s="153"/>
      <c r="DA49" s="153"/>
      <c r="DB49" s="153"/>
      <c r="DC49" s="153"/>
      <c r="DD49" s="153"/>
      <c r="DE49" s="153"/>
      <c r="DF49" s="153"/>
      <c r="DG49" s="153"/>
      <c r="DH49" s="153"/>
      <c r="DI49" s="153"/>
      <c r="DJ49" s="153"/>
      <c r="DK49" s="153"/>
      <c r="DL49" s="153"/>
      <c r="DM49" s="153"/>
      <c r="DN49" s="153"/>
      <c r="DO49" s="153"/>
      <c r="DP49" s="153"/>
      <c r="DQ49" s="153"/>
      <c r="DR49" s="153"/>
      <c r="DS49" s="153"/>
      <c r="DT49" s="153"/>
      <c r="DU49" s="153"/>
      <c r="DV49" s="153"/>
      <c r="DW49" s="153"/>
      <c r="DX49" s="153"/>
      <c r="DY49" s="153"/>
      <c r="DZ49" s="153"/>
      <c r="EA49" s="153"/>
      <c r="EB49" s="153"/>
      <c r="EC49" s="153"/>
      <c r="ED49" s="153"/>
      <c r="EE49" s="153"/>
      <c r="EF49" s="153"/>
      <c r="EG49" s="153"/>
      <c r="EH49" s="153"/>
      <c r="EI49" s="153"/>
      <c r="EJ49" s="153"/>
      <c r="EK49" s="153"/>
      <c r="EL49" s="153"/>
      <c r="EM49" s="153"/>
      <c r="EN49" s="153"/>
      <c r="EO49" s="153"/>
      <c r="EP49" s="153"/>
      <c r="EQ49" s="153"/>
      <c r="ER49" s="153"/>
      <c r="ES49" s="153"/>
      <c r="ET49" s="153"/>
      <c r="EU49" s="153"/>
      <c r="EV49" s="153"/>
      <c r="EW49" s="153"/>
      <c r="EX49" s="153"/>
      <c r="EY49" s="153"/>
      <c r="EZ49" s="153"/>
      <c r="FA49" s="153"/>
      <c r="FB49" s="153"/>
      <c r="FC49" s="153"/>
      <c r="FD49" s="153"/>
      <c r="FE49" s="153"/>
      <c r="FF49" s="153"/>
      <c r="FG49" s="153"/>
      <c r="FH49" s="153"/>
      <c r="FI49" s="153"/>
      <c r="FJ49" s="153"/>
      <c r="FK49" s="153"/>
      <c r="FL49" s="153"/>
      <c r="FM49" s="153"/>
      <c r="FN49" s="153"/>
      <c r="FO49" s="153"/>
      <c r="FP49" s="153"/>
      <c r="FQ49" s="153"/>
      <c r="FR49" s="153"/>
      <c r="FS49" s="153"/>
      <c r="FT49" s="153"/>
      <c r="FU49" s="153"/>
      <c r="FV49" s="153"/>
      <c r="FW49" s="153"/>
      <c r="FX49" s="153"/>
      <c r="FY49" s="153"/>
      <c r="FZ49" s="153"/>
      <c r="GA49" s="153"/>
      <c r="GB49" s="153"/>
      <c r="GC49" s="153"/>
      <c r="GD49" s="153"/>
      <c r="GE49" s="153"/>
      <c r="GF49" s="153"/>
      <c r="GG49" s="153"/>
      <c r="GH49" s="153"/>
      <c r="GI49" s="153"/>
      <c r="GJ49" s="153"/>
      <c r="GK49" s="153"/>
      <c r="GL49" s="153"/>
      <c r="GM49" s="153"/>
      <c r="GN49" s="153"/>
      <c r="GO49" s="153"/>
      <c r="GP49" s="153"/>
      <c r="GQ49" s="153"/>
    </row>
    <row r="50" spans="2:199">
      <c r="B50" s="1" t="s">
        <v>591</v>
      </c>
      <c r="C50" s="32"/>
      <c r="D50" s="32"/>
      <c r="E50" s="146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</row>
    <row r="52" spans="2:199">
      <c r="B52" s="302" t="s">
        <v>570</v>
      </c>
      <c r="C52" s="302"/>
      <c r="D52" s="302"/>
      <c r="E52" s="176">
        <f>C54</f>
        <v>40878</v>
      </c>
      <c r="F52" s="176">
        <f>EDATE(E52,12)</f>
        <v>41244</v>
      </c>
      <c r="G52" s="318">
        <f t="shared" ref="G52:AA52" si="67">EDATE(F52,12)</f>
        <v>41609</v>
      </c>
      <c r="H52" s="318">
        <f t="shared" si="67"/>
        <v>41974</v>
      </c>
      <c r="I52" s="318">
        <f t="shared" si="67"/>
        <v>42339</v>
      </c>
      <c r="J52" s="318">
        <f t="shared" si="67"/>
        <v>42705</v>
      </c>
      <c r="K52" s="318">
        <f t="shared" si="67"/>
        <v>43070</v>
      </c>
      <c r="L52" s="318">
        <f t="shared" si="67"/>
        <v>43435</v>
      </c>
      <c r="M52" s="318">
        <f t="shared" si="67"/>
        <v>43800</v>
      </c>
      <c r="N52" s="318">
        <f t="shared" si="67"/>
        <v>44166</v>
      </c>
      <c r="O52" s="318">
        <f t="shared" si="67"/>
        <v>44531</v>
      </c>
      <c r="P52" s="318">
        <f t="shared" si="67"/>
        <v>44896</v>
      </c>
      <c r="Q52" s="318">
        <f>EDATE(P52,12)</f>
        <v>45261</v>
      </c>
      <c r="R52" s="318">
        <f t="shared" si="67"/>
        <v>45627</v>
      </c>
      <c r="S52" s="318">
        <f t="shared" si="67"/>
        <v>45992</v>
      </c>
      <c r="T52" s="318">
        <f t="shared" si="67"/>
        <v>46357</v>
      </c>
      <c r="U52" s="318">
        <f t="shared" si="67"/>
        <v>46722</v>
      </c>
      <c r="V52" s="318">
        <f>EDATE(U52,12)</f>
        <v>47088</v>
      </c>
      <c r="W52" s="318">
        <f t="shared" si="67"/>
        <v>47453</v>
      </c>
      <c r="X52" s="318">
        <f t="shared" si="67"/>
        <v>47818</v>
      </c>
      <c r="Y52" s="318">
        <f t="shared" si="67"/>
        <v>48183</v>
      </c>
      <c r="Z52" s="318">
        <f t="shared" si="67"/>
        <v>48549</v>
      </c>
      <c r="AA52" s="318">
        <f t="shared" si="67"/>
        <v>48914</v>
      </c>
      <c r="AB52" s="318"/>
      <c r="AC52" s="318"/>
      <c r="AD52" s="176"/>
      <c r="AE52" s="176"/>
      <c r="AF52" s="176"/>
      <c r="AG52" s="176"/>
      <c r="AH52" s="176"/>
      <c r="AI52" s="176"/>
      <c r="AJ52" s="176"/>
      <c r="AK52" s="176"/>
      <c r="AL52" s="176"/>
      <c r="AM52" s="176"/>
      <c r="AN52" s="176"/>
      <c r="AO52" s="176"/>
      <c r="AP52" s="176"/>
      <c r="AQ52" s="176"/>
      <c r="AR52" s="176"/>
      <c r="AS52" s="176"/>
      <c r="AT52" s="176"/>
      <c r="AU52" s="176"/>
      <c r="AV52" s="176"/>
      <c r="AW52" s="176"/>
      <c r="AX52" s="176"/>
      <c r="AY52" s="176"/>
      <c r="AZ52" s="176"/>
      <c r="BA52" s="176"/>
      <c r="BB52" s="176"/>
      <c r="BC52" s="176"/>
      <c r="BD52" s="176"/>
      <c r="BE52" s="176"/>
      <c r="BF52" s="176"/>
      <c r="BG52" s="176"/>
      <c r="BH52" s="176"/>
      <c r="BI52" s="176"/>
      <c r="BJ52" s="176"/>
      <c r="BK52" s="176"/>
      <c r="BL52" s="176"/>
      <c r="BM52" s="176"/>
      <c r="BN52" s="176"/>
      <c r="BO52" s="176"/>
      <c r="BP52" s="176"/>
      <c r="BQ52" s="176"/>
      <c r="BR52" s="176"/>
      <c r="BS52" s="176"/>
      <c r="BT52" s="176"/>
      <c r="BU52" s="176"/>
      <c r="BV52" s="176"/>
      <c r="BW52" s="176"/>
      <c r="BX52" s="176"/>
      <c r="BY52" s="176"/>
      <c r="BZ52" s="176"/>
      <c r="CA52" s="176"/>
      <c r="CB52" s="176"/>
      <c r="CC52" s="176"/>
      <c r="CD52" s="176"/>
      <c r="CE52" s="176"/>
      <c r="CF52" s="176"/>
      <c r="CG52" s="176"/>
      <c r="CH52" s="176"/>
      <c r="CI52" s="176"/>
      <c r="CJ52" s="176"/>
      <c r="CK52" s="176"/>
      <c r="CL52" s="176"/>
      <c r="CM52" s="176"/>
      <c r="CN52" s="176"/>
      <c r="CO52" s="176"/>
      <c r="CP52" s="176"/>
      <c r="CQ52" s="176"/>
      <c r="CR52" s="176"/>
      <c r="CS52" s="176"/>
      <c r="CT52" s="176"/>
      <c r="CU52" s="176"/>
      <c r="CV52" s="176"/>
      <c r="CW52" s="176"/>
      <c r="CX52" s="176"/>
      <c r="CY52" s="176"/>
      <c r="CZ52" s="176"/>
      <c r="DA52" s="176"/>
      <c r="DB52" s="176"/>
      <c r="DC52" s="176"/>
      <c r="DD52" s="176"/>
      <c r="DE52" s="176"/>
      <c r="DF52" s="176"/>
      <c r="DG52" s="176"/>
      <c r="DH52" s="176"/>
      <c r="DI52" s="176"/>
      <c r="DJ52" s="176"/>
      <c r="DK52" s="176"/>
      <c r="DL52" s="176"/>
      <c r="DM52" s="176"/>
      <c r="DN52" s="176"/>
      <c r="DO52" s="176"/>
      <c r="DP52" s="176"/>
      <c r="DQ52" s="176"/>
      <c r="DR52" s="176"/>
      <c r="DS52" s="176"/>
      <c r="DT52" s="176"/>
      <c r="DU52" s="176"/>
      <c r="DV52" s="176"/>
      <c r="DW52" s="176"/>
      <c r="DX52" s="176"/>
      <c r="DY52" s="176"/>
      <c r="DZ52" s="176"/>
      <c r="EA52" s="176"/>
      <c r="EB52" s="176"/>
      <c r="EC52" s="176"/>
      <c r="ED52" s="176"/>
      <c r="EE52" s="176"/>
      <c r="EF52" s="176"/>
      <c r="EG52" s="176"/>
      <c r="EH52" s="176"/>
      <c r="EI52" s="176"/>
      <c r="EJ52" s="176"/>
      <c r="EK52" s="176"/>
      <c r="EL52" s="176"/>
      <c r="EM52" s="176"/>
      <c r="EN52" s="176"/>
      <c r="EO52" s="176"/>
      <c r="EP52" s="176"/>
      <c r="EQ52" s="176"/>
      <c r="ER52" s="176"/>
      <c r="ES52" s="176"/>
      <c r="ET52" s="176"/>
      <c r="EU52" s="176"/>
      <c r="EV52" s="176"/>
      <c r="EW52" s="176"/>
      <c r="EX52" s="176"/>
      <c r="EY52" s="176"/>
      <c r="EZ52" s="176"/>
      <c r="FA52" s="176"/>
      <c r="FB52" s="176"/>
      <c r="FC52" s="176"/>
      <c r="FD52" s="176"/>
      <c r="FE52" s="176"/>
      <c r="FF52" s="176"/>
      <c r="FG52" s="176"/>
      <c r="FH52" s="176"/>
      <c r="FI52" s="176"/>
      <c r="FJ52" s="176"/>
      <c r="FK52" s="176"/>
      <c r="FL52" s="176"/>
      <c r="FM52" s="176"/>
      <c r="FN52" s="176"/>
      <c r="FO52" s="176"/>
      <c r="FP52" s="176"/>
      <c r="FQ52" s="176"/>
      <c r="FR52" s="176"/>
      <c r="FS52" s="176"/>
      <c r="FT52" s="176"/>
      <c r="FU52" s="176"/>
      <c r="FV52" s="176"/>
      <c r="FW52" s="176"/>
      <c r="FX52" s="176"/>
      <c r="FY52" s="176"/>
      <c r="FZ52" s="176"/>
      <c r="GA52" s="176"/>
      <c r="GB52" s="176"/>
      <c r="GC52" s="176"/>
      <c r="GD52" s="176"/>
      <c r="GE52" s="176"/>
      <c r="GF52" s="176"/>
      <c r="GG52" s="176"/>
      <c r="GH52" s="176"/>
      <c r="GI52" s="176"/>
      <c r="GJ52" s="176"/>
      <c r="GK52" s="176"/>
      <c r="GL52" s="176"/>
      <c r="GM52" s="176"/>
      <c r="GN52" s="176"/>
      <c r="GO52" s="176"/>
      <c r="GP52" s="176"/>
      <c r="GQ52" s="176"/>
    </row>
    <row r="53" spans="2:199">
      <c r="B53" s="173"/>
      <c r="C53" s="173"/>
      <c r="E53" s="425">
        <f>YEAR(E52)</f>
        <v>2011</v>
      </c>
      <c r="F53" s="425">
        <f t="shared" ref="F53:L53" si="68">YEAR(F52)</f>
        <v>2012</v>
      </c>
      <c r="G53" s="425">
        <f t="shared" si="68"/>
        <v>2013</v>
      </c>
      <c r="H53" s="425">
        <f t="shared" si="68"/>
        <v>2014</v>
      </c>
      <c r="I53" s="425">
        <f t="shared" si="68"/>
        <v>2015</v>
      </c>
      <c r="J53" s="425">
        <f t="shared" si="68"/>
        <v>2016</v>
      </c>
      <c r="K53" s="425">
        <f t="shared" si="68"/>
        <v>2017</v>
      </c>
      <c r="L53" s="425">
        <f t="shared" si="68"/>
        <v>2018</v>
      </c>
      <c r="M53" s="425">
        <f t="shared" ref="M53" si="69">YEAR(M52)</f>
        <v>2019</v>
      </c>
      <c r="N53" s="425">
        <f t="shared" ref="N53" si="70">YEAR(N52)</f>
        <v>2020</v>
      </c>
      <c r="O53" s="425">
        <f t="shared" ref="O53" si="71">YEAR(O52)</f>
        <v>2021</v>
      </c>
      <c r="P53" s="425">
        <f t="shared" ref="P53" si="72">YEAR(P52)</f>
        <v>2022</v>
      </c>
      <c r="Q53" s="425">
        <f t="shared" ref="Q53" si="73">YEAR(Q52)</f>
        <v>2023</v>
      </c>
      <c r="R53" s="425">
        <f t="shared" ref="R53:S53" si="74">YEAR(R52)</f>
        <v>2024</v>
      </c>
      <c r="S53" s="425">
        <f t="shared" si="74"/>
        <v>2025</v>
      </c>
      <c r="T53" s="425">
        <f t="shared" ref="T53" si="75">YEAR(T52)</f>
        <v>2026</v>
      </c>
      <c r="U53" s="425">
        <f t="shared" ref="U53" si="76">YEAR(U52)</f>
        <v>2027</v>
      </c>
      <c r="V53" s="425">
        <f t="shared" ref="V53" si="77">YEAR(V52)</f>
        <v>2028</v>
      </c>
      <c r="W53" s="425">
        <f t="shared" ref="W53" si="78">YEAR(W52)</f>
        <v>2029</v>
      </c>
      <c r="X53" s="425">
        <f t="shared" ref="X53" si="79">YEAR(X52)</f>
        <v>2030</v>
      </c>
      <c r="Y53" s="425">
        <f t="shared" ref="Y53:Z53" si="80">YEAR(Y52)</f>
        <v>2031</v>
      </c>
      <c r="Z53" s="425">
        <f t="shared" si="80"/>
        <v>2032</v>
      </c>
      <c r="AA53" s="425">
        <f t="shared" ref="AA53" si="81">YEAR(AA52)</f>
        <v>2033</v>
      </c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5"/>
      <c r="AU53" s="175"/>
      <c r="AV53" s="175"/>
      <c r="AW53" s="175"/>
      <c r="AX53" s="175"/>
      <c r="AY53" s="175"/>
      <c r="AZ53" s="175"/>
      <c r="BA53" s="175"/>
      <c r="BB53" s="175"/>
      <c r="BC53" s="175"/>
      <c r="BD53" s="175"/>
      <c r="BE53" s="175"/>
      <c r="BF53" s="175"/>
      <c r="BG53" s="175"/>
      <c r="BH53" s="175"/>
      <c r="BI53" s="175"/>
      <c r="BJ53" s="175"/>
      <c r="BK53" s="175"/>
      <c r="BL53" s="175"/>
      <c r="BM53" s="175"/>
      <c r="BN53" s="175"/>
      <c r="BO53" s="175"/>
      <c r="BP53" s="175"/>
      <c r="BQ53" s="175"/>
      <c r="BR53" s="175"/>
      <c r="BS53" s="175"/>
      <c r="BT53" s="175"/>
      <c r="BU53" s="175"/>
      <c r="BV53" s="175"/>
      <c r="BW53" s="175"/>
      <c r="BX53" s="175"/>
      <c r="BY53" s="175"/>
      <c r="BZ53" s="175"/>
      <c r="CA53" s="175"/>
      <c r="CB53" s="175"/>
      <c r="CC53" s="175"/>
      <c r="CD53" s="175"/>
      <c r="CE53" s="175"/>
      <c r="CF53" s="175"/>
      <c r="CG53" s="175"/>
      <c r="CH53" s="175"/>
      <c r="CI53" s="175"/>
      <c r="CJ53" s="175"/>
      <c r="CK53" s="175"/>
      <c r="CL53" s="175"/>
      <c r="CM53" s="175"/>
      <c r="CN53" s="175"/>
      <c r="CO53" s="175"/>
      <c r="CP53" s="175"/>
      <c r="CQ53" s="175"/>
      <c r="CR53" s="175"/>
      <c r="CS53" s="175"/>
      <c r="CT53" s="175"/>
      <c r="CU53" s="175"/>
      <c r="CV53" s="175"/>
      <c r="CW53" s="175"/>
      <c r="CX53" s="175"/>
      <c r="CY53" s="175"/>
      <c r="CZ53" s="175"/>
      <c r="DA53" s="175"/>
      <c r="DB53" s="175"/>
      <c r="DC53" s="175"/>
      <c r="DD53" s="175"/>
      <c r="DE53" s="175"/>
      <c r="DF53" s="175"/>
      <c r="DG53" s="175"/>
      <c r="DH53" s="175"/>
      <c r="DI53" s="175"/>
      <c r="DJ53" s="175"/>
      <c r="DK53" s="175"/>
      <c r="DL53" s="175"/>
      <c r="DM53" s="175"/>
      <c r="DN53" s="175"/>
      <c r="DO53" s="175"/>
      <c r="DP53" s="175"/>
      <c r="DQ53" s="175"/>
      <c r="DR53" s="175"/>
      <c r="DS53" s="175"/>
      <c r="DT53" s="175"/>
      <c r="DU53" s="175"/>
      <c r="DV53" s="175"/>
      <c r="DW53" s="175"/>
      <c r="DX53" s="175"/>
      <c r="DY53" s="175"/>
      <c r="DZ53" s="175"/>
      <c r="EA53" s="175"/>
      <c r="EB53" s="175"/>
      <c r="EC53" s="175"/>
      <c r="ED53" s="175"/>
      <c r="EE53" s="175"/>
      <c r="EF53" s="175"/>
      <c r="EG53" s="175"/>
      <c r="EH53" s="175"/>
      <c r="EI53" s="175"/>
      <c r="EJ53" s="175"/>
      <c r="EK53" s="175"/>
      <c r="EL53" s="175"/>
      <c r="EM53" s="175"/>
      <c r="EN53" s="175"/>
      <c r="EO53" s="175"/>
      <c r="EP53" s="175"/>
      <c r="EQ53" s="175"/>
      <c r="ER53" s="175"/>
      <c r="ES53" s="175"/>
      <c r="ET53" s="175"/>
      <c r="EU53" s="175"/>
      <c r="EV53" s="175"/>
      <c r="EW53" s="175"/>
      <c r="EX53" s="175"/>
      <c r="EY53" s="175"/>
      <c r="EZ53" s="175"/>
      <c r="FA53" s="175"/>
      <c r="FB53" s="175"/>
      <c r="FC53" s="175"/>
      <c r="FD53" s="175"/>
      <c r="FE53" s="175"/>
      <c r="FF53" s="175"/>
      <c r="FG53" s="175"/>
      <c r="FH53" s="175"/>
      <c r="FI53" s="175"/>
      <c r="FJ53" s="175"/>
      <c r="FK53" s="175"/>
      <c r="FL53" s="175"/>
      <c r="FM53" s="175"/>
      <c r="FN53" s="175"/>
      <c r="FO53" s="175"/>
      <c r="FP53" s="175"/>
      <c r="FQ53" s="175"/>
      <c r="FR53" s="175"/>
      <c r="FS53" s="175"/>
      <c r="FT53" s="175"/>
      <c r="FU53" s="175"/>
      <c r="FV53" s="175"/>
      <c r="FW53" s="175"/>
      <c r="FX53" s="175"/>
      <c r="FY53" s="175"/>
      <c r="FZ53" s="175"/>
      <c r="GA53" s="175"/>
      <c r="GB53" s="175"/>
      <c r="GC53" s="175"/>
      <c r="GD53" s="175"/>
      <c r="GE53" s="175"/>
      <c r="GF53" s="175"/>
      <c r="GG53" s="175"/>
      <c r="GH53" s="175"/>
      <c r="GI53" s="175"/>
      <c r="GJ53" s="175"/>
      <c r="GK53" s="175"/>
      <c r="GL53" s="175"/>
      <c r="GM53" s="175"/>
      <c r="GN53" s="175"/>
      <c r="GO53" s="175"/>
      <c r="GP53" s="175"/>
      <c r="GQ53" s="175"/>
    </row>
    <row r="54" spans="2:199" hidden="1" outlineLevel="1">
      <c r="B54" s="181" t="s">
        <v>410</v>
      </c>
      <c r="C54" s="205">
        <v>40878</v>
      </c>
    </row>
    <row r="55" spans="2:199" hidden="1" outlineLevel="1">
      <c r="B55" s="182" t="s">
        <v>398</v>
      </c>
      <c r="C55" s="206">
        <v>48183</v>
      </c>
    </row>
    <row r="56" spans="2:199" hidden="1" outlineLevel="1">
      <c r="B56" s="182" t="s">
        <v>402</v>
      </c>
      <c r="C56" s="206">
        <v>41244</v>
      </c>
    </row>
    <row r="57" spans="2:199" hidden="1" outlineLevel="1">
      <c r="B57" s="182" t="s">
        <v>399</v>
      </c>
      <c r="C57" s="206">
        <v>41974</v>
      </c>
      <c r="D57" s="301" t="s">
        <v>468</v>
      </c>
      <c r="E57" s="303"/>
      <c r="F57" s="303"/>
      <c r="G57" s="303"/>
      <c r="H57" s="426">
        <f>1/18</f>
        <v>5.5555555555555552E-2</v>
      </c>
      <c r="I57" s="426">
        <f>1/18</f>
        <v>5.5555555555555552E-2</v>
      </c>
      <c r="J57" s="426">
        <f t="shared" ref="J57:Y57" si="82">1/18</f>
        <v>5.5555555555555552E-2</v>
      </c>
      <c r="K57" s="426">
        <f t="shared" si="82"/>
        <v>5.5555555555555552E-2</v>
      </c>
      <c r="L57" s="426">
        <f t="shared" si="82"/>
        <v>5.5555555555555552E-2</v>
      </c>
      <c r="M57" s="426">
        <f t="shared" si="82"/>
        <v>5.5555555555555552E-2</v>
      </c>
      <c r="N57" s="426">
        <f t="shared" si="82"/>
        <v>5.5555555555555552E-2</v>
      </c>
      <c r="O57" s="426">
        <f t="shared" si="82"/>
        <v>5.5555555555555552E-2</v>
      </c>
      <c r="P57" s="426">
        <f t="shared" si="82"/>
        <v>5.5555555555555552E-2</v>
      </c>
      <c r="Q57" s="426">
        <f t="shared" si="82"/>
        <v>5.5555555555555552E-2</v>
      </c>
      <c r="R57" s="426">
        <f t="shared" si="82"/>
        <v>5.5555555555555552E-2</v>
      </c>
      <c r="S57" s="426">
        <f t="shared" si="82"/>
        <v>5.5555555555555552E-2</v>
      </c>
      <c r="T57" s="426">
        <f t="shared" si="82"/>
        <v>5.5555555555555552E-2</v>
      </c>
      <c r="U57" s="426">
        <f t="shared" si="82"/>
        <v>5.5555555555555552E-2</v>
      </c>
      <c r="V57" s="426">
        <f t="shared" si="82"/>
        <v>5.5555555555555552E-2</v>
      </c>
      <c r="W57" s="426">
        <f t="shared" si="82"/>
        <v>5.5555555555555552E-2</v>
      </c>
      <c r="X57" s="426">
        <f t="shared" si="82"/>
        <v>5.5555555555555552E-2</v>
      </c>
      <c r="Y57" s="426">
        <f t="shared" si="82"/>
        <v>5.5555555555555552E-2</v>
      </c>
      <c r="Z57" s="426"/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  <c r="BW57" s="303"/>
      <c r="BX57" s="303"/>
      <c r="BY57" s="300"/>
      <c r="BZ57" s="303"/>
      <c r="CA57" s="303"/>
      <c r="CB57" s="303"/>
      <c r="CC57" s="303"/>
      <c r="CD57" s="303"/>
      <c r="CE57" s="303"/>
      <c r="CF57" s="303"/>
      <c r="CG57" s="303"/>
      <c r="CH57" s="303"/>
      <c r="CI57" s="303"/>
      <c r="CJ57" s="303"/>
      <c r="CK57" s="303"/>
      <c r="CL57" s="303"/>
      <c r="CM57" s="303"/>
      <c r="CN57" s="303"/>
      <c r="CO57" s="303"/>
      <c r="CP57" s="303"/>
      <c r="CQ57" s="303"/>
      <c r="CR57" s="303"/>
      <c r="CS57" s="303"/>
      <c r="CT57" s="303"/>
      <c r="CU57" s="303"/>
      <c r="CV57" s="303"/>
      <c r="CW57" s="303"/>
      <c r="CX57" s="303"/>
      <c r="CY57" s="303"/>
      <c r="CZ57" s="303"/>
      <c r="DA57" s="303"/>
      <c r="DB57" s="303"/>
      <c r="DC57" s="303"/>
      <c r="DD57" s="303"/>
      <c r="DE57" s="303"/>
      <c r="DF57" s="303"/>
      <c r="DG57" s="303"/>
      <c r="DH57" s="303"/>
      <c r="DI57" s="303"/>
      <c r="DJ57" s="303"/>
      <c r="DK57" s="303"/>
      <c r="DL57" s="303"/>
      <c r="DM57" s="303"/>
      <c r="DN57" s="303"/>
      <c r="DO57" s="303"/>
      <c r="DP57" s="303"/>
      <c r="DQ57" s="303"/>
      <c r="DR57" s="303"/>
      <c r="DS57" s="303"/>
      <c r="DT57" s="303"/>
      <c r="DU57" s="303"/>
      <c r="DV57" s="303"/>
      <c r="DW57" s="303"/>
      <c r="DX57" s="303"/>
      <c r="DY57" s="303"/>
      <c r="DZ57" s="303"/>
      <c r="EA57" s="303"/>
      <c r="EB57" s="303"/>
      <c r="EC57" s="303"/>
      <c r="ED57" s="303"/>
      <c r="EE57" s="303"/>
      <c r="EF57" s="303"/>
      <c r="EG57" s="303"/>
      <c r="EH57" s="303"/>
      <c r="EI57" s="303"/>
      <c r="EJ57" s="303"/>
      <c r="EK57" s="303"/>
      <c r="EL57" s="303"/>
      <c r="EM57" s="303"/>
      <c r="EN57" s="303"/>
      <c r="EO57" s="303"/>
      <c r="EP57" s="303"/>
      <c r="EQ57" s="303"/>
      <c r="ER57" s="303"/>
      <c r="ES57" s="303"/>
      <c r="ET57" s="303"/>
      <c r="EU57" s="303"/>
      <c r="EV57" s="303"/>
      <c r="EW57" s="303"/>
      <c r="EX57" s="303"/>
      <c r="EY57" s="303"/>
      <c r="EZ57" s="303"/>
      <c r="FA57" s="303"/>
      <c r="FB57" s="303"/>
      <c r="FC57" s="303"/>
      <c r="FD57" s="303"/>
      <c r="FE57" s="303"/>
      <c r="FF57" s="303"/>
      <c r="FG57" s="303"/>
      <c r="FH57" s="303"/>
      <c r="FI57" s="303"/>
      <c r="FJ57" s="303"/>
      <c r="FK57" s="303"/>
      <c r="FL57" s="303"/>
      <c r="FM57" s="303"/>
      <c r="FN57" s="303"/>
      <c r="FO57" s="303"/>
      <c r="FP57" s="303"/>
      <c r="FQ57" s="303"/>
      <c r="FR57" s="303"/>
      <c r="FS57" s="303"/>
      <c r="FT57" s="303"/>
      <c r="FU57" s="303"/>
      <c r="FV57" s="303"/>
      <c r="FW57" s="303"/>
      <c r="FX57" s="303"/>
      <c r="FY57" s="303"/>
      <c r="FZ57" s="303"/>
      <c r="GA57" s="303"/>
      <c r="GB57" s="303"/>
      <c r="GC57" s="303"/>
      <c r="GD57" s="303"/>
      <c r="GE57" s="303"/>
      <c r="GF57" s="303"/>
      <c r="GG57" s="303"/>
      <c r="GH57" s="303"/>
      <c r="GI57" s="303"/>
      <c r="GJ57" s="303"/>
      <c r="GK57" s="303"/>
      <c r="GL57" s="303"/>
      <c r="GM57" s="303"/>
      <c r="GN57" s="303"/>
      <c r="GO57" s="303"/>
      <c r="GP57" s="303"/>
      <c r="GQ57" s="303"/>
    </row>
    <row r="58" spans="2:199" hidden="1" outlineLevel="1">
      <c r="B58" s="182" t="s">
        <v>400</v>
      </c>
      <c r="C58" s="207">
        <v>6</v>
      </c>
    </row>
    <row r="59" spans="2:199" hidden="1" outlineLevel="1">
      <c r="B59" s="182" t="s">
        <v>467</v>
      </c>
      <c r="C59" s="207" t="s">
        <v>314</v>
      </c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0"/>
      <c r="AO59" s="170"/>
      <c r="AP59" s="170"/>
      <c r="AQ59" s="170"/>
      <c r="AR59" s="170"/>
      <c r="AS59" s="170"/>
      <c r="AT59" s="170"/>
      <c r="AU59" s="170"/>
      <c r="AV59" s="170"/>
      <c r="AW59" s="170"/>
      <c r="AX59" s="170"/>
      <c r="AY59" s="170"/>
      <c r="AZ59" s="170"/>
      <c r="BA59" s="170"/>
      <c r="BB59" s="170"/>
      <c r="BC59" s="170"/>
      <c r="BD59" s="170"/>
      <c r="BE59" s="170"/>
      <c r="BF59" s="170"/>
      <c r="BG59" s="170"/>
      <c r="BH59" s="170"/>
      <c r="BI59" s="170"/>
      <c r="BJ59" s="170"/>
      <c r="BK59" s="170"/>
      <c r="BL59" s="170"/>
      <c r="BM59" s="170"/>
      <c r="BN59" s="170"/>
      <c r="BO59" s="170"/>
      <c r="BP59" s="170"/>
      <c r="BQ59" s="170"/>
      <c r="BR59" s="170"/>
      <c r="BS59" s="170"/>
      <c r="BT59" s="170"/>
      <c r="BU59" s="170"/>
      <c r="BV59" s="170"/>
      <c r="BW59" s="170"/>
      <c r="BX59" s="170"/>
      <c r="BY59" s="170"/>
      <c r="BZ59" s="170"/>
      <c r="CA59" s="170"/>
      <c r="CB59" s="170"/>
      <c r="CC59" s="170"/>
      <c r="CD59" s="170"/>
      <c r="CE59" s="170"/>
      <c r="CF59" s="170"/>
      <c r="CG59" s="170"/>
      <c r="CH59" s="170"/>
      <c r="CI59" s="170"/>
      <c r="CJ59" s="170"/>
      <c r="CK59" s="170"/>
      <c r="CL59" s="170"/>
      <c r="CM59" s="170"/>
      <c r="CN59" s="170"/>
      <c r="CO59" s="170"/>
      <c r="CP59" s="170"/>
      <c r="CQ59" s="170"/>
      <c r="CR59" s="170"/>
      <c r="CS59" s="170"/>
      <c r="CT59" s="170"/>
      <c r="CU59" s="170"/>
      <c r="CV59" s="170"/>
      <c r="CW59" s="170"/>
      <c r="CX59" s="170"/>
      <c r="CY59" s="170"/>
      <c r="CZ59" s="170"/>
      <c r="DA59" s="170"/>
      <c r="DB59" s="170"/>
      <c r="DC59" s="170"/>
      <c r="DD59" s="170"/>
      <c r="DE59" s="170"/>
      <c r="DF59" s="170"/>
      <c r="DG59" s="170"/>
      <c r="DH59" s="170"/>
      <c r="DI59" s="170"/>
      <c r="DJ59" s="170"/>
      <c r="DK59" s="170"/>
      <c r="DL59" s="170"/>
      <c r="DM59" s="170"/>
      <c r="DN59" s="170"/>
      <c r="DO59" s="170"/>
      <c r="DP59" s="170"/>
      <c r="DQ59" s="170"/>
      <c r="DR59" s="170"/>
      <c r="DS59" s="170"/>
      <c r="DT59" s="170"/>
      <c r="DU59" s="170"/>
      <c r="DV59" s="170"/>
      <c r="DW59" s="170"/>
      <c r="DX59" s="170"/>
      <c r="DY59" s="170"/>
      <c r="DZ59" s="170"/>
      <c r="EA59" s="170"/>
      <c r="EB59" s="170"/>
      <c r="EC59" s="170"/>
      <c r="ED59" s="170"/>
      <c r="EE59" s="170"/>
      <c r="EF59" s="170"/>
      <c r="EG59" s="170"/>
      <c r="EH59" s="170"/>
      <c r="EI59" s="170"/>
      <c r="EJ59" s="170"/>
      <c r="EK59" s="170"/>
      <c r="EL59" s="170"/>
      <c r="EM59" s="170"/>
      <c r="EN59" s="170"/>
      <c r="EO59" s="170"/>
      <c r="EP59" s="170"/>
      <c r="EQ59" s="170"/>
      <c r="ER59" s="170"/>
      <c r="ES59" s="170"/>
      <c r="ET59" s="170"/>
      <c r="EU59" s="170"/>
      <c r="EV59" s="170"/>
      <c r="EW59" s="170"/>
      <c r="EX59" s="170"/>
      <c r="EY59" s="170"/>
      <c r="EZ59" s="170"/>
      <c r="FA59" s="170"/>
      <c r="FB59" s="170"/>
      <c r="FC59" s="170"/>
      <c r="FD59" s="170"/>
      <c r="FE59" s="170"/>
      <c r="FF59" s="170"/>
      <c r="FG59" s="170"/>
      <c r="FH59" s="170"/>
      <c r="FI59" s="170"/>
      <c r="FJ59" s="170"/>
      <c r="FK59" s="170"/>
      <c r="FL59" s="170"/>
      <c r="FM59" s="170"/>
      <c r="FN59" s="170"/>
      <c r="FO59" s="170"/>
      <c r="FP59" s="170"/>
      <c r="FQ59" s="170"/>
      <c r="FR59" s="170"/>
      <c r="FS59" s="170"/>
      <c r="FT59" s="170"/>
      <c r="FU59" s="170"/>
      <c r="FV59" s="170"/>
      <c r="FW59" s="170"/>
      <c r="FX59" s="170"/>
      <c r="FY59" s="170"/>
      <c r="FZ59" s="170"/>
      <c r="GA59" s="170"/>
      <c r="GB59" s="170"/>
      <c r="GC59" s="170"/>
      <c r="GD59" s="170"/>
      <c r="GE59" s="170"/>
      <c r="GF59" s="170"/>
      <c r="GG59" s="170"/>
      <c r="GH59" s="170"/>
      <c r="GI59" s="170"/>
      <c r="GJ59" s="170"/>
      <c r="GK59" s="170"/>
      <c r="GL59" s="170"/>
      <c r="GM59" s="170"/>
      <c r="GN59" s="170"/>
      <c r="GO59" s="170"/>
      <c r="GP59" s="170"/>
      <c r="GQ59" s="170"/>
    </row>
    <row r="60" spans="2:199" hidden="1" outlineLevel="1">
      <c r="B60" s="182" t="s">
        <v>403</v>
      </c>
      <c r="C60" s="152">
        <v>1.6500000000000001E-2</v>
      </c>
      <c r="D60" s="170"/>
      <c r="E60" s="170">
        <f>HLOOKUP(E53,Macroeconomics!$B$5:$GB$36,Macroeconomics!$A$31,0)+$C60</f>
        <v>7.6499999999999999E-2</v>
      </c>
      <c r="F60" s="170">
        <f>(1+VLOOKUP(EOMONTH(F52,0),Macroeconomics!$B$67:$R$380,Macroeconomics!$C$66,0))*(1+$C60)^(1/12)-1</f>
        <v>7.5524504533852621E-3</v>
      </c>
      <c r="G60" s="170">
        <f>(1+VLOOKUP(EOMONTH(G52,0),Macroeconomics!$B$67:$R$380,Macroeconomics!$C$66,0))*(1+$C60)^(1/12)-1</f>
        <v>9.023722969556669E-3</v>
      </c>
      <c r="H60" s="170">
        <f>(1+VLOOKUP(EOMONTH(H52,0),Macroeconomics!$B$67:$R$380,Macroeconomics!$C$66,0))*(1+$C60)^(1/12)-1</f>
        <v>9.3931185712550214E-3</v>
      </c>
      <c r="I60" s="170">
        <f>(1+VLOOKUP(EOMONTH(I52,0),Macroeconomics!$B$67:$R$380,Macroeconomics!$C$66,0))*(1+$C60)^(1/12)-1</f>
        <v>9.3931185712550214E-3</v>
      </c>
      <c r="J60" s="170">
        <f>(1+VLOOKUP(EOMONTH(J52,0),Macroeconomics!$B$67:$R$380,Macroeconomics!$C$66,0))*(1+$C60)^(1/12)-1</f>
        <v>9.0970476308465109E-3</v>
      </c>
      <c r="K60" s="170">
        <f>(1+VLOOKUP(EOMONTH(K52,0),Macroeconomics!$B$67:$R$380,Macroeconomics!$C$66,0))*(1+$C60)^(1/12)-1</f>
        <v>9.0970476308465109E-3</v>
      </c>
      <c r="L60" s="170">
        <f>(1+VLOOKUP(EOMONTH(L52,0),Macroeconomics!$B$67:$R$380,Macroeconomics!$C$66,0))*(1+$C60)^(1/12)-1</f>
        <v>8.9128385311036951E-3</v>
      </c>
      <c r="M60" s="170">
        <f>(1+VLOOKUP(EOMONTH(M52,0),Macroeconomics!$B$67:$R$380,Macroeconomics!$C$66,0))*(1+$C60)^(1/12)-1</f>
        <v>8.9051551178258581E-3</v>
      </c>
      <c r="N60" s="170">
        <f>(1+VLOOKUP(EOMONTH(N52,0),Macroeconomics!$B$67:$R$380,Macroeconomics!$C$66,0))*(1+$C60)^(1/12)-1</f>
        <v>8.9051551178258581E-3</v>
      </c>
      <c r="O60" s="170">
        <f>(1+VLOOKUP(EOMONTH(O52,0),Macroeconomics!$B$67:$R$380,Macroeconomics!$C$66,0))*(1+$C60)^(1/12)-1</f>
        <v>8.9051551178258581E-3</v>
      </c>
      <c r="P60" s="170">
        <f>(1+VLOOKUP(EOMONTH(P52,0),Macroeconomics!$B$67:$R$380,Macroeconomics!$C$66,0))*(1+$C60)^(1/12)-1</f>
        <v>8.7205598278001784E-3</v>
      </c>
      <c r="Q60" s="170">
        <f>(1+VLOOKUP(EOMONTH(Q52,0),Macroeconomics!$B$67:$R$380,Macroeconomics!$C$66,0))*(1+$C60)^(1/12)-1</f>
        <v>8.7205598278001784E-3</v>
      </c>
      <c r="R60" s="170">
        <f>(1+VLOOKUP(EOMONTH(R52,0),Macroeconomics!$B$67:$R$380,Macroeconomics!$C$66,0))*(1+$C60)^(1/12)-1</f>
        <v>8.7205598278001784E-3</v>
      </c>
      <c r="S60" s="170">
        <f>(1+VLOOKUP(EOMONTH(S52,0),Macroeconomics!$B$67:$R$380,Macroeconomics!$C$66,0))*(1+$C60)^(1/12)-1</f>
        <v>8.7205598278001784E-3</v>
      </c>
      <c r="T60" s="170">
        <f>(1+VLOOKUP(EOMONTH(T52,0),Macroeconomics!$B$67:$R$380,Macroeconomics!$C$66,0))*(1+$C60)^(1/12)-1</f>
        <v>8.7205598278001784E-3</v>
      </c>
      <c r="U60" s="170">
        <f>(1+VLOOKUP(EOMONTH(U52,0),Macroeconomics!$B$67:$R$380,Macroeconomics!$C$66,0))*(1+$C60)^(1/12)-1</f>
        <v>8.527877110915405E-3</v>
      </c>
      <c r="V60" s="170">
        <f>(1+VLOOKUP(EOMONTH(V52,0),Macroeconomics!$B$67:$R$380,Macroeconomics!$C$66,0))*(1+$C60)^(1/12)-1</f>
        <v>8.527877110915405E-3</v>
      </c>
      <c r="W60" s="170">
        <f>(1+VLOOKUP(EOMONTH(W52,0),Macroeconomics!$B$67:$R$380,Macroeconomics!$C$66,0))*(1+$C60)^(1/12)-1</f>
        <v>8.527877110915405E-3</v>
      </c>
      <c r="X60" s="170">
        <f>(1+VLOOKUP(EOMONTH(X52,0),Macroeconomics!$B$67:$R$380,Macroeconomics!$C$66,0))*(1+$C60)^(1/12)-1</f>
        <v>8.527877110915405E-3</v>
      </c>
      <c r="Y60" s="170">
        <f>(1+VLOOKUP(EOMONTH(Y52,0),Macroeconomics!$B$67:$R$380,Macroeconomics!$C$66,0))*(1+$C60)^(1/12)-1</f>
        <v>8.527877110915405E-3</v>
      </c>
      <c r="Z60" s="170">
        <f>(1+VLOOKUP(EOMONTH(Z52,0),Macroeconomics!$B$67:$R$380,Macroeconomics!$C$66,0))*(1+$C60)^(1/12)-1</f>
        <v>8.527877110915405E-3</v>
      </c>
      <c r="AA60" s="170"/>
      <c r="AB60" s="170"/>
      <c r="AC60" s="170"/>
      <c r="AD60" s="170"/>
      <c r="AE60" s="170"/>
      <c r="AF60" s="170"/>
      <c r="AG60" s="170"/>
      <c r="AH60" s="170"/>
      <c r="AI60" s="170"/>
      <c r="AJ60" s="170"/>
      <c r="AK60" s="170"/>
      <c r="AL60" s="170"/>
      <c r="AM60" s="170"/>
      <c r="AN60" s="170"/>
      <c r="AO60" s="170"/>
      <c r="AP60" s="170"/>
      <c r="AQ60" s="170"/>
      <c r="AR60" s="170"/>
      <c r="AS60" s="170"/>
      <c r="AT60" s="170"/>
      <c r="AU60" s="170"/>
      <c r="AV60" s="170"/>
      <c r="AW60" s="170"/>
      <c r="AX60" s="170"/>
      <c r="AY60" s="170"/>
      <c r="AZ60" s="170"/>
      <c r="BA60" s="170"/>
      <c r="BB60" s="170"/>
      <c r="BC60" s="170"/>
      <c r="BD60" s="170"/>
      <c r="BE60" s="170"/>
      <c r="BF60" s="170"/>
      <c r="BG60" s="170"/>
      <c r="BH60" s="170"/>
      <c r="BI60" s="170"/>
      <c r="BJ60" s="170"/>
      <c r="BK60" s="170"/>
      <c r="BL60" s="170"/>
      <c r="BM60" s="170"/>
      <c r="BN60" s="170"/>
      <c r="BO60" s="170"/>
      <c r="BP60" s="170"/>
      <c r="BQ60" s="170"/>
      <c r="BR60" s="170"/>
      <c r="BS60" s="170"/>
      <c r="BT60" s="170"/>
      <c r="BU60" s="170"/>
      <c r="BV60" s="170"/>
      <c r="BW60" s="170"/>
      <c r="BX60" s="170"/>
      <c r="BY60" s="170"/>
      <c r="BZ60" s="170"/>
      <c r="CA60" s="170"/>
      <c r="CB60" s="170"/>
      <c r="CC60" s="170"/>
      <c r="CD60" s="170"/>
      <c r="CE60" s="170"/>
      <c r="CF60" s="170"/>
      <c r="CG60" s="170"/>
      <c r="CH60" s="170"/>
      <c r="CI60" s="170"/>
      <c r="CJ60" s="170"/>
      <c r="CK60" s="170"/>
      <c r="CL60" s="170"/>
      <c r="CM60" s="170"/>
      <c r="CN60" s="170"/>
      <c r="CO60" s="170"/>
      <c r="CP60" s="170"/>
      <c r="CQ60" s="170"/>
      <c r="CR60" s="170"/>
      <c r="CS60" s="170"/>
      <c r="CT60" s="170"/>
      <c r="CU60" s="170"/>
      <c r="CV60" s="170"/>
      <c r="CW60" s="170"/>
      <c r="CX60" s="170"/>
      <c r="CY60" s="170"/>
      <c r="CZ60" s="170"/>
      <c r="DA60" s="170"/>
      <c r="DB60" s="170"/>
      <c r="DC60" s="170"/>
      <c r="DD60" s="170"/>
      <c r="DE60" s="170"/>
      <c r="DF60" s="170"/>
      <c r="DG60" s="170"/>
      <c r="DH60" s="170"/>
      <c r="DI60" s="170"/>
      <c r="DJ60" s="170"/>
      <c r="DK60" s="170"/>
      <c r="DL60" s="170"/>
      <c r="DM60" s="170"/>
      <c r="DN60" s="170"/>
      <c r="DO60" s="170"/>
      <c r="DP60" s="170"/>
      <c r="DQ60" s="170"/>
      <c r="DR60" s="170"/>
      <c r="DS60" s="170"/>
      <c r="DT60" s="170"/>
      <c r="DU60" s="170"/>
      <c r="DV60" s="170"/>
      <c r="DW60" s="170"/>
      <c r="DX60" s="170"/>
      <c r="DY60" s="170"/>
      <c r="DZ60" s="170"/>
      <c r="EA60" s="170"/>
      <c r="EB60" s="170"/>
      <c r="EC60" s="170"/>
      <c r="ED60" s="170"/>
      <c r="EE60" s="170"/>
      <c r="EF60" s="170"/>
      <c r="EG60" s="170"/>
      <c r="EH60" s="170"/>
      <c r="EI60" s="170"/>
      <c r="EJ60" s="170"/>
      <c r="EK60" s="170"/>
      <c r="EL60" s="170"/>
      <c r="EM60" s="170"/>
      <c r="EN60" s="170"/>
      <c r="EO60" s="170"/>
      <c r="EP60" s="170"/>
      <c r="EQ60" s="170"/>
      <c r="ER60" s="170"/>
      <c r="ES60" s="170"/>
      <c r="ET60" s="170"/>
      <c r="EU60" s="170"/>
      <c r="EV60" s="170"/>
      <c r="EW60" s="170"/>
      <c r="EX60" s="170"/>
      <c r="EY60" s="170"/>
      <c r="EZ60" s="170"/>
      <c r="FA60" s="170"/>
      <c r="FB60" s="170"/>
      <c r="FC60" s="170"/>
      <c r="FD60" s="170"/>
      <c r="FE60" s="170"/>
      <c r="FF60" s="170"/>
      <c r="FG60" s="170"/>
      <c r="FH60" s="170"/>
      <c r="FI60" s="170"/>
      <c r="FJ60" s="170"/>
      <c r="FK60" s="170"/>
      <c r="FL60" s="170"/>
      <c r="FM60" s="170"/>
      <c r="FN60" s="170"/>
      <c r="FO60" s="170"/>
      <c r="FP60" s="170"/>
      <c r="FQ60" s="170"/>
      <c r="FR60" s="170"/>
      <c r="FS60" s="170"/>
      <c r="FT60" s="170"/>
      <c r="FU60" s="170"/>
      <c r="FV60" s="170"/>
      <c r="FW60" s="170"/>
      <c r="FX60" s="170"/>
      <c r="FY60" s="170"/>
      <c r="FZ60" s="170"/>
      <c r="GA60" s="170"/>
      <c r="GB60" s="170"/>
      <c r="GC60" s="170"/>
      <c r="GD60" s="170"/>
      <c r="GE60" s="170"/>
      <c r="GF60" s="170"/>
      <c r="GG60" s="170"/>
      <c r="GH60" s="170"/>
      <c r="GI60" s="170"/>
      <c r="GJ60" s="170"/>
      <c r="GK60" s="170"/>
      <c r="GL60" s="170"/>
      <c r="GM60" s="170"/>
      <c r="GN60" s="170"/>
      <c r="GO60" s="170"/>
      <c r="GP60" s="170"/>
      <c r="GQ60" s="170"/>
    </row>
    <row r="61" spans="2:199" hidden="1" outlineLevel="1">
      <c r="B61" s="161" t="s">
        <v>413</v>
      </c>
      <c r="C61" s="163">
        <v>6</v>
      </c>
    </row>
    <row r="62" spans="2:199" hidden="1" outlineLevel="1">
      <c r="B62" s="182" t="s">
        <v>409</v>
      </c>
      <c r="C62" s="131">
        <v>1</v>
      </c>
      <c r="D62" s="182" t="s">
        <v>404</v>
      </c>
      <c r="E62" s="160">
        <f>IF(OR(E52&lt;=$C54,E52&gt;$C55),0,IF(AND(E52&lt;=$C56,$C62=1,MOD(MONTH(E52)-MONTH($C54),$C61)=0),1,IF(AND(MOD(MONTH(E52)-MONTH($C54),$C61)=0,E52&gt;=$C56),1,0)))</f>
        <v>0</v>
      </c>
      <c r="F62" s="160">
        <f t="shared" ref="F62:J62" si="83">IF(OR(F52&lt;=$C54,F52&gt;$C55),0,IF(AND(F52&lt;=$C56,$C62=1,MOD(MONTH(F52)-MONTH($C54),$C61)=0),1,IF(AND(MOD(MONTH(F52)-MONTH($C54),$C61)=0,F52&gt;=$C56),1,0)))</f>
        <v>1</v>
      </c>
      <c r="G62" s="160">
        <f t="shared" si="83"/>
        <v>1</v>
      </c>
      <c r="H62" s="160">
        <f t="shared" si="83"/>
        <v>1</v>
      </c>
      <c r="I62" s="160">
        <f t="shared" si="83"/>
        <v>1</v>
      </c>
      <c r="J62" s="160">
        <f t="shared" si="83"/>
        <v>1</v>
      </c>
      <c r="K62" s="160">
        <f t="shared" ref="K62" si="84">IF(OR(K52&lt;=$C54,K52&gt;$C55),0,IF(AND(K52&lt;=$C56,$C62=1,MOD(MONTH(K52)-MONTH($C54),$C61)=0),1,IF(AND(MOD(MONTH(K52)-MONTH($C54),$C61)=0,K52&gt;=$C56),1,0)))</f>
        <v>1</v>
      </c>
      <c r="L62" s="160">
        <f t="shared" ref="L62" si="85">IF(OR(L52&lt;=$C54,L52&gt;$C55),0,IF(AND(L52&lt;=$C56,$C62=1,MOD(MONTH(L52)-MONTH($C54),$C61)=0),1,IF(AND(MOD(MONTH(L52)-MONTH($C54),$C61)=0,L52&gt;=$C56),1,0)))</f>
        <v>1</v>
      </c>
      <c r="M62" s="160">
        <f t="shared" ref="M62" si="86">IF(OR(M52&lt;=$C54,M52&gt;$C55),0,IF(AND(M52&lt;=$C56,$C62=1,MOD(MONTH(M52)-MONTH($C54),$C61)=0),1,IF(AND(MOD(MONTH(M52)-MONTH($C54),$C61)=0,M52&gt;=$C56),1,0)))</f>
        <v>1</v>
      </c>
      <c r="N62" s="160">
        <f t="shared" ref="N62:O62" si="87">IF(OR(N52&lt;=$C54,N52&gt;$C55),0,IF(AND(N52&lt;=$C56,$C62=1,MOD(MONTH(N52)-MONTH($C54),$C61)=0),1,IF(AND(MOD(MONTH(N52)-MONTH($C54),$C61)=0,N52&gt;=$C56),1,0)))</f>
        <v>1</v>
      </c>
      <c r="O62" s="160">
        <f t="shared" si="87"/>
        <v>1</v>
      </c>
      <c r="P62" s="160">
        <f t="shared" ref="P62" si="88">IF(OR(P52&lt;=$C54,P52&gt;$C55),0,IF(AND(P52&lt;=$C56,$C62=1,MOD(MONTH(P52)-MONTH($C54),$C61)=0),1,IF(AND(MOD(MONTH(P52)-MONTH($C54),$C61)=0,P52&gt;=$C56),1,0)))</f>
        <v>1</v>
      </c>
      <c r="Q62" s="160">
        <f t="shared" ref="Q62" si="89">IF(OR(Q52&lt;=$C54,Q52&gt;$C55),0,IF(AND(Q52&lt;=$C56,$C62=1,MOD(MONTH(Q52)-MONTH($C54),$C61)=0),1,IF(AND(MOD(MONTH(Q52)-MONTH($C54),$C61)=0,Q52&gt;=$C56),1,0)))</f>
        <v>1</v>
      </c>
      <c r="R62" s="160">
        <f t="shared" ref="R62" si="90">IF(OR(R52&lt;=$C54,R52&gt;$C55),0,IF(AND(R52&lt;=$C56,$C62=1,MOD(MONTH(R52)-MONTH($C54),$C61)=0),1,IF(AND(MOD(MONTH(R52)-MONTH($C54),$C61)=0,R52&gt;=$C56),1,0)))</f>
        <v>1</v>
      </c>
      <c r="S62" s="160">
        <f t="shared" ref="S62:T62" si="91">IF(OR(S52&lt;=$C54,S52&gt;$C55),0,IF(AND(S52&lt;=$C56,$C62=1,MOD(MONTH(S52)-MONTH($C54),$C61)=0),1,IF(AND(MOD(MONTH(S52)-MONTH($C54),$C61)=0,S52&gt;=$C56),1,0)))</f>
        <v>1</v>
      </c>
      <c r="T62" s="160">
        <f t="shared" si="91"/>
        <v>1</v>
      </c>
      <c r="U62" s="160">
        <f t="shared" ref="U62" si="92">IF(OR(U52&lt;=$C54,U52&gt;$C55),0,IF(AND(U52&lt;=$C56,$C62=1,MOD(MONTH(U52)-MONTH($C54),$C61)=0),1,IF(AND(MOD(MONTH(U52)-MONTH($C54),$C61)=0,U52&gt;=$C56),1,0)))</f>
        <v>1</v>
      </c>
      <c r="V62" s="160">
        <f t="shared" ref="V62" si="93">IF(OR(V52&lt;=$C54,V52&gt;$C55),0,IF(AND(V52&lt;=$C56,$C62=1,MOD(MONTH(V52)-MONTH($C54),$C61)=0),1,IF(AND(MOD(MONTH(V52)-MONTH($C54),$C61)=0,V52&gt;=$C56),1,0)))</f>
        <v>1</v>
      </c>
      <c r="W62" s="160">
        <f t="shared" ref="W62" si="94">IF(OR(W52&lt;=$C54,W52&gt;$C55),0,IF(AND(W52&lt;=$C56,$C62=1,MOD(MONTH(W52)-MONTH($C54),$C61)=0),1,IF(AND(MOD(MONTH(W52)-MONTH($C54),$C61)=0,W52&gt;=$C56),1,0)))</f>
        <v>1</v>
      </c>
      <c r="X62" s="160">
        <f t="shared" ref="X62:Y62" si="95">IF(OR(X52&lt;=$C54,X52&gt;$C55),0,IF(AND(X52&lt;=$C56,$C62=1,MOD(MONTH(X52)-MONTH($C54),$C61)=0),1,IF(AND(MOD(MONTH(X52)-MONTH($C54),$C61)=0,X52&gt;=$C56),1,0)))</f>
        <v>1</v>
      </c>
      <c r="Y62" s="160">
        <f t="shared" si="95"/>
        <v>1</v>
      </c>
      <c r="Z62" s="160">
        <f t="shared" ref="Z62" si="96">IF(OR(Z52&lt;=$C54,Z52&gt;$C55),0,IF(AND(Z52&lt;=$C56,$C62=1,MOD(MONTH(Z52)-MONTH($C54),$C61)=0),1,IF(AND(MOD(MONTH(Z52)-MONTH($C54),$C61)=0,Z52&gt;=$C56),1,0)))</f>
        <v>0</v>
      </c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60"/>
      <c r="AZ62" s="160"/>
      <c r="BA62" s="160"/>
      <c r="BB62" s="160"/>
      <c r="BC62" s="160"/>
      <c r="BD62" s="160"/>
      <c r="BE62" s="160"/>
      <c r="BF62" s="160"/>
      <c r="BG62" s="160"/>
      <c r="BH62" s="160"/>
      <c r="BI62" s="160"/>
      <c r="BJ62" s="160"/>
      <c r="BK62" s="160"/>
      <c r="BL62" s="160"/>
      <c r="BM62" s="160"/>
      <c r="BN62" s="160"/>
      <c r="BO62" s="160"/>
      <c r="BP62" s="160"/>
      <c r="BQ62" s="160"/>
      <c r="BR62" s="160"/>
      <c r="BS62" s="160"/>
      <c r="BT62" s="160"/>
      <c r="BU62" s="160"/>
      <c r="BV62" s="160"/>
      <c r="BW62" s="160"/>
      <c r="BX62" s="160"/>
      <c r="BY62" s="160"/>
      <c r="BZ62" s="160"/>
      <c r="CA62" s="160"/>
      <c r="CB62" s="160"/>
      <c r="CC62" s="160"/>
      <c r="CD62" s="160"/>
      <c r="CE62" s="160"/>
      <c r="CF62" s="160"/>
      <c r="CG62" s="160"/>
      <c r="CH62" s="160"/>
      <c r="CI62" s="160"/>
      <c r="CJ62" s="160"/>
      <c r="CK62" s="160"/>
      <c r="CL62" s="160"/>
      <c r="CM62" s="160"/>
      <c r="CN62" s="160"/>
      <c r="CO62" s="160"/>
      <c r="CP62" s="160"/>
      <c r="CQ62" s="160"/>
      <c r="CR62" s="160"/>
      <c r="CS62" s="160"/>
      <c r="CT62" s="160"/>
      <c r="CU62" s="160"/>
      <c r="CV62" s="160"/>
      <c r="CW62" s="160"/>
      <c r="CX62" s="160"/>
      <c r="CY62" s="160"/>
      <c r="CZ62" s="160"/>
      <c r="DA62" s="160"/>
      <c r="DB62" s="160"/>
      <c r="DC62" s="160"/>
      <c r="DD62" s="160"/>
      <c r="DE62" s="160"/>
      <c r="DF62" s="160"/>
      <c r="DG62" s="160"/>
      <c r="DH62" s="160"/>
      <c r="DI62" s="160"/>
      <c r="DJ62" s="160"/>
      <c r="DK62" s="160"/>
      <c r="DL62" s="160"/>
      <c r="DM62" s="160"/>
      <c r="DN62" s="160"/>
      <c r="DO62" s="160"/>
      <c r="DP62" s="160"/>
      <c r="DQ62" s="160"/>
      <c r="DR62" s="160"/>
      <c r="DS62" s="160"/>
      <c r="DT62" s="160"/>
      <c r="DU62" s="160"/>
      <c r="DV62" s="160"/>
      <c r="DW62" s="160"/>
      <c r="DX62" s="160"/>
      <c r="DY62" s="160"/>
      <c r="DZ62" s="160"/>
      <c r="EA62" s="160"/>
      <c r="EB62" s="160"/>
      <c r="EC62" s="160"/>
      <c r="ED62" s="160"/>
      <c r="EE62" s="160"/>
      <c r="EF62" s="160"/>
      <c r="EG62" s="160"/>
      <c r="EH62" s="160"/>
      <c r="EI62" s="160"/>
      <c r="EJ62" s="160"/>
      <c r="EK62" s="160"/>
      <c r="EL62" s="160"/>
      <c r="EM62" s="160"/>
      <c r="EN62" s="160"/>
      <c r="EO62" s="160"/>
      <c r="EP62" s="160"/>
      <c r="EQ62" s="160"/>
      <c r="ER62" s="160"/>
      <c r="ES62" s="160"/>
      <c r="ET62" s="160"/>
      <c r="EU62" s="160"/>
      <c r="EV62" s="160"/>
      <c r="EW62" s="160"/>
      <c r="EX62" s="160"/>
      <c r="EY62" s="160"/>
      <c r="EZ62" s="160"/>
      <c r="FA62" s="160"/>
      <c r="FB62" s="160"/>
      <c r="FC62" s="160"/>
      <c r="FD62" s="160"/>
      <c r="FE62" s="160"/>
      <c r="FF62" s="160"/>
      <c r="FG62" s="160"/>
      <c r="FH62" s="160"/>
      <c r="FI62" s="160"/>
      <c r="FJ62" s="160"/>
      <c r="FK62" s="160"/>
      <c r="FL62" s="160"/>
      <c r="FM62" s="160"/>
      <c r="FN62" s="160"/>
      <c r="FO62" s="160"/>
      <c r="FP62" s="160"/>
      <c r="FQ62" s="160"/>
      <c r="FR62" s="160"/>
      <c r="FS62" s="160"/>
      <c r="FT62" s="160"/>
      <c r="FU62" s="160"/>
      <c r="FV62" s="160"/>
      <c r="FW62" s="160"/>
      <c r="FX62" s="160"/>
      <c r="FY62" s="160"/>
      <c r="FZ62" s="160"/>
      <c r="GA62" s="160"/>
      <c r="GB62" s="160"/>
      <c r="GC62" s="160"/>
      <c r="GD62" s="160"/>
      <c r="GE62" s="160"/>
      <c r="GF62" s="160"/>
      <c r="GG62" s="160"/>
      <c r="GH62" s="160"/>
      <c r="GI62" s="160"/>
      <c r="GJ62" s="160"/>
      <c r="GK62" s="160"/>
      <c r="GL62" s="160"/>
      <c r="GM62" s="160"/>
      <c r="GN62" s="160"/>
      <c r="GO62" s="160"/>
      <c r="GP62" s="160"/>
      <c r="GQ62" s="160"/>
    </row>
    <row r="63" spans="2:199" hidden="1" outlineLevel="1">
      <c r="B63" s="182" t="s">
        <v>412</v>
      </c>
      <c r="C63" s="131">
        <v>0</v>
      </c>
      <c r="D63" s="182" t="s">
        <v>405</v>
      </c>
      <c r="E63" s="160">
        <f>IF(E57&lt;&gt;"",1,0)</f>
        <v>0</v>
      </c>
      <c r="F63" s="160">
        <f t="shared" ref="F63:K63" si="97">IF(F57&lt;&gt;"",1,0)</f>
        <v>0</v>
      </c>
      <c r="G63" s="160">
        <f t="shared" si="97"/>
        <v>0</v>
      </c>
      <c r="H63" s="160">
        <f t="shared" si="97"/>
        <v>1</v>
      </c>
      <c r="I63" s="160">
        <f t="shared" si="97"/>
        <v>1</v>
      </c>
      <c r="J63" s="160">
        <f t="shared" si="97"/>
        <v>1</v>
      </c>
      <c r="K63" s="160">
        <f t="shared" si="97"/>
        <v>1</v>
      </c>
      <c r="L63" s="160">
        <f t="shared" ref="L63:Z63" si="98">IF(L57&lt;&gt;"",1,0)</f>
        <v>1</v>
      </c>
      <c r="M63" s="160">
        <f t="shared" si="98"/>
        <v>1</v>
      </c>
      <c r="N63" s="160">
        <f t="shared" si="98"/>
        <v>1</v>
      </c>
      <c r="O63" s="160">
        <f t="shared" si="98"/>
        <v>1</v>
      </c>
      <c r="P63" s="160">
        <f t="shared" si="98"/>
        <v>1</v>
      </c>
      <c r="Q63" s="160">
        <f t="shared" si="98"/>
        <v>1</v>
      </c>
      <c r="R63" s="160">
        <f t="shared" si="98"/>
        <v>1</v>
      </c>
      <c r="S63" s="160">
        <f t="shared" si="98"/>
        <v>1</v>
      </c>
      <c r="T63" s="160">
        <f t="shared" si="98"/>
        <v>1</v>
      </c>
      <c r="U63" s="160">
        <f t="shared" si="98"/>
        <v>1</v>
      </c>
      <c r="V63" s="160">
        <f t="shared" si="98"/>
        <v>1</v>
      </c>
      <c r="W63" s="160">
        <f t="shared" si="98"/>
        <v>1</v>
      </c>
      <c r="X63" s="160">
        <f t="shared" si="98"/>
        <v>1</v>
      </c>
      <c r="Y63" s="160">
        <f t="shared" si="98"/>
        <v>1</v>
      </c>
      <c r="Z63" s="160">
        <f t="shared" si="98"/>
        <v>0</v>
      </c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160"/>
      <c r="AO63" s="160"/>
      <c r="AP63" s="160"/>
      <c r="AQ63" s="160"/>
      <c r="AR63" s="160"/>
      <c r="AS63" s="160"/>
      <c r="AT63" s="160"/>
      <c r="AU63" s="160"/>
      <c r="AV63" s="160"/>
      <c r="AW63" s="160"/>
      <c r="AX63" s="160"/>
      <c r="AY63" s="160"/>
      <c r="AZ63" s="160"/>
      <c r="BA63" s="160"/>
      <c r="BB63" s="160"/>
      <c r="BC63" s="160"/>
      <c r="BD63" s="160"/>
      <c r="BE63" s="160"/>
      <c r="BF63" s="160"/>
      <c r="BG63" s="160"/>
      <c r="BH63" s="160"/>
      <c r="BI63" s="160"/>
      <c r="BJ63" s="160"/>
      <c r="BK63" s="160"/>
      <c r="BL63" s="160"/>
      <c r="BM63" s="160"/>
      <c r="BN63" s="160"/>
      <c r="BO63" s="160"/>
      <c r="BP63" s="160"/>
      <c r="BQ63" s="160"/>
      <c r="BR63" s="160"/>
      <c r="BS63" s="160"/>
      <c r="BT63" s="160"/>
      <c r="BU63" s="160"/>
      <c r="BV63" s="160"/>
      <c r="BW63" s="160"/>
      <c r="BX63" s="160"/>
      <c r="BY63" s="160"/>
      <c r="BZ63" s="160"/>
      <c r="CA63" s="160"/>
      <c r="CB63" s="160"/>
      <c r="CC63" s="160"/>
      <c r="CD63" s="160"/>
      <c r="CE63" s="160"/>
      <c r="CF63" s="160"/>
      <c r="CG63" s="160"/>
      <c r="CH63" s="160"/>
      <c r="CI63" s="160"/>
      <c r="CJ63" s="160"/>
      <c r="CK63" s="160"/>
      <c r="CL63" s="160"/>
      <c r="CM63" s="160"/>
      <c r="CN63" s="160"/>
      <c r="CO63" s="160"/>
      <c r="CP63" s="160"/>
      <c r="CQ63" s="160"/>
      <c r="CR63" s="160"/>
      <c r="CS63" s="160"/>
      <c r="CT63" s="160"/>
      <c r="CU63" s="160"/>
      <c r="CV63" s="160"/>
      <c r="CW63" s="160"/>
      <c r="CX63" s="160"/>
      <c r="CY63" s="160"/>
      <c r="CZ63" s="160"/>
      <c r="DA63" s="160"/>
      <c r="DB63" s="160"/>
      <c r="DC63" s="160"/>
      <c r="DD63" s="160"/>
      <c r="DE63" s="160"/>
      <c r="DF63" s="160"/>
      <c r="DG63" s="160"/>
      <c r="DH63" s="160"/>
      <c r="DI63" s="160"/>
      <c r="DJ63" s="160"/>
      <c r="DK63" s="160"/>
      <c r="DL63" s="160"/>
      <c r="DM63" s="160"/>
      <c r="DN63" s="160"/>
      <c r="DO63" s="160"/>
      <c r="DP63" s="160"/>
      <c r="DQ63" s="160"/>
      <c r="DR63" s="160"/>
      <c r="DS63" s="160"/>
      <c r="DT63" s="160"/>
      <c r="DU63" s="160"/>
      <c r="DV63" s="160"/>
      <c r="DW63" s="160"/>
      <c r="DX63" s="160"/>
      <c r="DY63" s="160"/>
      <c r="DZ63" s="160"/>
      <c r="EA63" s="160"/>
      <c r="EB63" s="160"/>
      <c r="EC63" s="160"/>
      <c r="ED63" s="160"/>
      <c r="EE63" s="160"/>
      <c r="EF63" s="160"/>
      <c r="EG63" s="160"/>
      <c r="EH63" s="160"/>
      <c r="EI63" s="160"/>
      <c r="EJ63" s="160"/>
      <c r="EK63" s="160"/>
      <c r="EL63" s="160"/>
      <c r="EM63" s="160"/>
      <c r="EN63" s="160"/>
      <c r="EO63" s="160"/>
      <c r="EP63" s="160"/>
      <c r="EQ63" s="160"/>
      <c r="ER63" s="160"/>
      <c r="ES63" s="160"/>
      <c r="ET63" s="160"/>
      <c r="EU63" s="160"/>
      <c r="EV63" s="160"/>
      <c r="EW63" s="160"/>
      <c r="EX63" s="160"/>
      <c r="EY63" s="160"/>
      <c r="EZ63" s="160"/>
      <c r="FA63" s="160"/>
      <c r="FB63" s="160"/>
      <c r="FC63" s="160"/>
      <c r="FD63" s="160"/>
      <c r="FE63" s="160"/>
      <c r="FF63" s="160"/>
      <c r="FG63" s="160"/>
      <c r="FH63" s="160"/>
      <c r="FI63" s="160"/>
      <c r="FJ63" s="160"/>
      <c r="FK63" s="160"/>
      <c r="FL63" s="160"/>
      <c r="FM63" s="160"/>
      <c r="FN63" s="160"/>
      <c r="FO63" s="160"/>
      <c r="FP63" s="160"/>
      <c r="FQ63" s="160"/>
      <c r="FR63" s="160"/>
      <c r="FS63" s="160"/>
      <c r="FT63" s="160"/>
      <c r="FU63" s="160"/>
      <c r="FV63" s="160"/>
      <c r="FW63" s="160"/>
      <c r="FX63" s="160"/>
      <c r="FY63" s="160"/>
      <c r="FZ63" s="160"/>
      <c r="GA63" s="160"/>
      <c r="GB63" s="160"/>
      <c r="GC63" s="160"/>
      <c r="GD63" s="160"/>
      <c r="GE63" s="160"/>
      <c r="GF63" s="160"/>
      <c r="GG63" s="160"/>
      <c r="GH63" s="160"/>
      <c r="GI63" s="160"/>
      <c r="GJ63" s="160"/>
      <c r="GK63" s="160"/>
      <c r="GL63" s="160"/>
      <c r="GM63" s="160"/>
      <c r="GN63" s="160"/>
      <c r="GO63" s="160"/>
      <c r="GP63" s="160"/>
      <c r="GQ63" s="160"/>
    </row>
    <row r="64" spans="2:199" hidden="1" outlineLevel="1">
      <c r="B64" s="182" t="s">
        <v>406</v>
      </c>
      <c r="C64" s="207">
        <v>18</v>
      </c>
      <c r="D64" s="159"/>
      <c r="E64" s="159">
        <f>MAX(C64-E63,0)</f>
        <v>18</v>
      </c>
      <c r="F64" s="159">
        <f>MAX(E64-F63,0)</f>
        <v>18</v>
      </c>
      <c r="G64" s="159">
        <f t="shared" ref="G64:Z64" si="99">MAX(F64-G63,0)</f>
        <v>18</v>
      </c>
      <c r="H64" s="159">
        <f t="shared" si="99"/>
        <v>17</v>
      </c>
      <c r="I64" s="159">
        <f t="shared" si="99"/>
        <v>16</v>
      </c>
      <c r="J64" s="159">
        <f t="shared" si="99"/>
        <v>15</v>
      </c>
      <c r="K64" s="159">
        <f t="shared" si="99"/>
        <v>14</v>
      </c>
      <c r="L64" s="159">
        <f t="shared" si="99"/>
        <v>13</v>
      </c>
      <c r="M64" s="159">
        <f t="shared" si="99"/>
        <v>12</v>
      </c>
      <c r="N64" s="159">
        <f t="shared" si="99"/>
        <v>11</v>
      </c>
      <c r="O64" s="159">
        <f t="shared" si="99"/>
        <v>10</v>
      </c>
      <c r="P64" s="159">
        <f t="shared" si="99"/>
        <v>9</v>
      </c>
      <c r="Q64" s="159">
        <f t="shared" si="99"/>
        <v>8</v>
      </c>
      <c r="R64" s="159">
        <f t="shared" si="99"/>
        <v>7</v>
      </c>
      <c r="S64" s="159">
        <f t="shared" si="99"/>
        <v>6</v>
      </c>
      <c r="T64" s="159">
        <f t="shared" si="99"/>
        <v>5</v>
      </c>
      <c r="U64" s="159">
        <f t="shared" si="99"/>
        <v>4</v>
      </c>
      <c r="V64" s="159">
        <f t="shared" si="99"/>
        <v>3</v>
      </c>
      <c r="W64" s="159">
        <f t="shared" si="99"/>
        <v>2</v>
      </c>
      <c r="X64" s="159">
        <f t="shared" si="99"/>
        <v>1</v>
      </c>
      <c r="Y64" s="159">
        <f t="shared" si="99"/>
        <v>0</v>
      </c>
      <c r="Z64" s="159">
        <f t="shared" si="99"/>
        <v>0</v>
      </c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  <c r="AM64" s="159"/>
      <c r="AN64" s="159"/>
      <c r="AO64" s="159"/>
      <c r="AP64" s="159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59"/>
      <c r="BB64" s="159"/>
      <c r="BC64" s="159"/>
      <c r="BD64" s="159"/>
      <c r="BE64" s="159"/>
      <c r="BF64" s="159"/>
      <c r="BG64" s="159"/>
      <c r="BH64" s="159"/>
      <c r="BI64" s="159"/>
      <c r="BJ64" s="159"/>
      <c r="BK64" s="159"/>
      <c r="BL64" s="159"/>
      <c r="BM64" s="159"/>
      <c r="BN64" s="159"/>
      <c r="BO64" s="159"/>
      <c r="BP64" s="159"/>
      <c r="BQ64" s="159"/>
      <c r="BR64" s="159"/>
      <c r="BS64" s="159"/>
      <c r="BT64" s="159"/>
      <c r="BU64" s="159"/>
      <c r="BV64" s="159"/>
      <c r="BW64" s="159"/>
      <c r="BX64" s="159"/>
      <c r="BY64" s="159"/>
      <c r="BZ64" s="159"/>
      <c r="CA64" s="159"/>
      <c r="CB64" s="159"/>
      <c r="CC64" s="159"/>
      <c r="CD64" s="159"/>
      <c r="CE64" s="159"/>
      <c r="CF64" s="159"/>
      <c r="CG64" s="159"/>
      <c r="CH64" s="159"/>
      <c r="CI64" s="159"/>
      <c r="CJ64" s="159"/>
      <c r="CK64" s="159"/>
      <c r="CL64" s="159"/>
      <c r="CM64" s="159"/>
      <c r="CN64" s="159"/>
      <c r="CO64" s="159"/>
      <c r="CP64" s="159"/>
      <c r="CQ64" s="159"/>
      <c r="CR64" s="159"/>
      <c r="CS64" s="159"/>
      <c r="CT64" s="159"/>
      <c r="CU64" s="159"/>
      <c r="CV64" s="159"/>
      <c r="CW64" s="159"/>
      <c r="CX64" s="159"/>
      <c r="CY64" s="159"/>
      <c r="CZ64" s="159"/>
      <c r="DA64" s="159"/>
      <c r="DB64" s="159"/>
      <c r="DC64" s="159"/>
      <c r="DD64" s="159"/>
      <c r="DE64" s="159"/>
      <c r="DF64" s="159"/>
      <c r="DG64" s="159"/>
      <c r="DH64" s="159"/>
      <c r="DI64" s="159"/>
      <c r="DJ64" s="159"/>
      <c r="DK64" s="159"/>
      <c r="DL64" s="159"/>
      <c r="DM64" s="159"/>
      <c r="DN64" s="159"/>
      <c r="DO64" s="159"/>
      <c r="DP64" s="159"/>
      <c r="DQ64" s="159"/>
      <c r="DR64" s="159"/>
      <c r="DS64" s="159"/>
      <c r="DT64" s="159"/>
      <c r="DU64" s="159"/>
      <c r="DV64" s="159"/>
      <c r="DW64" s="159"/>
      <c r="DX64" s="159"/>
      <c r="DY64" s="159"/>
      <c r="DZ64" s="159"/>
      <c r="EA64" s="159"/>
      <c r="EB64" s="159"/>
      <c r="EC64" s="159"/>
      <c r="ED64" s="159"/>
      <c r="EE64" s="159"/>
      <c r="EF64" s="159"/>
      <c r="EG64" s="159"/>
      <c r="EH64" s="159"/>
      <c r="EI64" s="159"/>
      <c r="EJ64" s="159"/>
      <c r="EK64" s="159"/>
      <c r="EL64" s="159"/>
      <c r="EM64" s="159"/>
      <c r="EN64" s="159"/>
      <c r="EO64" s="159"/>
      <c r="EP64" s="159"/>
      <c r="EQ64" s="159"/>
      <c r="ER64" s="159"/>
      <c r="ES64" s="159"/>
      <c r="ET64" s="159"/>
      <c r="EU64" s="159"/>
      <c r="EV64" s="159"/>
      <c r="EW64" s="159"/>
      <c r="EX64" s="159"/>
      <c r="EY64" s="159"/>
      <c r="EZ64" s="159"/>
      <c r="FA64" s="159"/>
      <c r="FB64" s="159"/>
      <c r="FC64" s="159"/>
      <c r="FD64" s="159"/>
      <c r="FE64" s="159"/>
      <c r="FF64" s="159"/>
      <c r="FG64" s="159"/>
      <c r="FH64" s="159"/>
      <c r="FI64" s="159"/>
      <c r="FJ64" s="159"/>
      <c r="FK64" s="159"/>
      <c r="FL64" s="159"/>
      <c r="FM64" s="159"/>
      <c r="FN64" s="159"/>
      <c r="FO64" s="159"/>
      <c r="FP64" s="159"/>
      <c r="FQ64" s="159"/>
      <c r="FR64" s="159"/>
      <c r="FS64" s="159"/>
      <c r="FT64" s="159"/>
      <c r="FU64" s="159"/>
      <c r="FV64" s="159"/>
      <c r="FW64" s="159"/>
      <c r="FX64" s="159"/>
      <c r="FY64" s="159"/>
      <c r="FZ64" s="159"/>
      <c r="GA64" s="159"/>
      <c r="GB64" s="159"/>
      <c r="GC64" s="159"/>
      <c r="GD64" s="159"/>
      <c r="GE64" s="159"/>
      <c r="GF64" s="159"/>
      <c r="GG64" s="159"/>
      <c r="GH64" s="159"/>
      <c r="GI64" s="159"/>
      <c r="GJ64" s="159"/>
      <c r="GK64" s="159"/>
      <c r="GL64" s="159"/>
      <c r="GM64" s="159"/>
      <c r="GN64" s="159"/>
      <c r="GO64" s="159"/>
      <c r="GP64" s="159"/>
      <c r="GQ64" s="159"/>
    </row>
    <row r="65" spans="2:199" s="156" customFormat="1" hidden="1" outlineLevel="1">
      <c r="B65" s="157"/>
      <c r="C65" s="157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1"/>
      <c r="AX65" s="161"/>
      <c r="AY65" s="161"/>
      <c r="AZ65" s="161"/>
      <c r="BA65" s="161"/>
      <c r="BB65" s="161"/>
      <c r="BC65" s="161"/>
      <c r="BD65" s="161"/>
      <c r="BE65" s="161"/>
      <c r="BF65" s="161"/>
      <c r="BG65" s="161"/>
      <c r="BH65" s="161"/>
      <c r="BI65" s="161"/>
      <c r="BJ65" s="161"/>
      <c r="BK65" s="161"/>
      <c r="BL65" s="161"/>
      <c r="BM65" s="161"/>
      <c r="BN65" s="161"/>
      <c r="BO65" s="161"/>
      <c r="BP65" s="161"/>
      <c r="BQ65" s="161"/>
      <c r="BR65" s="161"/>
      <c r="BS65" s="161"/>
      <c r="BT65" s="161"/>
      <c r="BU65" s="161"/>
      <c r="BV65" s="161"/>
      <c r="BW65" s="161"/>
      <c r="BX65" s="161"/>
      <c r="BY65" s="161"/>
      <c r="BZ65" s="161"/>
      <c r="CA65" s="161"/>
      <c r="CB65" s="161"/>
      <c r="CC65" s="161"/>
      <c r="CD65" s="161"/>
      <c r="CE65" s="161"/>
      <c r="CF65" s="161"/>
      <c r="CG65" s="161"/>
      <c r="CH65" s="161"/>
      <c r="CI65" s="161"/>
      <c r="CJ65" s="161"/>
      <c r="CK65" s="161"/>
      <c r="CL65" s="161"/>
      <c r="CM65" s="161"/>
      <c r="CN65" s="161"/>
      <c r="CO65" s="161"/>
      <c r="CP65" s="161"/>
      <c r="CQ65" s="161"/>
      <c r="CR65" s="161"/>
      <c r="CS65" s="161"/>
      <c r="CT65" s="161"/>
      <c r="CU65" s="161"/>
      <c r="CV65" s="161"/>
      <c r="CW65" s="161"/>
      <c r="CX65" s="161"/>
      <c r="CY65" s="161"/>
      <c r="CZ65" s="161"/>
      <c r="DA65" s="161"/>
      <c r="DB65" s="161"/>
      <c r="DC65" s="161"/>
      <c r="DD65" s="161"/>
      <c r="DE65" s="161"/>
      <c r="DF65" s="161"/>
      <c r="DG65" s="161"/>
      <c r="DH65" s="161"/>
      <c r="DI65" s="161"/>
      <c r="DJ65" s="161"/>
      <c r="DK65" s="161"/>
      <c r="DL65" s="161"/>
      <c r="DM65" s="161"/>
      <c r="DN65" s="161"/>
      <c r="DO65" s="161"/>
      <c r="DP65" s="161"/>
      <c r="DQ65" s="161"/>
      <c r="DR65" s="161"/>
      <c r="DS65" s="161"/>
      <c r="DT65" s="161"/>
      <c r="DU65" s="161"/>
      <c r="DV65" s="161"/>
      <c r="DW65" s="161"/>
      <c r="DX65" s="161"/>
      <c r="DY65" s="161"/>
      <c r="DZ65" s="161"/>
      <c r="EA65" s="161"/>
      <c r="EB65" s="161"/>
      <c r="EC65" s="161"/>
      <c r="ED65" s="161"/>
      <c r="EE65" s="161"/>
      <c r="EF65" s="161"/>
      <c r="EG65" s="161"/>
      <c r="EH65" s="161"/>
      <c r="EI65" s="161"/>
      <c r="EJ65" s="161"/>
      <c r="EK65" s="161"/>
      <c r="EL65" s="161"/>
      <c r="EM65" s="161"/>
      <c r="EN65" s="161"/>
      <c r="EO65" s="161"/>
      <c r="EP65" s="161"/>
      <c r="EQ65" s="161"/>
      <c r="ER65" s="161"/>
      <c r="ES65" s="161"/>
      <c r="ET65" s="161"/>
      <c r="EU65" s="161"/>
      <c r="EV65" s="161"/>
      <c r="EW65" s="161"/>
      <c r="EX65" s="161"/>
      <c r="EY65" s="161"/>
      <c r="EZ65" s="161"/>
      <c r="FA65" s="161"/>
      <c r="FB65" s="161"/>
      <c r="FC65" s="161"/>
      <c r="FD65" s="161"/>
      <c r="FE65" s="161"/>
      <c r="FF65" s="161"/>
      <c r="FG65" s="161"/>
      <c r="FH65" s="161"/>
      <c r="FI65" s="161"/>
      <c r="FJ65" s="161"/>
      <c r="FK65" s="161"/>
      <c r="FL65" s="161"/>
      <c r="FM65" s="161"/>
      <c r="FN65" s="161"/>
      <c r="FO65" s="161"/>
      <c r="FP65" s="161"/>
      <c r="FQ65" s="161"/>
      <c r="FR65" s="161"/>
      <c r="FS65" s="161"/>
      <c r="FT65" s="161"/>
      <c r="FU65" s="161"/>
      <c r="FV65" s="161"/>
      <c r="FW65" s="161"/>
      <c r="FX65" s="161"/>
      <c r="FY65" s="161"/>
      <c r="FZ65" s="161"/>
      <c r="GA65" s="161"/>
      <c r="GB65" s="161"/>
      <c r="GC65" s="161"/>
      <c r="GD65" s="161"/>
      <c r="GE65" s="161"/>
      <c r="GF65" s="161"/>
      <c r="GG65" s="161"/>
      <c r="GH65" s="161"/>
      <c r="GI65" s="161"/>
      <c r="GJ65" s="161"/>
      <c r="GK65" s="161"/>
      <c r="GL65" s="161"/>
      <c r="GM65" s="161"/>
      <c r="GN65" s="161"/>
      <c r="GO65" s="161"/>
      <c r="GP65" s="161"/>
      <c r="GQ65" s="161"/>
    </row>
    <row r="66" spans="2:199" hidden="1" outlineLevel="1">
      <c r="B66" s="184" t="s">
        <v>388</v>
      </c>
      <c r="C66" s="185"/>
      <c r="D66" s="186"/>
      <c r="E66" s="199">
        <f t="shared" ref="E66" si="100">D72</f>
        <v>0</v>
      </c>
      <c r="F66" s="199">
        <f t="shared" ref="F66" si="101">E72</f>
        <v>159912</v>
      </c>
      <c r="G66" s="199">
        <f t="shared" ref="G66" si="102">F72</f>
        <v>265413.70829424716</v>
      </c>
      <c r="H66" s="199">
        <f t="shared" ref="H66" si="103">G72</f>
        <v>263424.21000000002</v>
      </c>
      <c r="I66" s="199">
        <f t="shared" ref="I66" si="104">H72</f>
        <v>248789.53166666668</v>
      </c>
      <c r="J66" s="199">
        <f t="shared" ref="J66" si="105">I72</f>
        <v>234154.85333333333</v>
      </c>
      <c r="K66" s="199">
        <f t="shared" ref="K66" si="106">J72</f>
        <v>219520.17499999999</v>
      </c>
      <c r="L66" s="199">
        <f t="shared" ref="L66" si="107">K72</f>
        <v>204885.49666666664</v>
      </c>
      <c r="M66" s="199">
        <f t="shared" ref="M66" si="108">L72</f>
        <v>190250.8183333333</v>
      </c>
      <c r="N66" s="199">
        <f t="shared" ref="N66" si="109">M72</f>
        <v>175616.13999999996</v>
      </c>
      <c r="O66" s="199">
        <f t="shared" ref="O66" si="110">N72</f>
        <v>160981.46166666661</v>
      </c>
      <c r="P66" s="199">
        <f t="shared" ref="P66" si="111">O72</f>
        <v>146346.78333333327</v>
      </c>
      <c r="Q66" s="199">
        <f t="shared" ref="Q66" si="112">P72</f>
        <v>131712.10499999992</v>
      </c>
      <c r="R66" s="199">
        <f t="shared" ref="R66" si="113">Q72</f>
        <v>117077.42666666659</v>
      </c>
      <c r="S66" s="199">
        <f t="shared" ref="S66" si="114">R72</f>
        <v>102442.74833333326</v>
      </c>
      <c r="T66" s="199">
        <f t="shared" ref="T66" si="115">S72</f>
        <v>87808.069999999934</v>
      </c>
      <c r="U66" s="199">
        <f t="shared" ref="U66" si="116">T72</f>
        <v>73173.391666666605</v>
      </c>
      <c r="V66" s="199">
        <f t="shared" ref="V66" si="117">U72</f>
        <v>58538.713333333275</v>
      </c>
      <c r="W66" s="199">
        <f t="shared" ref="W66" si="118">V72</f>
        <v>43904.034999999945</v>
      </c>
      <c r="X66" s="199">
        <f t="shared" ref="X66" si="119">W72</f>
        <v>29269.356666666612</v>
      </c>
      <c r="Y66" s="199">
        <f t="shared" ref="Y66" si="120">X72</f>
        <v>14634.678333333279</v>
      </c>
      <c r="Z66" s="199">
        <f t="shared" ref="Z66" si="121">Y72</f>
        <v>0</v>
      </c>
      <c r="AA66" s="199"/>
      <c r="AB66" s="186"/>
      <c r="AC66" s="186"/>
      <c r="AD66" s="186"/>
      <c r="AE66" s="186"/>
      <c r="AF66" s="186"/>
      <c r="AG66" s="186"/>
      <c r="AH66" s="186"/>
      <c r="AI66" s="186"/>
      <c r="AJ66" s="186"/>
      <c r="AK66" s="186"/>
      <c r="AL66" s="186"/>
      <c r="AM66" s="186"/>
      <c r="AN66" s="186"/>
      <c r="AO66" s="186"/>
      <c r="AP66" s="186"/>
      <c r="AQ66" s="186"/>
      <c r="AR66" s="186"/>
      <c r="AS66" s="186"/>
      <c r="AT66" s="186"/>
      <c r="AU66" s="186"/>
      <c r="AV66" s="186"/>
      <c r="AW66" s="186"/>
      <c r="AX66" s="186"/>
      <c r="AY66" s="186"/>
      <c r="AZ66" s="186"/>
      <c r="BA66" s="186"/>
      <c r="BB66" s="186"/>
      <c r="BC66" s="186"/>
      <c r="BD66" s="186"/>
      <c r="BE66" s="186"/>
      <c r="BF66" s="186"/>
      <c r="BG66" s="186"/>
      <c r="BH66" s="186"/>
      <c r="BI66" s="186"/>
      <c r="BJ66" s="186"/>
      <c r="BK66" s="186"/>
      <c r="BL66" s="186"/>
      <c r="BM66" s="186"/>
      <c r="BN66" s="186"/>
      <c r="BO66" s="186"/>
      <c r="BP66" s="186"/>
      <c r="BQ66" s="186"/>
      <c r="BR66" s="186"/>
      <c r="BS66" s="186"/>
      <c r="BT66" s="186"/>
      <c r="BU66" s="186"/>
      <c r="BV66" s="186"/>
      <c r="BW66" s="186"/>
      <c r="BX66" s="186"/>
      <c r="BY66" s="186"/>
      <c r="BZ66" s="186"/>
      <c r="CA66" s="186"/>
      <c r="CB66" s="186"/>
      <c r="CC66" s="186"/>
      <c r="CD66" s="186"/>
      <c r="CE66" s="186"/>
      <c r="CF66" s="186"/>
      <c r="CG66" s="186"/>
      <c r="CH66" s="186"/>
      <c r="CI66" s="186"/>
      <c r="CJ66" s="186"/>
      <c r="CK66" s="186"/>
      <c r="CL66" s="186"/>
      <c r="CM66" s="186"/>
      <c r="CN66" s="186"/>
      <c r="CO66" s="186"/>
      <c r="CP66" s="186"/>
      <c r="CQ66" s="186"/>
      <c r="CR66" s="186"/>
      <c r="CS66" s="186"/>
      <c r="CT66" s="186"/>
      <c r="CU66" s="186"/>
      <c r="CV66" s="186"/>
      <c r="CW66" s="186"/>
      <c r="CX66" s="186"/>
      <c r="CY66" s="186"/>
      <c r="CZ66" s="186"/>
      <c r="DA66" s="186"/>
      <c r="DB66" s="186"/>
      <c r="DC66" s="186"/>
      <c r="DD66" s="186"/>
      <c r="DE66" s="186"/>
      <c r="DF66" s="186"/>
      <c r="DG66" s="186"/>
      <c r="DH66" s="186"/>
      <c r="DI66" s="186"/>
      <c r="DJ66" s="186"/>
      <c r="DK66" s="186"/>
      <c r="DL66" s="186"/>
      <c r="DM66" s="186"/>
      <c r="DN66" s="186"/>
      <c r="DO66" s="186"/>
      <c r="DP66" s="186"/>
      <c r="DQ66" s="186"/>
      <c r="DR66" s="186"/>
      <c r="DS66" s="186"/>
      <c r="DT66" s="186"/>
      <c r="DU66" s="186"/>
      <c r="DV66" s="186"/>
      <c r="DW66" s="186"/>
      <c r="DX66" s="186"/>
      <c r="DY66" s="186"/>
      <c r="DZ66" s="186"/>
      <c r="EA66" s="186"/>
      <c r="EB66" s="186"/>
      <c r="EC66" s="186"/>
      <c r="ED66" s="186"/>
      <c r="EE66" s="186"/>
      <c r="EF66" s="186"/>
      <c r="EG66" s="186"/>
      <c r="EH66" s="186"/>
      <c r="EI66" s="186"/>
      <c r="EJ66" s="186"/>
      <c r="EK66" s="186"/>
      <c r="EL66" s="186"/>
      <c r="EM66" s="186"/>
      <c r="EN66" s="186"/>
      <c r="EO66" s="186"/>
      <c r="EP66" s="186"/>
      <c r="EQ66" s="186"/>
      <c r="ER66" s="186"/>
      <c r="ES66" s="186"/>
      <c r="ET66" s="186"/>
      <c r="EU66" s="186"/>
      <c r="EV66" s="186"/>
      <c r="EW66" s="186"/>
      <c r="EX66" s="186"/>
      <c r="EY66" s="186"/>
      <c r="EZ66" s="186"/>
      <c r="FA66" s="186"/>
      <c r="FB66" s="186"/>
      <c r="FC66" s="186"/>
      <c r="FD66" s="186"/>
      <c r="FE66" s="186"/>
      <c r="FF66" s="186"/>
      <c r="FG66" s="186"/>
      <c r="FH66" s="186"/>
      <c r="FI66" s="186"/>
      <c r="FJ66" s="186"/>
      <c r="FK66" s="186"/>
      <c r="FL66" s="186"/>
      <c r="FM66" s="186"/>
      <c r="FN66" s="186"/>
      <c r="FO66" s="186"/>
      <c r="FP66" s="186"/>
      <c r="FQ66" s="186"/>
      <c r="FR66" s="186"/>
      <c r="FS66" s="186"/>
      <c r="FT66" s="186"/>
      <c r="FU66" s="186"/>
      <c r="FV66" s="186"/>
      <c r="FW66" s="186"/>
      <c r="FX66" s="186"/>
      <c r="FY66" s="186"/>
      <c r="FZ66" s="186"/>
      <c r="GA66" s="186"/>
      <c r="GB66" s="186"/>
      <c r="GC66" s="186"/>
      <c r="GD66" s="186"/>
      <c r="GE66" s="186"/>
      <c r="GF66" s="186"/>
      <c r="GG66" s="186"/>
      <c r="GH66" s="186"/>
      <c r="GI66" s="186"/>
      <c r="GJ66" s="186"/>
      <c r="GK66" s="186"/>
      <c r="GL66" s="186"/>
      <c r="GM66" s="186"/>
      <c r="GN66" s="186"/>
      <c r="GO66" s="186"/>
      <c r="GP66" s="186"/>
      <c r="GQ66" s="186"/>
    </row>
    <row r="67" spans="2:199" hidden="1" outlineLevel="1">
      <c r="B67" s="187" t="s">
        <v>411</v>
      </c>
      <c r="C67" s="180">
        <f>E67+F67</f>
        <v>263424.21000000002</v>
      </c>
      <c r="D67" s="188"/>
      <c r="E67" s="189">
        <f>+E72</f>
        <v>159912</v>
      </c>
      <c r="F67" s="189">
        <f>263424.21-E72</f>
        <v>103512.21000000002</v>
      </c>
      <c r="G67" s="189">
        <f t="shared" ref="G67:K67" si="122">(IF(G52&lt;$C54,0,IF(G52=$C54,$C67,0)))</f>
        <v>0</v>
      </c>
      <c r="H67" s="189">
        <f t="shared" si="122"/>
        <v>0</v>
      </c>
      <c r="I67" s="189">
        <f t="shared" si="122"/>
        <v>0</v>
      </c>
      <c r="J67" s="189">
        <f t="shared" si="122"/>
        <v>0</v>
      </c>
      <c r="K67" s="189">
        <f t="shared" si="122"/>
        <v>0</v>
      </c>
      <c r="L67" s="189">
        <f t="shared" ref="L67:Z67" si="123">(IF(L52&lt;$C54,0,IF(L52=$C54,$C67,0)))</f>
        <v>0</v>
      </c>
      <c r="M67" s="189">
        <f t="shared" si="123"/>
        <v>0</v>
      </c>
      <c r="N67" s="189">
        <f t="shared" si="123"/>
        <v>0</v>
      </c>
      <c r="O67" s="189">
        <f t="shared" si="123"/>
        <v>0</v>
      </c>
      <c r="P67" s="189">
        <f t="shared" si="123"/>
        <v>0</v>
      </c>
      <c r="Q67" s="189">
        <f t="shared" si="123"/>
        <v>0</v>
      </c>
      <c r="R67" s="189">
        <f t="shared" si="123"/>
        <v>0</v>
      </c>
      <c r="S67" s="189">
        <f t="shared" si="123"/>
        <v>0</v>
      </c>
      <c r="T67" s="189">
        <f t="shared" si="123"/>
        <v>0</v>
      </c>
      <c r="U67" s="189">
        <f t="shared" si="123"/>
        <v>0</v>
      </c>
      <c r="V67" s="189">
        <f t="shared" si="123"/>
        <v>0</v>
      </c>
      <c r="W67" s="189">
        <f t="shared" si="123"/>
        <v>0</v>
      </c>
      <c r="X67" s="189">
        <f t="shared" si="123"/>
        <v>0</v>
      </c>
      <c r="Y67" s="189">
        <f t="shared" si="123"/>
        <v>0</v>
      </c>
      <c r="Z67" s="189">
        <f t="shared" si="123"/>
        <v>0</v>
      </c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189"/>
      <c r="AY67" s="189"/>
      <c r="AZ67" s="189"/>
      <c r="BA67" s="189"/>
      <c r="BB67" s="189"/>
      <c r="BC67" s="189"/>
      <c r="BD67" s="189"/>
      <c r="BE67" s="189"/>
      <c r="BF67" s="189"/>
      <c r="BG67" s="189"/>
      <c r="BH67" s="189"/>
      <c r="BI67" s="189"/>
      <c r="BJ67" s="189"/>
      <c r="BK67" s="189"/>
      <c r="BL67" s="189"/>
      <c r="BM67" s="189"/>
      <c r="BN67" s="189"/>
      <c r="BO67" s="189"/>
      <c r="BP67" s="189"/>
      <c r="BQ67" s="189"/>
      <c r="BR67" s="189"/>
      <c r="BS67" s="189"/>
      <c r="BT67" s="189"/>
      <c r="BU67" s="189"/>
      <c r="BV67" s="189"/>
      <c r="BW67" s="189"/>
      <c r="BX67" s="189"/>
      <c r="BY67" s="189"/>
      <c r="BZ67" s="189"/>
      <c r="CA67" s="189"/>
      <c r="CB67" s="189"/>
      <c r="CC67" s="189"/>
      <c r="CD67" s="189"/>
      <c r="CE67" s="189"/>
      <c r="CF67" s="189"/>
      <c r="CG67" s="189"/>
      <c r="CH67" s="189"/>
      <c r="CI67" s="189"/>
      <c r="CJ67" s="189"/>
      <c r="CK67" s="189"/>
      <c r="CL67" s="189"/>
      <c r="CM67" s="189"/>
      <c r="CN67" s="189"/>
      <c r="CO67" s="189"/>
      <c r="CP67" s="189"/>
      <c r="CQ67" s="189"/>
      <c r="CR67" s="189"/>
      <c r="CS67" s="189"/>
      <c r="CT67" s="189"/>
      <c r="CU67" s="189"/>
      <c r="CV67" s="189"/>
      <c r="CW67" s="189"/>
      <c r="CX67" s="189"/>
      <c r="CY67" s="189"/>
      <c r="CZ67" s="189"/>
      <c r="DA67" s="189"/>
      <c r="DB67" s="189"/>
      <c r="DC67" s="189"/>
      <c r="DD67" s="189"/>
      <c r="DE67" s="189"/>
      <c r="DF67" s="189"/>
      <c r="DG67" s="189"/>
      <c r="DH67" s="189"/>
      <c r="DI67" s="189"/>
      <c r="DJ67" s="189"/>
      <c r="DK67" s="189"/>
      <c r="DL67" s="189"/>
      <c r="DM67" s="189"/>
      <c r="DN67" s="189"/>
      <c r="DO67" s="189"/>
      <c r="DP67" s="189"/>
      <c r="DQ67" s="189"/>
      <c r="DR67" s="189"/>
      <c r="DS67" s="189"/>
      <c r="DT67" s="189"/>
      <c r="DU67" s="189"/>
      <c r="DV67" s="189"/>
      <c r="DW67" s="189"/>
      <c r="DX67" s="189"/>
      <c r="DY67" s="189"/>
      <c r="DZ67" s="189"/>
      <c r="EA67" s="189"/>
      <c r="EB67" s="189"/>
      <c r="EC67" s="189"/>
      <c r="ED67" s="189"/>
      <c r="EE67" s="189"/>
      <c r="EF67" s="189"/>
      <c r="EG67" s="189"/>
      <c r="EH67" s="189"/>
      <c r="EI67" s="189"/>
      <c r="EJ67" s="189"/>
      <c r="EK67" s="189"/>
      <c r="EL67" s="189"/>
      <c r="EM67" s="189"/>
      <c r="EN67" s="189"/>
      <c r="EO67" s="189"/>
      <c r="EP67" s="189"/>
      <c r="EQ67" s="189"/>
      <c r="ER67" s="189"/>
      <c r="ES67" s="189"/>
      <c r="ET67" s="189"/>
      <c r="EU67" s="189"/>
      <c r="EV67" s="189"/>
      <c r="EW67" s="189"/>
      <c r="EX67" s="189"/>
      <c r="EY67" s="189"/>
      <c r="EZ67" s="189"/>
      <c r="FA67" s="189"/>
      <c r="FB67" s="189"/>
      <c r="FC67" s="189"/>
      <c r="FD67" s="189"/>
      <c r="FE67" s="189"/>
      <c r="FF67" s="189"/>
      <c r="FG67" s="189"/>
      <c r="FH67" s="189"/>
      <c r="FI67" s="189"/>
      <c r="FJ67" s="189"/>
      <c r="FK67" s="189"/>
      <c r="FL67" s="189"/>
      <c r="FM67" s="189"/>
      <c r="FN67" s="189"/>
      <c r="FO67" s="189"/>
      <c r="FP67" s="189"/>
      <c r="FQ67" s="189"/>
      <c r="FR67" s="189"/>
      <c r="FS67" s="189"/>
      <c r="FT67" s="189"/>
      <c r="FU67" s="189"/>
      <c r="FV67" s="189"/>
      <c r="FW67" s="189"/>
      <c r="FX67" s="189"/>
      <c r="FY67" s="189"/>
      <c r="FZ67" s="189"/>
      <c r="GA67" s="189"/>
      <c r="GB67" s="189"/>
      <c r="GC67" s="189"/>
      <c r="GD67" s="189"/>
      <c r="GE67" s="189"/>
      <c r="GF67" s="189"/>
      <c r="GG67" s="189"/>
      <c r="GH67" s="189"/>
      <c r="GI67" s="189"/>
      <c r="GJ67" s="189"/>
      <c r="GK67" s="189"/>
      <c r="GL67" s="189"/>
      <c r="GM67" s="189"/>
      <c r="GN67" s="189"/>
      <c r="GO67" s="189"/>
      <c r="GP67" s="189"/>
      <c r="GQ67" s="189"/>
    </row>
    <row r="68" spans="2:199" hidden="1" outlineLevel="1">
      <c r="B68" s="190" t="s">
        <v>395</v>
      </c>
      <c r="C68" s="164"/>
      <c r="D68" s="191"/>
      <c r="E68" s="427">
        <f>SUM(E66:E67,-D73)*(E76-1)</f>
        <v>0</v>
      </c>
      <c r="F68" s="427">
        <f t="shared" ref="F68:K68" si="124">SUM(F66:F67,-E73)*(F76-1)</f>
        <v>0</v>
      </c>
      <c r="G68" s="427">
        <f t="shared" si="124"/>
        <v>0</v>
      </c>
      <c r="H68" s="427">
        <f t="shared" si="124"/>
        <v>0</v>
      </c>
      <c r="I68" s="427">
        <f t="shared" si="124"/>
        <v>0</v>
      </c>
      <c r="J68" s="427">
        <f t="shared" si="124"/>
        <v>0</v>
      </c>
      <c r="K68" s="427">
        <f t="shared" si="124"/>
        <v>0</v>
      </c>
      <c r="L68" s="427">
        <f t="shared" ref="L68" si="125">SUM(L66:L67,-K73)*(L76-1)</f>
        <v>0</v>
      </c>
      <c r="M68" s="427">
        <f t="shared" ref="M68" si="126">SUM(M66:M67,-L73)*(M76-1)</f>
        <v>0</v>
      </c>
      <c r="N68" s="427">
        <f t="shared" ref="N68" si="127">SUM(N66:N67,-M73)*(N76-1)</f>
        <v>0</v>
      </c>
      <c r="O68" s="427">
        <f t="shared" ref="O68" si="128">SUM(O66:O67,-N73)*(O76-1)</f>
        <v>0</v>
      </c>
      <c r="P68" s="427">
        <f t="shared" ref="P68:Q68" si="129">SUM(P66:P67,-O73)*(P76-1)</f>
        <v>0</v>
      </c>
      <c r="Q68" s="427">
        <f t="shared" si="129"/>
        <v>0</v>
      </c>
      <c r="R68" s="427">
        <f t="shared" ref="R68" si="130">SUM(R66:R67,-Q73)*(R76-1)</f>
        <v>0</v>
      </c>
      <c r="S68" s="427">
        <f t="shared" ref="S68" si="131">SUM(S66:S67,-R73)*(S76-1)</f>
        <v>0</v>
      </c>
      <c r="T68" s="427">
        <f t="shared" ref="T68" si="132">SUM(T66:T67,-S73)*(T76-1)</f>
        <v>0</v>
      </c>
      <c r="U68" s="427">
        <f t="shared" ref="U68" si="133">SUM(U66:U67,-T73)*(U76-1)</f>
        <v>0</v>
      </c>
      <c r="V68" s="427">
        <f t="shared" ref="V68:W68" si="134">SUM(V66:V67,-U73)*(V76-1)</f>
        <v>0</v>
      </c>
      <c r="W68" s="427">
        <f t="shared" si="134"/>
        <v>0</v>
      </c>
      <c r="X68" s="427">
        <f t="shared" ref="X68" si="135">SUM(X66:X67,-W73)*(X76-1)</f>
        <v>0</v>
      </c>
      <c r="Y68" s="427">
        <f t="shared" ref="Y68" si="136">SUM(Y66:Y67,-X73)*(Y76-1)</f>
        <v>0</v>
      </c>
      <c r="Z68" s="427">
        <f t="shared" ref="Z68" si="137">SUM(Z66:Z67,-Y73)*(Z76-1)</f>
        <v>0</v>
      </c>
      <c r="AA68" s="427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  <c r="EB68" s="191"/>
      <c r="EC68" s="191"/>
      <c r="ED68" s="191"/>
      <c r="EE68" s="191"/>
      <c r="EF68" s="191"/>
      <c r="EG68" s="191"/>
      <c r="EH68" s="191"/>
      <c r="EI68" s="191"/>
      <c r="EJ68" s="191"/>
      <c r="EK68" s="191"/>
      <c r="EL68" s="191"/>
      <c r="EM68" s="191"/>
      <c r="EN68" s="191"/>
      <c r="EO68" s="191"/>
      <c r="EP68" s="191"/>
      <c r="EQ68" s="191"/>
      <c r="ER68" s="191"/>
      <c r="ES68" s="191"/>
      <c r="ET68" s="191"/>
      <c r="EU68" s="191"/>
      <c r="EV68" s="191"/>
      <c r="EW68" s="191"/>
      <c r="EX68" s="191"/>
      <c r="EY68" s="191"/>
      <c r="EZ68" s="191"/>
      <c r="FA68" s="191"/>
      <c r="FB68" s="191"/>
      <c r="FC68" s="191"/>
      <c r="FD68" s="191"/>
      <c r="FE68" s="191"/>
      <c r="FF68" s="191"/>
      <c r="FG68" s="191"/>
      <c r="FH68" s="191"/>
      <c r="FI68" s="191"/>
      <c r="FJ68" s="191"/>
      <c r="FK68" s="191"/>
      <c r="FL68" s="191"/>
      <c r="FM68" s="191"/>
      <c r="FN68" s="191"/>
      <c r="FO68" s="191"/>
      <c r="FP68" s="191"/>
      <c r="FQ68" s="191"/>
      <c r="FR68" s="191"/>
      <c r="FS68" s="191"/>
      <c r="FT68" s="191"/>
      <c r="FU68" s="191"/>
      <c r="FV68" s="191"/>
      <c r="FW68" s="191"/>
      <c r="FX68" s="191"/>
      <c r="FY68" s="191"/>
      <c r="FZ68" s="191"/>
      <c r="GA68" s="191"/>
      <c r="GB68" s="191"/>
      <c r="GC68" s="191"/>
      <c r="GD68" s="191"/>
      <c r="GE68" s="191"/>
      <c r="GF68" s="191"/>
      <c r="GG68" s="191"/>
      <c r="GH68" s="191"/>
      <c r="GI68" s="191"/>
      <c r="GJ68" s="191"/>
      <c r="GK68" s="191"/>
      <c r="GL68" s="191"/>
      <c r="GM68" s="191"/>
      <c r="GN68" s="191"/>
      <c r="GO68" s="191"/>
      <c r="GP68" s="191"/>
      <c r="GQ68" s="191"/>
    </row>
    <row r="69" spans="2:199" hidden="1" outlineLevel="1">
      <c r="B69" s="190" t="s">
        <v>390</v>
      </c>
      <c r="C69" s="192"/>
      <c r="D69" s="193"/>
      <c r="E69" s="200">
        <v>0</v>
      </c>
      <c r="F69" s="200">
        <f t="shared" ref="F69:K69" si="138">SUM(F66:F68)*F60</f>
        <v>1989.4982942471547</v>
      </c>
      <c r="G69" s="200">
        <f t="shared" si="138"/>
        <v>2395.0197759700113</v>
      </c>
      <c r="H69" s="200">
        <f t="shared" si="138"/>
        <v>2474.3748390691831</v>
      </c>
      <c r="I69" s="200">
        <f t="shared" si="138"/>
        <v>2336.909570232006</v>
      </c>
      <c r="J69" s="200">
        <f t="shared" si="138"/>
        <v>2130.1178537672122</v>
      </c>
      <c r="K69" s="200">
        <f t="shared" si="138"/>
        <v>1996.9854879067614</v>
      </c>
      <c r="L69" s="200">
        <f t="shared" ref="L69" si="139">SUM(L66:L68)*L60</f>
        <v>1826.1113491549841</v>
      </c>
      <c r="M69" s="200">
        <f t="shared" ref="M69" si="140">SUM(M66:M68)*M60</f>
        <v>1694.2130485516407</v>
      </c>
      <c r="N69" s="200">
        <f t="shared" ref="N69" si="141">SUM(N66:N68)*N60</f>
        <v>1563.8889678938219</v>
      </c>
      <c r="O69" s="200">
        <f t="shared" ref="O69" si="142">SUM(O66:O68)*O60</f>
        <v>1433.5648872360034</v>
      </c>
      <c r="P69" s="200">
        <f t="shared" ref="P69:Q69" si="143">SUM(P66:P68)*P60</f>
        <v>1276.2258796644428</v>
      </c>
      <c r="Q69" s="200">
        <f t="shared" si="143"/>
        <v>1148.6032916979984</v>
      </c>
      <c r="R69" s="200">
        <f t="shared" ref="R69" si="144">SUM(R66:R68)*R60</f>
        <v>1020.9807037315541</v>
      </c>
      <c r="S69" s="200">
        <f t="shared" ref="S69" si="145">SUM(S66:S68)*S60</f>
        <v>893.35811576510969</v>
      </c>
      <c r="T69" s="200">
        <f t="shared" ref="T69" si="146">SUM(T66:T68)*T60</f>
        <v>765.73552779866543</v>
      </c>
      <c r="U69" s="200">
        <f t="shared" ref="U69" si="147">SUM(U66:U68)*U60</f>
        <v>624.01369192221421</v>
      </c>
      <c r="V69" s="200">
        <f t="shared" ref="V69:W69" si="148">SUM(V66:V68)*V60</f>
        <v>499.21095353777127</v>
      </c>
      <c r="W69" s="200">
        <f t="shared" si="148"/>
        <v>374.40821515332834</v>
      </c>
      <c r="X69" s="200">
        <f t="shared" ref="X69" si="149">SUM(X66:X68)*X60</f>
        <v>249.60547676888541</v>
      </c>
      <c r="Y69" s="200">
        <f t="shared" ref="Y69" si="150">SUM(Y66:Y68)*Y60</f>
        <v>124.80273838444248</v>
      </c>
      <c r="Z69" s="200">
        <f t="shared" ref="Z69" si="151">SUM(Z66:Z68)*Z60</f>
        <v>0</v>
      </c>
      <c r="AA69" s="200"/>
      <c r="AB69" s="193"/>
      <c r="AC69" s="193"/>
      <c r="AD69" s="193"/>
      <c r="AE69" s="193"/>
      <c r="AF69" s="193"/>
      <c r="AG69" s="193"/>
      <c r="AH69" s="193"/>
      <c r="AI69" s="193"/>
      <c r="AJ69" s="193"/>
      <c r="AK69" s="193"/>
      <c r="AL69" s="193"/>
      <c r="AM69" s="193"/>
      <c r="AN69" s="193"/>
      <c r="AO69" s="193"/>
      <c r="AP69" s="193"/>
      <c r="AQ69" s="193"/>
      <c r="AR69" s="193"/>
      <c r="AS69" s="193"/>
      <c r="AT69" s="193"/>
      <c r="AU69" s="193"/>
      <c r="AV69" s="193"/>
      <c r="AW69" s="193"/>
      <c r="AX69" s="193"/>
      <c r="AY69" s="193"/>
      <c r="AZ69" s="193"/>
      <c r="BA69" s="193"/>
      <c r="BB69" s="193"/>
      <c r="BC69" s="193"/>
      <c r="BD69" s="193"/>
      <c r="BE69" s="193"/>
      <c r="BF69" s="193"/>
      <c r="BG69" s="193"/>
      <c r="BH69" s="193"/>
      <c r="BI69" s="193"/>
      <c r="BJ69" s="193"/>
      <c r="BK69" s="193"/>
      <c r="BL69" s="193"/>
      <c r="BM69" s="193"/>
      <c r="BN69" s="193"/>
      <c r="BO69" s="193"/>
      <c r="BP69" s="193"/>
      <c r="BQ69" s="193"/>
      <c r="BR69" s="193"/>
      <c r="BS69" s="193"/>
      <c r="BT69" s="193"/>
      <c r="BU69" s="193"/>
      <c r="BV69" s="193"/>
      <c r="BW69" s="193"/>
      <c r="BX69" s="193"/>
      <c r="BY69" s="193"/>
      <c r="BZ69" s="193"/>
      <c r="CA69" s="193"/>
      <c r="CB69" s="193"/>
      <c r="CC69" s="193"/>
      <c r="CD69" s="193"/>
      <c r="CE69" s="193"/>
      <c r="CF69" s="193"/>
      <c r="CG69" s="193"/>
      <c r="CH69" s="193"/>
      <c r="CI69" s="193"/>
      <c r="CJ69" s="193"/>
      <c r="CK69" s="193"/>
      <c r="CL69" s="193"/>
      <c r="CM69" s="193"/>
      <c r="CN69" s="193"/>
      <c r="CO69" s="193"/>
      <c r="CP69" s="193"/>
      <c r="CQ69" s="193"/>
      <c r="CR69" s="193"/>
      <c r="CS69" s="193"/>
      <c r="CT69" s="193"/>
      <c r="CU69" s="193"/>
      <c r="CV69" s="193"/>
      <c r="CW69" s="193"/>
      <c r="CX69" s="193"/>
      <c r="CY69" s="193"/>
      <c r="CZ69" s="193"/>
      <c r="DA69" s="193"/>
      <c r="DB69" s="193"/>
      <c r="DC69" s="193"/>
      <c r="DD69" s="193"/>
      <c r="DE69" s="193"/>
      <c r="DF69" s="193"/>
      <c r="DG69" s="193"/>
      <c r="DH69" s="193"/>
      <c r="DI69" s="193"/>
      <c r="DJ69" s="193"/>
      <c r="DK69" s="193"/>
      <c r="DL69" s="193"/>
      <c r="DM69" s="193"/>
      <c r="DN69" s="193"/>
      <c r="DO69" s="193"/>
      <c r="DP69" s="193"/>
      <c r="DQ69" s="193"/>
      <c r="DR69" s="193"/>
      <c r="DS69" s="193"/>
      <c r="DT69" s="193"/>
      <c r="DU69" s="193"/>
      <c r="DV69" s="193"/>
      <c r="DW69" s="193"/>
      <c r="DX69" s="193"/>
      <c r="DY69" s="193"/>
      <c r="DZ69" s="193"/>
      <c r="EA69" s="193"/>
      <c r="EB69" s="193"/>
      <c r="EC69" s="193"/>
      <c r="ED69" s="193"/>
      <c r="EE69" s="193"/>
      <c r="EF69" s="193"/>
      <c r="EG69" s="193"/>
      <c r="EH69" s="193"/>
      <c r="EI69" s="193"/>
      <c r="EJ69" s="193"/>
      <c r="EK69" s="193"/>
      <c r="EL69" s="193"/>
      <c r="EM69" s="193"/>
      <c r="EN69" s="193"/>
      <c r="EO69" s="193"/>
      <c r="EP69" s="193"/>
      <c r="EQ69" s="193"/>
      <c r="ER69" s="193"/>
      <c r="ES69" s="193"/>
      <c r="ET69" s="193"/>
      <c r="EU69" s="193"/>
      <c r="EV69" s="193"/>
      <c r="EW69" s="193"/>
      <c r="EX69" s="193"/>
      <c r="EY69" s="193"/>
      <c r="EZ69" s="193"/>
      <c r="FA69" s="193"/>
      <c r="FB69" s="193"/>
      <c r="FC69" s="193"/>
      <c r="FD69" s="193"/>
      <c r="FE69" s="193"/>
      <c r="FF69" s="193"/>
      <c r="FG69" s="193"/>
      <c r="FH69" s="193"/>
      <c r="FI69" s="193"/>
      <c r="FJ69" s="193"/>
      <c r="FK69" s="193"/>
      <c r="FL69" s="193"/>
      <c r="FM69" s="193"/>
      <c r="FN69" s="193"/>
      <c r="FO69" s="193"/>
      <c r="FP69" s="193"/>
      <c r="FQ69" s="193"/>
      <c r="FR69" s="193"/>
      <c r="FS69" s="193"/>
      <c r="FT69" s="193"/>
      <c r="FU69" s="193"/>
      <c r="FV69" s="193"/>
      <c r="FW69" s="193"/>
      <c r="FX69" s="193"/>
      <c r="FY69" s="193"/>
      <c r="FZ69" s="193"/>
      <c r="GA69" s="193"/>
      <c r="GB69" s="193"/>
      <c r="GC69" s="193"/>
      <c r="GD69" s="193"/>
      <c r="GE69" s="193"/>
      <c r="GF69" s="193"/>
      <c r="GG69" s="193"/>
      <c r="GH69" s="193"/>
      <c r="GI69" s="193"/>
      <c r="GJ69" s="193"/>
      <c r="GK69" s="193"/>
      <c r="GL69" s="193"/>
      <c r="GM69" s="193"/>
      <c r="GN69" s="193"/>
      <c r="GO69" s="193"/>
      <c r="GP69" s="193"/>
      <c r="GQ69" s="193"/>
    </row>
    <row r="70" spans="2:199" hidden="1" outlineLevel="1">
      <c r="B70" s="190" t="s">
        <v>391</v>
      </c>
      <c r="C70" s="428"/>
      <c r="D70" s="193"/>
      <c r="E70" s="200">
        <f>IF(E62=1,-D73-E69,0)*IF(AND(E52=$C57,$C63=1,$C62=0),0,1)</f>
        <v>0</v>
      </c>
      <c r="F70" s="444">
        <v>0</v>
      </c>
      <c r="G70" s="200">
        <f t="shared" ref="G70:N70" si="152">IF(G62=1,-F73-G69,0)*IF(AND(G52=$C57,$C63=1,$C62=0),0,1)</f>
        <v>-4384.5180702171656</v>
      </c>
      <c r="H70" s="200">
        <f t="shared" si="152"/>
        <v>-2474.3748390691831</v>
      </c>
      <c r="I70" s="200">
        <f t="shared" si="152"/>
        <v>-2336.909570232006</v>
      </c>
      <c r="J70" s="200">
        <f t="shared" si="152"/>
        <v>-2130.1178537672122</v>
      </c>
      <c r="K70" s="200">
        <f t="shared" si="152"/>
        <v>-1996.9854879067614</v>
      </c>
      <c r="L70" s="200">
        <f t="shared" si="152"/>
        <v>-1826.1113491549841</v>
      </c>
      <c r="M70" s="200">
        <f t="shared" si="152"/>
        <v>-1694.2130485516407</v>
      </c>
      <c r="N70" s="200">
        <f t="shared" si="152"/>
        <v>-1563.8889678938219</v>
      </c>
      <c r="O70" s="200">
        <f t="shared" ref="O70" si="153">IF(O62=1,-N73-O69,0)*IF(AND(O52=$C57,$C63=1,$C62=0),0,1)</f>
        <v>-1433.5648872360034</v>
      </c>
      <c r="P70" s="200">
        <f t="shared" ref="P70" si="154">IF(P62=1,-O73-P69,0)*IF(AND(P52=$C57,$C63=1,$C62=0),0,1)</f>
        <v>-1276.2258796644428</v>
      </c>
      <c r="Q70" s="200">
        <f t="shared" ref="Q70" si="155">IF(Q62=1,-P73-Q69,0)*IF(AND(Q52=$C57,$C63=1,$C62=0),0,1)</f>
        <v>-1148.6032916979984</v>
      </c>
      <c r="R70" s="200">
        <f t="shared" ref="R70" si="156">IF(R62=1,-Q73-R69,0)*IF(AND(R52=$C57,$C63=1,$C62=0),0,1)</f>
        <v>-1020.9807037315541</v>
      </c>
      <c r="S70" s="200">
        <f t="shared" ref="S70" si="157">IF(S62=1,-R73-S69,0)*IF(AND(S52=$C57,$C63=1,$C62=0),0,1)</f>
        <v>-893.35811576510969</v>
      </c>
      <c r="T70" s="200">
        <f t="shared" ref="T70" si="158">IF(T62=1,-S73-T69,0)*IF(AND(T52=$C57,$C63=1,$C62=0),0,1)</f>
        <v>-765.73552779866543</v>
      </c>
      <c r="U70" s="200">
        <f t="shared" ref="U70" si="159">IF(U62=1,-T73-U69,0)*IF(AND(U52=$C57,$C63=1,$C62=0),0,1)</f>
        <v>-624.01369192221421</v>
      </c>
      <c r="V70" s="200">
        <f t="shared" ref="V70:W70" si="160">IF(V62=1,-U73-V69,0)*IF(AND(V52=$C57,$C63=1,$C62=0),0,1)</f>
        <v>-499.21095353777127</v>
      </c>
      <c r="W70" s="200">
        <f t="shared" si="160"/>
        <v>-374.40821515332834</v>
      </c>
      <c r="X70" s="200">
        <f t="shared" ref="X70" si="161">IF(X62=1,-W73-X69,0)*IF(AND(X52=$C57,$C63=1,$C62=0),0,1)</f>
        <v>-249.60547676888541</v>
      </c>
      <c r="Y70" s="200">
        <f t="shared" ref="Y70" si="162">IF(Y62=1,-X73-Y69,0)*IF(AND(Y52=$C57,$C63=1,$C62=0),0,1)</f>
        <v>-124.80273838444248</v>
      </c>
      <c r="Z70" s="200">
        <f t="shared" ref="Z70" si="163">IF(Z62=1,-Y73-Z69,0)*IF(AND(Z52=$C57,$C63=1,$C62=0),0,1)</f>
        <v>0</v>
      </c>
      <c r="AA70" s="200"/>
      <c r="AB70" s="200"/>
      <c r="AC70" s="200"/>
      <c r="AD70" s="200"/>
      <c r="AE70" s="200"/>
      <c r="AF70" s="200"/>
      <c r="AG70" s="200"/>
      <c r="AH70" s="200"/>
      <c r="AI70" s="200"/>
      <c r="AJ70" s="200"/>
      <c r="AK70" s="200"/>
      <c r="AL70" s="200"/>
      <c r="AM70" s="200"/>
      <c r="AN70" s="200"/>
      <c r="AO70" s="200"/>
      <c r="AP70" s="200"/>
      <c r="AQ70" s="200"/>
      <c r="AR70" s="200"/>
      <c r="AS70" s="200"/>
      <c r="AT70" s="200"/>
      <c r="AU70" s="200"/>
      <c r="AV70" s="200"/>
      <c r="AW70" s="200"/>
      <c r="AX70" s="200"/>
      <c r="AY70" s="200"/>
      <c r="AZ70" s="200"/>
      <c r="BA70" s="200"/>
      <c r="BB70" s="200"/>
      <c r="BC70" s="200"/>
      <c r="BD70" s="200"/>
      <c r="BE70" s="200"/>
      <c r="BF70" s="200"/>
      <c r="BG70" s="200"/>
      <c r="BH70" s="200"/>
      <c r="BI70" s="200"/>
      <c r="BJ70" s="200"/>
      <c r="BK70" s="200"/>
      <c r="BL70" s="200"/>
      <c r="BM70" s="200"/>
      <c r="BN70" s="200"/>
      <c r="BO70" s="200"/>
      <c r="BP70" s="200"/>
      <c r="BQ70" s="200"/>
      <c r="BR70" s="200"/>
      <c r="BS70" s="200"/>
      <c r="BT70" s="200"/>
      <c r="BU70" s="200"/>
      <c r="BV70" s="200"/>
      <c r="BW70" s="200"/>
      <c r="BX70" s="200"/>
      <c r="BY70" s="200"/>
      <c r="BZ70" s="200"/>
      <c r="CA70" s="200"/>
      <c r="CB70" s="200"/>
      <c r="CC70" s="200"/>
      <c r="CD70" s="200"/>
      <c r="CE70" s="200"/>
      <c r="CF70" s="200"/>
      <c r="CG70" s="200"/>
      <c r="CH70" s="200"/>
      <c r="CI70" s="200"/>
      <c r="CJ70" s="200"/>
      <c r="CK70" s="200"/>
      <c r="CL70" s="200"/>
      <c r="CM70" s="200"/>
      <c r="CN70" s="200"/>
      <c r="CO70" s="200"/>
      <c r="CP70" s="200"/>
      <c r="CQ70" s="200"/>
      <c r="CR70" s="200"/>
      <c r="CS70" s="200"/>
      <c r="CT70" s="200"/>
      <c r="CU70" s="200"/>
      <c r="CV70" s="200"/>
      <c r="CW70" s="200"/>
      <c r="CX70" s="200"/>
      <c r="CY70" s="200"/>
      <c r="CZ70" s="200"/>
      <c r="DA70" s="200"/>
      <c r="DB70" s="200"/>
      <c r="DC70" s="200"/>
      <c r="DD70" s="200"/>
      <c r="DE70" s="200"/>
      <c r="DF70" s="200"/>
      <c r="DG70" s="200"/>
      <c r="DH70" s="200"/>
      <c r="DI70" s="200"/>
      <c r="DJ70" s="200"/>
      <c r="DK70" s="200"/>
      <c r="DL70" s="200"/>
      <c r="DM70" s="200"/>
      <c r="DN70" s="200"/>
      <c r="DO70" s="200"/>
      <c r="DP70" s="200"/>
      <c r="DQ70" s="200"/>
      <c r="DR70" s="200"/>
      <c r="DS70" s="200"/>
      <c r="DT70" s="200"/>
      <c r="DU70" s="200"/>
      <c r="DV70" s="200"/>
      <c r="DW70" s="200"/>
      <c r="DX70" s="200"/>
      <c r="DY70" s="200"/>
      <c r="DZ70" s="200"/>
      <c r="EA70" s="200"/>
      <c r="EB70" s="200"/>
      <c r="EC70" s="200"/>
      <c r="ED70" s="200"/>
      <c r="EE70" s="200"/>
      <c r="EF70" s="200"/>
      <c r="EG70" s="200"/>
      <c r="EH70" s="200"/>
      <c r="EI70" s="200"/>
      <c r="EJ70" s="200"/>
      <c r="EK70" s="200"/>
      <c r="EL70" s="200"/>
      <c r="EM70" s="200"/>
      <c r="EN70" s="200"/>
      <c r="EO70" s="200"/>
      <c r="EP70" s="200"/>
      <c r="EQ70" s="200"/>
      <c r="ER70" s="200"/>
      <c r="ES70" s="200"/>
      <c r="ET70" s="200"/>
      <c r="EU70" s="200"/>
      <c r="EV70" s="200"/>
      <c r="EW70" s="200"/>
      <c r="EX70" s="200"/>
      <c r="EY70" s="200"/>
      <c r="EZ70" s="200"/>
      <c r="FA70" s="200"/>
      <c r="FB70" s="200"/>
      <c r="FC70" s="200"/>
      <c r="FD70" s="200"/>
      <c r="FE70" s="200"/>
      <c r="FF70" s="200"/>
      <c r="FG70" s="200"/>
      <c r="FH70" s="200"/>
      <c r="FI70" s="200"/>
      <c r="FJ70" s="200"/>
      <c r="FK70" s="200"/>
      <c r="FL70" s="200"/>
      <c r="FM70" s="200"/>
      <c r="FN70" s="200"/>
      <c r="FO70" s="200"/>
      <c r="FP70" s="200"/>
      <c r="FQ70" s="200"/>
      <c r="FR70" s="200"/>
      <c r="FS70" s="200"/>
      <c r="FT70" s="200"/>
      <c r="FU70" s="200"/>
      <c r="FV70" s="200"/>
      <c r="FW70" s="200"/>
      <c r="FX70" s="200"/>
      <c r="FY70" s="200"/>
      <c r="FZ70" s="200"/>
      <c r="GA70" s="200"/>
      <c r="GB70" s="200"/>
      <c r="GC70" s="200"/>
      <c r="GD70" s="200"/>
      <c r="GE70" s="200"/>
      <c r="GF70" s="200"/>
      <c r="GG70" s="200"/>
      <c r="GH70" s="200"/>
      <c r="GI70" s="200"/>
      <c r="GJ70" s="200"/>
      <c r="GK70" s="200"/>
      <c r="GL70" s="200"/>
      <c r="GM70" s="200"/>
      <c r="GN70" s="200"/>
      <c r="GO70" s="200"/>
      <c r="GP70" s="200"/>
      <c r="GQ70" s="200"/>
    </row>
    <row r="71" spans="2:199" hidden="1" outlineLevel="1">
      <c r="B71" s="190" t="s">
        <v>392</v>
      </c>
      <c r="C71" s="192"/>
      <c r="D71" s="194"/>
      <c r="E71" s="201">
        <f>-E57*LOOKUP($C54,$E52:$GQ52,$E67:$GQ67)</f>
        <v>0</v>
      </c>
      <c r="F71" s="201">
        <f t="shared" ref="F71:G71" si="164">-F57*LOOKUP($C54,$E52:$GQ52,$E67:$GQ67)</f>
        <v>0</v>
      </c>
      <c r="G71" s="201">
        <f t="shared" si="164"/>
        <v>0</v>
      </c>
      <c r="H71" s="201">
        <f>-H57*$C$67</f>
        <v>-14634.678333333333</v>
      </c>
      <c r="I71" s="201">
        <f t="shared" ref="I71:Y71" si="165">-I57*$C$67</f>
        <v>-14634.678333333333</v>
      </c>
      <c r="J71" s="201">
        <f t="shared" si="165"/>
        <v>-14634.678333333333</v>
      </c>
      <c r="K71" s="201">
        <f t="shared" si="165"/>
        <v>-14634.678333333333</v>
      </c>
      <c r="L71" s="201">
        <f t="shared" si="165"/>
        <v>-14634.678333333333</v>
      </c>
      <c r="M71" s="201">
        <f t="shared" si="165"/>
        <v>-14634.678333333333</v>
      </c>
      <c r="N71" s="201">
        <f t="shared" si="165"/>
        <v>-14634.678333333333</v>
      </c>
      <c r="O71" s="201">
        <f>-O57*$C$67</f>
        <v>-14634.678333333333</v>
      </c>
      <c r="P71" s="201">
        <f t="shared" si="165"/>
        <v>-14634.678333333333</v>
      </c>
      <c r="Q71" s="201">
        <f t="shared" si="165"/>
        <v>-14634.678333333333</v>
      </c>
      <c r="R71" s="201">
        <f t="shared" si="165"/>
        <v>-14634.678333333333</v>
      </c>
      <c r="S71" s="201">
        <f t="shared" si="165"/>
        <v>-14634.678333333333</v>
      </c>
      <c r="T71" s="201">
        <f t="shared" si="165"/>
        <v>-14634.678333333333</v>
      </c>
      <c r="U71" s="201">
        <f t="shared" si="165"/>
        <v>-14634.678333333333</v>
      </c>
      <c r="V71" s="201">
        <f t="shared" si="165"/>
        <v>-14634.678333333333</v>
      </c>
      <c r="W71" s="201">
        <f t="shared" si="165"/>
        <v>-14634.678333333333</v>
      </c>
      <c r="X71" s="201">
        <f t="shared" si="165"/>
        <v>-14634.678333333333</v>
      </c>
      <c r="Y71" s="201">
        <f t="shared" si="165"/>
        <v>-14634.678333333333</v>
      </c>
      <c r="Z71" s="201">
        <f t="shared" ref="Z71" si="166">-Z57*LOOKUP($C54,$E52:$GQ52,$E67:$GQ67)</f>
        <v>0</v>
      </c>
      <c r="AA71" s="201"/>
      <c r="AB71" s="201"/>
      <c r="AC71" s="201"/>
      <c r="AD71" s="201"/>
      <c r="AE71" s="201"/>
      <c r="AF71" s="201"/>
      <c r="AG71" s="201"/>
      <c r="AH71" s="201"/>
      <c r="AI71" s="201"/>
      <c r="AJ71" s="201"/>
      <c r="AK71" s="201"/>
      <c r="AL71" s="201"/>
      <c r="AM71" s="201"/>
      <c r="AN71" s="201"/>
      <c r="AO71" s="201"/>
      <c r="AP71" s="201"/>
      <c r="AQ71" s="201"/>
      <c r="AR71" s="201"/>
      <c r="AS71" s="201"/>
      <c r="AT71" s="201"/>
      <c r="AU71" s="201"/>
      <c r="AV71" s="201"/>
      <c r="AW71" s="201"/>
      <c r="AX71" s="201"/>
      <c r="AY71" s="201"/>
      <c r="AZ71" s="201"/>
      <c r="BA71" s="201"/>
      <c r="BB71" s="201"/>
      <c r="BC71" s="201"/>
      <c r="BD71" s="201"/>
      <c r="BE71" s="201"/>
      <c r="BF71" s="201"/>
      <c r="BG71" s="201"/>
      <c r="BH71" s="201"/>
      <c r="BI71" s="201"/>
      <c r="BJ71" s="201"/>
      <c r="BK71" s="201"/>
      <c r="BL71" s="201"/>
      <c r="BM71" s="201"/>
      <c r="BN71" s="201"/>
      <c r="BO71" s="201"/>
      <c r="BP71" s="201"/>
      <c r="BQ71" s="201"/>
      <c r="BR71" s="201"/>
      <c r="BS71" s="201"/>
      <c r="BT71" s="201"/>
      <c r="BU71" s="201"/>
      <c r="BV71" s="201"/>
      <c r="BW71" s="201"/>
      <c r="BX71" s="201"/>
      <c r="BY71" s="201"/>
      <c r="BZ71" s="201"/>
      <c r="CA71" s="201"/>
      <c r="CB71" s="201"/>
      <c r="CC71" s="201"/>
      <c r="CD71" s="201"/>
      <c r="CE71" s="201"/>
      <c r="CF71" s="201"/>
      <c r="CG71" s="201"/>
      <c r="CH71" s="201"/>
      <c r="CI71" s="201"/>
      <c r="CJ71" s="201"/>
      <c r="CK71" s="201"/>
      <c r="CL71" s="201"/>
      <c r="CM71" s="201"/>
      <c r="CN71" s="201"/>
      <c r="CO71" s="201"/>
      <c r="CP71" s="201"/>
      <c r="CQ71" s="201"/>
      <c r="CR71" s="201"/>
      <c r="CS71" s="201"/>
      <c r="CT71" s="201"/>
      <c r="CU71" s="201"/>
      <c r="CV71" s="201"/>
      <c r="CW71" s="201"/>
      <c r="CX71" s="201"/>
      <c r="CY71" s="201"/>
      <c r="CZ71" s="201"/>
      <c r="DA71" s="201"/>
      <c r="DB71" s="201"/>
      <c r="DC71" s="201"/>
      <c r="DD71" s="201"/>
      <c r="DE71" s="201"/>
      <c r="DF71" s="201"/>
      <c r="DG71" s="201"/>
      <c r="DH71" s="201"/>
      <c r="DI71" s="201"/>
      <c r="DJ71" s="201"/>
      <c r="DK71" s="201"/>
      <c r="DL71" s="201"/>
      <c r="DM71" s="201"/>
      <c r="DN71" s="201"/>
      <c r="DO71" s="201"/>
      <c r="DP71" s="201"/>
      <c r="DQ71" s="201"/>
      <c r="DR71" s="201"/>
      <c r="DS71" s="201"/>
      <c r="DT71" s="201"/>
      <c r="DU71" s="201"/>
      <c r="DV71" s="201"/>
      <c r="DW71" s="201"/>
      <c r="DX71" s="201"/>
      <c r="DY71" s="201"/>
      <c r="DZ71" s="201"/>
      <c r="EA71" s="201"/>
      <c r="EB71" s="201"/>
      <c r="EC71" s="201"/>
      <c r="ED71" s="201"/>
      <c r="EE71" s="201"/>
      <c r="EF71" s="201"/>
      <c r="EG71" s="201"/>
      <c r="EH71" s="201"/>
      <c r="EI71" s="201"/>
      <c r="EJ71" s="201"/>
      <c r="EK71" s="201"/>
      <c r="EL71" s="201"/>
      <c r="EM71" s="201"/>
      <c r="EN71" s="201"/>
      <c r="EO71" s="201"/>
      <c r="EP71" s="201"/>
      <c r="EQ71" s="201"/>
      <c r="ER71" s="201"/>
      <c r="ES71" s="201"/>
      <c r="ET71" s="201"/>
      <c r="EU71" s="201"/>
      <c r="EV71" s="201"/>
      <c r="EW71" s="201"/>
      <c r="EX71" s="201"/>
      <c r="EY71" s="201"/>
      <c r="EZ71" s="201"/>
      <c r="FA71" s="201"/>
      <c r="FB71" s="201"/>
      <c r="FC71" s="201"/>
      <c r="FD71" s="201"/>
      <c r="FE71" s="201"/>
      <c r="FF71" s="201"/>
      <c r="FG71" s="201"/>
      <c r="FH71" s="201"/>
      <c r="FI71" s="201"/>
      <c r="FJ71" s="201"/>
      <c r="FK71" s="201"/>
      <c r="FL71" s="201"/>
      <c r="FM71" s="201"/>
      <c r="FN71" s="201"/>
      <c r="FO71" s="201"/>
      <c r="FP71" s="201"/>
      <c r="FQ71" s="201"/>
      <c r="FR71" s="201"/>
      <c r="FS71" s="201"/>
      <c r="FT71" s="201"/>
      <c r="FU71" s="201"/>
      <c r="FV71" s="201"/>
      <c r="FW71" s="201"/>
      <c r="FX71" s="201"/>
      <c r="FY71" s="201"/>
      <c r="FZ71" s="201"/>
      <c r="GA71" s="201"/>
      <c r="GB71" s="201"/>
      <c r="GC71" s="201"/>
      <c r="GD71" s="201"/>
      <c r="GE71" s="201"/>
      <c r="GF71" s="201"/>
      <c r="GG71" s="201"/>
      <c r="GH71" s="201"/>
      <c r="GI71" s="201"/>
      <c r="GJ71" s="201"/>
      <c r="GK71" s="201"/>
      <c r="GL71" s="201"/>
      <c r="GM71" s="201"/>
      <c r="GN71" s="201"/>
      <c r="GO71" s="201"/>
      <c r="GP71" s="201"/>
      <c r="GQ71" s="201"/>
    </row>
    <row r="72" spans="2:199" s="154" customFormat="1" hidden="1" outlineLevel="1">
      <c r="B72" s="190" t="s">
        <v>393</v>
      </c>
      <c r="C72" s="195"/>
      <c r="D72" s="188"/>
      <c r="E72" s="189">
        <v>159912</v>
      </c>
      <c r="F72" s="189">
        <f t="shared" ref="F72:K72" si="167">IF(SUM(F66:F71)&lt;0.00000001,ROUND(SUM(F66:F71),7),SUM(F66:F71))</f>
        <v>265413.70829424716</v>
      </c>
      <c r="G72" s="189">
        <f t="shared" si="167"/>
        <v>263424.21000000002</v>
      </c>
      <c r="H72" s="189">
        <f t="shared" si="167"/>
        <v>248789.53166666668</v>
      </c>
      <c r="I72" s="189">
        <f t="shared" si="167"/>
        <v>234154.85333333333</v>
      </c>
      <c r="J72" s="189">
        <f t="shared" si="167"/>
        <v>219520.17499999999</v>
      </c>
      <c r="K72" s="189">
        <f t="shared" si="167"/>
        <v>204885.49666666664</v>
      </c>
      <c r="L72" s="189">
        <f t="shared" ref="L72:Z72" si="168">IF(SUM(L66:L71)&lt;0.00000001,ROUND(SUM(L66:L71),7),SUM(L66:L71))</f>
        <v>190250.8183333333</v>
      </c>
      <c r="M72" s="189">
        <f t="shared" si="168"/>
        <v>175616.13999999996</v>
      </c>
      <c r="N72" s="189">
        <f t="shared" si="168"/>
        <v>160981.46166666661</v>
      </c>
      <c r="O72" s="189">
        <f t="shared" si="168"/>
        <v>146346.78333333327</v>
      </c>
      <c r="P72" s="189">
        <f t="shared" si="168"/>
        <v>131712.10499999992</v>
      </c>
      <c r="Q72" s="189">
        <f t="shared" si="168"/>
        <v>117077.42666666659</v>
      </c>
      <c r="R72" s="189">
        <f t="shared" si="168"/>
        <v>102442.74833333326</v>
      </c>
      <c r="S72" s="189">
        <f t="shared" si="168"/>
        <v>87808.069999999934</v>
      </c>
      <c r="T72" s="189">
        <f t="shared" si="168"/>
        <v>73173.391666666605</v>
      </c>
      <c r="U72" s="189">
        <f t="shared" si="168"/>
        <v>58538.713333333275</v>
      </c>
      <c r="V72" s="189">
        <f t="shared" si="168"/>
        <v>43904.034999999945</v>
      </c>
      <c r="W72" s="189">
        <f t="shared" si="168"/>
        <v>29269.356666666612</v>
      </c>
      <c r="X72" s="189">
        <f t="shared" si="168"/>
        <v>14634.678333333279</v>
      </c>
      <c r="Y72" s="189">
        <f t="shared" si="168"/>
        <v>0</v>
      </c>
      <c r="Z72" s="189">
        <f t="shared" si="168"/>
        <v>0</v>
      </c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189"/>
      <c r="AY72" s="189"/>
      <c r="AZ72" s="189"/>
      <c r="BA72" s="189"/>
      <c r="BB72" s="189"/>
      <c r="BC72" s="189"/>
      <c r="BD72" s="189"/>
      <c r="BE72" s="189"/>
      <c r="BF72" s="189"/>
      <c r="BG72" s="189"/>
      <c r="BH72" s="189"/>
      <c r="BI72" s="189"/>
      <c r="BJ72" s="189"/>
      <c r="BK72" s="189"/>
      <c r="BL72" s="189"/>
      <c r="BM72" s="189"/>
      <c r="BN72" s="189"/>
      <c r="BO72" s="189"/>
      <c r="BP72" s="189"/>
      <c r="BQ72" s="189"/>
      <c r="BR72" s="189"/>
      <c r="BS72" s="189"/>
      <c r="BT72" s="189"/>
      <c r="BU72" s="189"/>
      <c r="BV72" s="189"/>
      <c r="BW72" s="189"/>
      <c r="BX72" s="189"/>
      <c r="BY72" s="189"/>
      <c r="BZ72" s="189"/>
      <c r="CA72" s="189"/>
      <c r="CB72" s="189"/>
      <c r="CC72" s="189"/>
      <c r="CD72" s="189"/>
      <c r="CE72" s="189"/>
      <c r="CF72" s="189"/>
      <c r="CG72" s="189"/>
      <c r="CH72" s="189"/>
      <c r="CI72" s="189"/>
      <c r="CJ72" s="189"/>
      <c r="CK72" s="189"/>
      <c r="CL72" s="189"/>
      <c r="CM72" s="189"/>
      <c r="CN72" s="189"/>
      <c r="CO72" s="189"/>
      <c r="CP72" s="189"/>
      <c r="CQ72" s="189"/>
      <c r="CR72" s="189"/>
      <c r="CS72" s="189"/>
      <c r="CT72" s="189"/>
      <c r="CU72" s="189"/>
      <c r="CV72" s="189"/>
      <c r="CW72" s="189"/>
      <c r="CX72" s="189"/>
      <c r="CY72" s="189"/>
      <c r="CZ72" s="189"/>
      <c r="DA72" s="189"/>
      <c r="DB72" s="189"/>
      <c r="DC72" s="189"/>
      <c r="DD72" s="189"/>
      <c r="DE72" s="189"/>
      <c r="DF72" s="189"/>
      <c r="DG72" s="189"/>
      <c r="DH72" s="189"/>
      <c r="DI72" s="189"/>
      <c r="DJ72" s="189"/>
      <c r="DK72" s="189"/>
      <c r="DL72" s="189"/>
      <c r="DM72" s="189"/>
      <c r="DN72" s="189"/>
      <c r="DO72" s="189"/>
      <c r="DP72" s="189"/>
      <c r="DQ72" s="189"/>
      <c r="DR72" s="189"/>
      <c r="DS72" s="189"/>
      <c r="DT72" s="189"/>
      <c r="DU72" s="189"/>
      <c r="DV72" s="189"/>
      <c r="DW72" s="189"/>
      <c r="DX72" s="189"/>
      <c r="DY72" s="189"/>
      <c r="DZ72" s="189"/>
      <c r="EA72" s="189"/>
      <c r="EB72" s="189"/>
      <c r="EC72" s="189"/>
      <c r="ED72" s="189"/>
      <c r="EE72" s="189"/>
      <c r="EF72" s="189"/>
      <c r="EG72" s="189"/>
      <c r="EH72" s="189"/>
      <c r="EI72" s="189"/>
      <c r="EJ72" s="189"/>
      <c r="EK72" s="189"/>
      <c r="EL72" s="189"/>
      <c r="EM72" s="189"/>
      <c r="EN72" s="189"/>
      <c r="EO72" s="189"/>
      <c r="EP72" s="189"/>
      <c r="EQ72" s="189"/>
      <c r="ER72" s="189"/>
      <c r="ES72" s="189"/>
      <c r="ET72" s="189"/>
      <c r="EU72" s="189"/>
      <c r="EV72" s="189"/>
      <c r="EW72" s="189"/>
      <c r="EX72" s="189"/>
      <c r="EY72" s="189"/>
      <c r="EZ72" s="189"/>
      <c r="FA72" s="189"/>
      <c r="FB72" s="189"/>
      <c r="FC72" s="189"/>
      <c r="FD72" s="189"/>
      <c r="FE72" s="189"/>
      <c r="FF72" s="189"/>
      <c r="FG72" s="189"/>
      <c r="FH72" s="189"/>
      <c r="FI72" s="189"/>
      <c r="FJ72" s="189"/>
      <c r="FK72" s="189"/>
      <c r="FL72" s="189"/>
      <c r="FM72" s="189"/>
      <c r="FN72" s="189"/>
      <c r="FO72" s="189"/>
      <c r="FP72" s="189"/>
      <c r="FQ72" s="189"/>
      <c r="FR72" s="189"/>
      <c r="FS72" s="189"/>
      <c r="FT72" s="189"/>
      <c r="FU72" s="189"/>
      <c r="FV72" s="189"/>
      <c r="FW72" s="189"/>
      <c r="FX72" s="189"/>
      <c r="FY72" s="189"/>
      <c r="FZ72" s="189"/>
      <c r="GA72" s="189"/>
      <c r="GB72" s="189"/>
      <c r="GC72" s="189"/>
      <c r="GD72" s="189"/>
      <c r="GE72" s="189"/>
      <c r="GF72" s="189"/>
      <c r="GG72" s="189"/>
      <c r="GH72" s="189"/>
      <c r="GI72" s="189"/>
      <c r="GJ72" s="189"/>
      <c r="GK72" s="189"/>
      <c r="GL72" s="189"/>
      <c r="GM72" s="189"/>
      <c r="GN72" s="189"/>
      <c r="GO72" s="189"/>
      <c r="GP72" s="189"/>
      <c r="GQ72" s="189"/>
    </row>
    <row r="73" spans="2:199" hidden="1" outlineLevel="1">
      <c r="B73" s="196" t="s">
        <v>396</v>
      </c>
      <c r="C73" s="197"/>
      <c r="D73" s="198"/>
      <c r="E73" s="210">
        <f>(E69+D73+E70)*IF(AND(E52=$C57,$C63),0,1)</f>
        <v>0</v>
      </c>
      <c r="F73" s="210">
        <f>(F69+E73+F70)*IF(AND(F52=$C57,$C63),0,1)</f>
        <v>1989.4982942471547</v>
      </c>
      <c r="G73" s="210">
        <f t="shared" ref="G73:Z73" si="169">(G69+F73+G70)*IF(AND(G52=$C57,$C63),0,1)</f>
        <v>0</v>
      </c>
      <c r="H73" s="210">
        <f t="shared" si="169"/>
        <v>0</v>
      </c>
      <c r="I73" s="210">
        <f t="shared" si="169"/>
        <v>0</v>
      </c>
      <c r="J73" s="210">
        <f t="shared" si="169"/>
        <v>0</v>
      </c>
      <c r="K73" s="210">
        <f t="shared" si="169"/>
        <v>0</v>
      </c>
      <c r="L73" s="210">
        <f t="shared" si="169"/>
        <v>0</v>
      </c>
      <c r="M73" s="210">
        <f t="shared" si="169"/>
        <v>0</v>
      </c>
      <c r="N73" s="210">
        <f t="shared" si="169"/>
        <v>0</v>
      </c>
      <c r="O73" s="210">
        <f t="shared" si="169"/>
        <v>0</v>
      </c>
      <c r="P73" s="210">
        <f t="shared" si="169"/>
        <v>0</v>
      </c>
      <c r="Q73" s="210">
        <f t="shared" si="169"/>
        <v>0</v>
      </c>
      <c r="R73" s="210">
        <f t="shared" si="169"/>
        <v>0</v>
      </c>
      <c r="S73" s="210">
        <f t="shared" si="169"/>
        <v>0</v>
      </c>
      <c r="T73" s="210">
        <f t="shared" si="169"/>
        <v>0</v>
      </c>
      <c r="U73" s="210">
        <f t="shared" si="169"/>
        <v>0</v>
      </c>
      <c r="V73" s="210">
        <f t="shared" si="169"/>
        <v>0</v>
      </c>
      <c r="W73" s="210">
        <f t="shared" si="169"/>
        <v>0</v>
      </c>
      <c r="X73" s="210">
        <f t="shared" si="169"/>
        <v>0</v>
      </c>
      <c r="Y73" s="210">
        <f t="shared" si="169"/>
        <v>0</v>
      </c>
      <c r="Z73" s="210">
        <f t="shared" si="169"/>
        <v>0</v>
      </c>
      <c r="AA73" s="210"/>
      <c r="AB73" s="210"/>
      <c r="AC73" s="210"/>
      <c r="AD73" s="210"/>
      <c r="AE73" s="210"/>
      <c r="AF73" s="210"/>
      <c r="AG73" s="210"/>
      <c r="AH73" s="210"/>
      <c r="AI73" s="210"/>
      <c r="AJ73" s="210"/>
      <c r="AK73" s="210"/>
      <c r="AL73" s="210"/>
      <c r="AM73" s="210"/>
      <c r="AN73" s="210"/>
      <c r="AO73" s="210"/>
      <c r="AP73" s="210"/>
      <c r="AQ73" s="210"/>
      <c r="AR73" s="210"/>
      <c r="AS73" s="210"/>
      <c r="AT73" s="210"/>
      <c r="AU73" s="210"/>
      <c r="AV73" s="210"/>
      <c r="AW73" s="210"/>
      <c r="AX73" s="210"/>
      <c r="AY73" s="210"/>
      <c r="AZ73" s="210"/>
      <c r="BA73" s="210"/>
      <c r="BB73" s="210"/>
      <c r="BC73" s="210"/>
      <c r="BD73" s="210"/>
      <c r="BE73" s="210"/>
      <c r="BF73" s="210"/>
      <c r="BG73" s="210"/>
      <c r="BH73" s="210"/>
      <c r="BI73" s="210"/>
      <c r="BJ73" s="210"/>
      <c r="BK73" s="210"/>
      <c r="BL73" s="210"/>
      <c r="BM73" s="210"/>
      <c r="BN73" s="210"/>
      <c r="BO73" s="210"/>
      <c r="BP73" s="210"/>
      <c r="BQ73" s="210"/>
      <c r="BR73" s="210"/>
      <c r="BS73" s="210"/>
      <c r="BT73" s="210"/>
      <c r="BU73" s="210"/>
      <c r="BV73" s="210"/>
      <c r="BW73" s="210"/>
      <c r="BX73" s="210"/>
      <c r="BY73" s="210"/>
      <c r="BZ73" s="210"/>
      <c r="CA73" s="210"/>
      <c r="CB73" s="210"/>
      <c r="CC73" s="210"/>
      <c r="CD73" s="210"/>
      <c r="CE73" s="210"/>
      <c r="CF73" s="210"/>
      <c r="CG73" s="210"/>
      <c r="CH73" s="210"/>
      <c r="CI73" s="210"/>
      <c r="CJ73" s="210"/>
      <c r="CK73" s="210"/>
      <c r="CL73" s="210"/>
      <c r="CM73" s="210"/>
      <c r="CN73" s="210"/>
      <c r="CO73" s="210"/>
      <c r="CP73" s="210"/>
      <c r="CQ73" s="210"/>
      <c r="CR73" s="210"/>
      <c r="CS73" s="210"/>
      <c r="CT73" s="210"/>
      <c r="CU73" s="210"/>
      <c r="CV73" s="210"/>
      <c r="CW73" s="210"/>
      <c r="CX73" s="210"/>
      <c r="CY73" s="210"/>
      <c r="CZ73" s="210"/>
      <c r="DA73" s="210"/>
      <c r="DB73" s="210"/>
      <c r="DC73" s="210"/>
      <c r="DD73" s="210"/>
      <c r="DE73" s="210"/>
      <c r="DF73" s="210"/>
      <c r="DG73" s="210"/>
      <c r="DH73" s="210"/>
      <c r="DI73" s="210"/>
      <c r="DJ73" s="210"/>
      <c r="DK73" s="210"/>
      <c r="DL73" s="210"/>
      <c r="DM73" s="210"/>
      <c r="DN73" s="210"/>
      <c r="DO73" s="210"/>
      <c r="DP73" s="210"/>
      <c r="DQ73" s="210"/>
      <c r="DR73" s="210"/>
      <c r="DS73" s="210"/>
      <c r="DT73" s="210"/>
      <c r="DU73" s="210"/>
      <c r="DV73" s="210"/>
      <c r="DW73" s="210"/>
      <c r="DX73" s="210"/>
      <c r="DY73" s="210"/>
      <c r="DZ73" s="210"/>
      <c r="EA73" s="210"/>
      <c r="EB73" s="210"/>
      <c r="EC73" s="210"/>
      <c r="ED73" s="210"/>
      <c r="EE73" s="210"/>
      <c r="EF73" s="210"/>
      <c r="EG73" s="210"/>
      <c r="EH73" s="210"/>
      <c r="EI73" s="210"/>
      <c r="EJ73" s="210"/>
      <c r="EK73" s="210"/>
      <c r="EL73" s="210"/>
      <c r="EM73" s="210"/>
      <c r="EN73" s="210"/>
      <c r="EO73" s="210"/>
      <c r="EP73" s="210"/>
      <c r="EQ73" s="210"/>
      <c r="ER73" s="210"/>
      <c r="ES73" s="210"/>
      <c r="ET73" s="210"/>
      <c r="EU73" s="210"/>
      <c r="EV73" s="210"/>
      <c r="EW73" s="210"/>
      <c r="EX73" s="210"/>
      <c r="EY73" s="210"/>
      <c r="EZ73" s="210"/>
      <c r="FA73" s="210"/>
      <c r="FB73" s="210"/>
      <c r="FC73" s="210"/>
      <c r="FD73" s="210"/>
      <c r="FE73" s="210"/>
      <c r="FF73" s="210"/>
      <c r="FG73" s="210"/>
      <c r="FH73" s="210"/>
      <c r="FI73" s="210"/>
      <c r="FJ73" s="210"/>
      <c r="FK73" s="210"/>
      <c r="FL73" s="210"/>
      <c r="FM73" s="210"/>
      <c r="FN73" s="210"/>
      <c r="FO73" s="210"/>
      <c r="FP73" s="210"/>
      <c r="FQ73" s="210"/>
      <c r="FR73" s="210"/>
      <c r="FS73" s="210"/>
      <c r="FT73" s="210"/>
      <c r="FU73" s="210"/>
      <c r="FV73" s="210"/>
      <c r="FW73" s="210"/>
      <c r="FX73" s="210"/>
      <c r="FY73" s="210"/>
      <c r="FZ73" s="210"/>
      <c r="GA73" s="210"/>
      <c r="GB73" s="210"/>
      <c r="GC73" s="210"/>
      <c r="GD73" s="210"/>
      <c r="GE73" s="210"/>
      <c r="GF73" s="210"/>
      <c r="GG73" s="210"/>
      <c r="GH73" s="210"/>
      <c r="GI73" s="210"/>
      <c r="GJ73" s="210"/>
      <c r="GK73" s="210"/>
      <c r="GL73" s="210"/>
      <c r="GM73" s="210"/>
      <c r="GN73" s="210"/>
      <c r="GO73" s="210"/>
      <c r="GP73" s="210"/>
      <c r="GQ73" s="210"/>
    </row>
    <row r="74" spans="2:199" hidden="1" outlineLevel="1">
      <c r="B74" s="183"/>
      <c r="C74" s="169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  <c r="AX74" s="171"/>
      <c r="AY74" s="171"/>
      <c r="AZ74" s="171"/>
      <c r="BA74" s="171"/>
      <c r="BB74" s="171"/>
      <c r="BC74" s="171"/>
      <c r="BD74" s="171"/>
      <c r="BE74" s="171"/>
      <c r="BF74" s="171"/>
      <c r="BG74" s="171"/>
      <c r="BH74" s="171"/>
      <c r="BI74" s="171"/>
      <c r="BJ74" s="171"/>
      <c r="BK74" s="171"/>
      <c r="BL74" s="171"/>
      <c r="BM74" s="171"/>
      <c r="BN74" s="171"/>
      <c r="BO74" s="171"/>
      <c r="BP74" s="171"/>
      <c r="BQ74" s="171"/>
      <c r="BR74" s="171"/>
      <c r="BS74" s="171"/>
      <c r="BT74" s="171"/>
      <c r="BU74" s="171"/>
      <c r="BV74" s="171"/>
      <c r="BW74" s="171"/>
      <c r="BX74" s="171"/>
      <c r="BY74" s="171"/>
      <c r="BZ74" s="171"/>
      <c r="CA74" s="171"/>
      <c r="CB74" s="171"/>
      <c r="CC74" s="171"/>
      <c r="CD74" s="171"/>
      <c r="CE74" s="171"/>
      <c r="CF74" s="171"/>
      <c r="CG74" s="171"/>
      <c r="CH74" s="171"/>
      <c r="CI74" s="171"/>
      <c r="CJ74" s="171"/>
      <c r="CK74" s="171"/>
      <c r="CL74" s="171"/>
      <c r="CM74" s="171"/>
      <c r="CN74" s="171"/>
      <c r="CO74" s="171"/>
      <c r="CP74" s="171"/>
      <c r="CQ74" s="171"/>
      <c r="CR74" s="171"/>
      <c r="CS74" s="171"/>
      <c r="CT74" s="171"/>
      <c r="CU74" s="171"/>
      <c r="CV74" s="171"/>
      <c r="CW74" s="171"/>
      <c r="CX74" s="171"/>
      <c r="CY74" s="171"/>
      <c r="CZ74" s="171"/>
      <c r="DA74" s="171"/>
      <c r="DB74" s="171"/>
      <c r="DC74" s="171"/>
      <c r="DD74" s="171"/>
      <c r="DE74" s="171"/>
      <c r="DF74" s="171"/>
      <c r="DG74" s="171"/>
      <c r="DH74" s="171"/>
      <c r="DI74" s="171"/>
      <c r="DJ74" s="171"/>
      <c r="DK74" s="171"/>
      <c r="DL74" s="171"/>
      <c r="DM74" s="171"/>
      <c r="DN74" s="171"/>
      <c r="DO74" s="171"/>
      <c r="DP74" s="171"/>
      <c r="DQ74" s="171"/>
      <c r="DR74" s="171"/>
      <c r="DS74" s="171"/>
      <c r="DT74" s="171"/>
      <c r="DU74" s="171"/>
      <c r="DV74" s="171"/>
      <c r="DW74" s="171"/>
      <c r="DX74" s="171"/>
      <c r="DY74" s="171"/>
      <c r="DZ74" s="171"/>
      <c r="EA74" s="171"/>
      <c r="EB74" s="171"/>
      <c r="EC74" s="171"/>
      <c r="ED74" s="171"/>
      <c r="EE74" s="171"/>
      <c r="EF74" s="171"/>
      <c r="EG74" s="171"/>
      <c r="EH74" s="171"/>
      <c r="EI74" s="171"/>
      <c r="EJ74" s="171"/>
      <c r="EK74" s="171"/>
      <c r="EL74" s="171"/>
      <c r="EM74" s="171"/>
      <c r="EN74" s="171"/>
      <c r="EO74" s="171"/>
      <c r="EP74" s="171"/>
      <c r="EQ74" s="171"/>
      <c r="ER74" s="171"/>
      <c r="ES74" s="171"/>
      <c r="ET74" s="171"/>
      <c r="EU74" s="171"/>
      <c r="EV74" s="171"/>
      <c r="EW74" s="171"/>
      <c r="EX74" s="171"/>
      <c r="EY74" s="171"/>
      <c r="EZ74" s="171"/>
      <c r="FA74" s="171"/>
      <c r="FB74" s="171"/>
      <c r="FC74" s="171"/>
      <c r="FD74" s="171"/>
      <c r="FE74" s="171"/>
      <c r="FF74" s="171"/>
      <c r="FG74" s="171"/>
      <c r="FH74" s="171"/>
      <c r="FI74" s="171"/>
      <c r="FJ74" s="171"/>
      <c r="FK74" s="171"/>
      <c r="FL74" s="171"/>
      <c r="FM74" s="171"/>
      <c r="FN74" s="171"/>
      <c r="FO74" s="171"/>
      <c r="FP74" s="171"/>
      <c r="FQ74" s="171"/>
      <c r="FR74" s="171"/>
      <c r="FS74" s="171"/>
      <c r="FT74" s="171"/>
      <c r="FU74" s="171"/>
      <c r="FV74" s="171"/>
      <c r="FW74" s="171"/>
      <c r="FX74" s="171"/>
      <c r="FY74" s="171"/>
      <c r="FZ74" s="171"/>
      <c r="GA74" s="171"/>
      <c r="GB74" s="171"/>
      <c r="GC74" s="171"/>
      <c r="GD74" s="171"/>
      <c r="GE74" s="171"/>
      <c r="GF74" s="171"/>
      <c r="GG74" s="171"/>
      <c r="GH74" s="171"/>
      <c r="GI74" s="171"/>
      <c r="GJ74" s="171"/>
      <c r="GK74" s="171"/>
      <c r="GL74" s="171"/>
      <c r="GM74" s="171"/>
      <c r="GN74" s="171"/>
      <c r="GO74" s="171"/>
      <c r="GP74" s="171"/>
      <c r="GQ74" s="171"/>
    </row>
    <row r="75" spans="2:199" hidden="1" outlineLevel="1">
      <c r="B75" s="182" t="s">
        <v>397</v>
      </c>
      <c r="C75" s="158"/>
      <c r="D75" s="171"/>
      <c r="E75" s="172">
        <f t="shared" ref="E75" si="170">E71+E70</f>
        <v>0</v>
      </c>
      <c r="F75" s="172">
        <f t="shared" ref="F75:K75" si="171">F71+F70</f>
        <v>0</v>
      </c>
      <c r="G75" s="172">
        <f t="shared" si="171"/>
        <v>-4384.5180702171656</v>
      </c>
      <c r="H75" s="172">
        <f t="shared" si="171"/>
        <v>-17109.053172402517</v>
      </c>
      <c r="I75" s="172">
        <f t="shared" si="171"/>
        <v>-16971.587903565338</v>
      </c>
      <c r="J75" s="172">
        <f t="shared" si="171"/>
        <v>-16764.796187100546</v>
      </c>
      <c r="K75" s="172">
        <f t="shared" si="171"/>
        <v>-16631.663821240094</v>
      </c>
      <c r="L75" s="172">
        <f t="shared" ref="L75:Z75" si="172">L71+L70</f>
        <v>-16460.789682488317</v>
      </c>
      <c r="M75" s="172">
        <f t="shared" si="172"/>
        <v>-16328.891381884974</v>
      </c>
      <c r="N75" s="172">
        <f t="shared" si="172"/>
        <v>-16198.567301227155</v>
      </c>
      <c r="O75" s="172">
        <f t="shared" si="172"/>
        <v>-16068.243220569337</v>
      </c>
      <c r="P75" s="172">
        <f t="shared" si="172"/>
        <v>-15910.904212997775</v>
      </c>
      <c r="Q75" s="172">
        <f t="shared" si="172"/>
        <v>-15783.281625031332</v>
      </c>
      <c r="R75" s="172">
        <f t="shared" si="172"/>
        <v>-15655.659037064888</v>
      </c>
      <c r="S75" s="172">
        <f t="shared" si="172"/>
        <v>-15528.036449098443</v>
      </c>
      <c r="T75" s="172">
        <f t="shared" si="172"/>
        <v>-15400.413861132</v>
      </c>
      <c r="U75" s="172">
        <f t="shared" si="172"/>
        <v>-15258.692025255548</v>
      </c>
      <c r="V75" s="172">
        <f t="shared" si="172"/>
        <v>-15133.889286871105</v>
      </c>
      <c r="W75" s="172">
        <f t="shared" si="172"/>
        <v>-15009.086548486661</v>
      </c>
      <c r="X75" s="172">
        <f t="shared" si="172"/>
        <v>-14884.283810102219</v>
      </c>
      <c r="Y75" s="172">
        <f t="shared" si="172"/>
        <v>-14759.481071717775</v>
      </c>
      <c r="Z75" s="172">
        <f t="shared" si="172"/>
        <v>0</v>
      </c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  <c r="BI75" s="172"/>
      <c r="BJ75" s="172"/>
      <c r="BK75" s="172"/>
      <c r="BL75" s="172"/>
      <c r="BM75" s="172"/>
      <c r="BN75" s="172"/>
      <c r="BO75" s="172"/>
      <c r="BP75" s="172"/>
      <c r="BQ75" s="172"/>
      <c r="BR75" s="172"/>
      <c r="BS75" s="172"/>
      <c r="BT75" s="172"/>
      <c r="BU75" s="172"/>
      <c r="BV75" s="172"/>
      <c r="BW75" s="172"/>
      <c r="BX75" s="172"/>
      <c r="BY75" s="172"/>
      <c r="BZ75" s="172"/>
      <c r="CA75" s="172"/>
      <c r="CB75" s="172"/>
      <c r="CC75" s="172"/>
      <c r="CD75" s="172"/>
      <c r="CE75" s="172"/>
      <c r="CF75" s="172"/>
      <c r="CG75" s="172"/>
      <c r="CH75" s="172"/>
      <c r="CI75" s="172"/>
      <c r="CJ75" s="172"/>
      <c r="CK75" s="172"/>
      <c r="CL75" s="172"/>
      <c r="CM75" s="172"/>
      <c r="CN75" s="172"/>
      <c r="CO75" s="172"/>
      <c r="CP75" s="172"/>
      <c r="CQ75" s="172"/>
      <c r="CR75" s="172"/>
      <c r="CS75" s="172"/>
      <c r="CT75" s="172"/>
      <c r="CU75" s="172"/>
      <c r="CV75" s="172"/>
      <c r="CW75" s="172"/>
      <c r="CX75" s="172"/>
      <c r="CY75" s="172"/>
      <c r="CZ75" s="172"/>
      <c r="DA75" s="172"/>
      <c r="DB75" s="172"/>
      <c r="DC75" s="172"/>
      <c r="DD75" s="172"/>
      <c r="DE75" s="172"/>
      <c r="DF75" s="172"/>
      <c r="DG75" s="172"/>
      <c r="DH75" s="172"/>
      <c r="DI75" s="172"/>
      <c r="DJ75" s="172"/>
      <c r="DK75" s="172"/>
      <c r="DL75" s="172"/>
      <c r="DM75" s="172"/>
      <c r="DN75" s="172"/>
      <c r="DO75" s="172"/>
      <c r="DP75" s="172"/>
      <c r="DQ75" s="172"/>
      <c r="DR75" s="172"/>
      <c r="DS75" s="172"/>
      <c r="DT75" s="172"/>
      <c r="DU75" s="172"/>
      <c r="DV75" s="172"/>
      <c r="DW75" s="172"/>
      <c r="DX75" s="172"/>
      <c r="DY75" s="172"/>
      <c r="DZ75" s="172"/>
      <c r="EA75" s="172"/>
      <c r="EB75" s="172"/>
      <c r="EC75" s="172"/>
      <c r="ED75" s="172"/>
      <c r="EE75" s="172"/>
      <c r="EF75" s="172"/>
      <c r="EG75" s="172"/>
      <c r="EH75" s="172"/>
      <c r="EI75" s="172"/>
      <c r="EJ75" s="172"/>
      <c r="EK75" s="172"/>
      <c r="EL75" s="172"/>
      <c r="EM75" s="172"/>
      <c r="EN75" s="172"/>
      <c r="EO75" s="172"/>
      <c r="EP75" s="172"/>
      <c r="EQ75" s="172"/>
      <c r="ER75" s="172"/>
      <c r="ES75" s="172"/>
      <c r="ET75" s="172"/>
      <c r="EU75" s="172"/>
      <c r="EV75" s="172"/>
      <c r="EW75" s="172"/>
      <c r="EX75" s="172"/>
      <c r="EY75" s="172"/>
      <c r="EZ75" s="172"/>
      <c r="FA75" s="172"/>
      <c r="FB75" s="172"/>
      <c r="FC75" s="172"/>
      <c r="FD75" s="172"/>
      <c r="FE75" s="172"/>
      <c r="FF75" s="172"/>
      <c r="FG75" s="172"/>
      <c r="FH75" s="172"/>
      <c r="FI75" s="172"/>
      <c r="FJ75" s="172"/>
      <c r="FK75" s="172"/>
      <c r="FL75" s="172"/>
      <c r="FM75" s="172"/>
      <c r="FN75" s="172"/>
      <c r="FO75" s="172"/>
      <c r="FP75" s="172"/>
      <c r="FQ75" s="172"/>
      <c r="FR75" s="172"/>
      <c r="FS75" s="172"/>
      <c r="FT75" s="172"/>
      <c r="FU75" s="172"/>
      <c r="FV75" s="172"/>
      <c r="FW75" s="172"/>
      <c r="FX75" s="172"/>
      <c r="FY75" s="172"/>
      <c r="FZ75" s="172"/>
      <c r="GA75" s="172"/>
      <c r="GB75" s="172"/>
      <c r="GC75" s="172"/>
      <c r="GD75" s="172"/>
      <c r="GE75" s="172"/>
      <c r="GF75" s="172"/>
      <c r="GG75" s="172"/>
      <c r="GH75" s="172"/>
      <c r="GI75" s="172"/>
      <c r="GJ75" s="172"/>
      <c r="GK75" s="172"/>
      <c r="GL75" s="172"/>
      <c r="GM75" s="172"/>
      <c r="GN75" s="172"/>
      <c r="GO75" s="172"/>
      <c r="GP75" s="172"/>
      <c r="GQ75" s="172"/>
    </row>
    <row r="76" spans="2:199" hidden="1" outlineLevel="1">
      <c r="B76" s="182" t="s">
        <v>417</v>
      </c>
      <c r="C76" s="154">
        <v>1</v>
      </c>
      <c r="D76" s="168"/>
      <c r="E76" s="213">
        <f>IF(E52&gt;=$C54,1+E59,1)</f>
        <v>1</v>
      </c>
      <c r="F76" s="213">
        <f t="shared" ref="F76:K76" si="173">IF(F52&gt;=$C54,1+F59,1)</f>
        <v>1</v>
      </c>
      <c r="G76" s="213">
        <f t="shared" si="173"/>
        <v>1</v>
      </c>
      <c r="H76" s="213">
        <f t="shared" si="173"/>
        <v>1</v>
      </c>
      <c r="I76" s="213">
        <f t="shared" si="173"/>
        <v>1</v>
      </c>
      <c r="J76" s="213">
        <f t="shared" si="173"/>
        <v>1</v>
      </c>
      <c r="K76" s="213">
        <f t="shared" si="173"/>
        <v>1</v>
      </c>
      <c r="L76" s="213">
        <f t="shared" ref="L76:Z76" si="174">IF(L52&gt;=$C54,1+L59,1)</f>
        <v>1</v>
      </c>
      <c r="M76" s="213">
        <f t="shared" si="174"/>
        <v>1</v>
      </c>
      <c r="N76" s="213">
        <f t="shared" si="174"/>
        <v>1</v>
      </c>
      <c r="O76" s="213">
        <f t="shared" si="174"/>
        <v>1</v>
      </c>
      <c r="P76" s="213">
        <f t="shared" si="174"/>
        <v>1</v>
      </c>
      <c r="Q76" s="213">
        <f t="shared" si="174"/>
        <v>1</v>
      </c>
      <c r="R76" s="213">
        <f t="shared" si="174"/>
        <v>1</v>
      </c>
      <c r="S76" s="213">
        <f t="shared" si="174"/>
        <v>1</v>
      </c>
      <c r="T76" s="213">
        <f t="shared" si="174"/>
        <v>1</v>
      </c>
      <c r="U76" s="213">
        <f t="shared" si="174"/>
        <v>1</v>
      </c>
      <c r="V76" s="213">
        <f t="shared" si="174"/>
        <v>1</v>
      </c>
      <c r="W76" s="213">
        <f t="shared" si="174"/>
        <v>1</v>
      </c>
      <c r="X76" s="213">
        <f t="shared" si="174"/>
        <v>1</v>
      </c>
      <c r="Y76" s="213">
        <f t="shared" si="174"/>
        <v>1</v>
      </c>
      <c r="Z76" s="213">
        <f t="shared" si="174"/>
        <v>1</v>
      </c>
      <c r="AA76" s="213"/>
      <c r="AB76" s="213"/>
      <c r="AC76" s="213"/>
      <c r="AD76" s="213"/>
      <c r="AE76" s="213"/>
      <c r="AF76" s="213"/>
      <c r="AG76" s="213"/>
      <c r="AH76" s="213"/>
      <c r="AI76" s="213"/>
      <c r="AJ76" s="213"/>
      <c r="AK76" s="213"/>
      <c r="AL76" s="213"/>
      <c r="AM76" s="213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13"/>
      <c r="BC76" s="213"/>
      <c r="BD76" s="213"/>
      <c r="BE76" s="213"/>
      <c r="BF76" s="213"/>
      <c r="BG76" s="213"/>
      <c r="BH76" s="213"/>
      <c r="BI76" s="213"/>
      <c r="BJ76" s="213"/>
      <c r="BK76" s="213"/>
      <c r="BL76" s="213"/>
      <c r="BM76" s="213"/>
      <c r="BN76" s="213"/>
      <c r="BO76" s="213"/>
      <c r="BP76" s="213"/>
      <c r="BQ76" s="213"/>
      <c r="BR76" s="213"/>
      <c r="BS76" s="213"/>
      <c r="BT76" s="213"/>
      <c r="BU76" s="213"/>
      <c r="BV76" s="213"/>
      <c r="BW76" s="213"/>
      <c r="BX76" s="213"/>
      <c r="BY76" s="213"/>
      <c r="BZ76" s="213"/>
      <c r="CA76" s="213"/>
      <c r="CB76" s="213"/>
      <c r="CC76" s="213"/>
      <c r="CD76" s="213"/>
      <c r="CE76" s="213"/>
      <c r="CF76" s="213"/>
      <c r="CG76" s="213"/>
      <c r="CH76" s="213"/>
      <c r="CI76" s="213"/>
      <c r="CJ76" s="213"/>
      <c r="CK76" s="213"/>
      <c r="CL76" s="213"/>
      <c r="CM76" s="213"/>
      <c r="CN76" s="213"/>
      <c r="CO76" s="213"/>
      <c r="CP76" s="213"/>
      <c r="CQ76" s="213"/>
      <c r="CR76" s="213"/>
      <c r="CS76" s="213"/>
      <c r="CT76" s="213"/>
      <c r="CU76" s="213"/>
      <c r="CV76" s="213"/>
      <c r="CW76" s="213"/>
      <c r="CX76" s="213"/>
      <c r="CY76" s="213"/>
      <c r="CZ76" s="213"/>
      <c r="DA76" s="213"/>
      <c r="DB76" s="213"/>
      <c r="DC76" s="213"/>
      <c r="DD76" s="213"/>
      <c r="DE76" s="213"/>
      <c r="DF76" s="213"/>
      <c r="DG76" s="213"/>
      <c r="DH76" s="213"/>
      <c r="DI76" s="213"/>
      <c r="DJ76" s="213"/>
      <c r="DK76" s="213"/>
      <c r="DL76" s="213"/>
      <c r="DM76" s="213"/>
      <c r="DN76" s="213"/>
      <c r="DO76" s="213"/>
      <c r="DP76" s="213"/>
      <c r="DQ76" s="213"/>
      <c r="DR76" s="213"/>
      <c r="DS76" s="213"/>
      <c r="DT76" s="213"/>
      <c r="DU76" s="213"/>
      <c r="DV76" s="213"/>
      <c r="DW76" s="213"/>
      <c r="DX76" s="213"/>
      <c r="DY76" s="213"/>
      <c r="DZ76" s="213"/>
      <c r="EA76" s="213"/>
      <c r="EB76" s="213"/>
      <c r="EC76" s="213"/>
      <c r="ED76" s="213"/>
      <c r="EE76" s="213"/>
      <c r="EF76" s="213"/>
      <c r="EG76" s="213"/>
      <c r="EH76" s="213"/>
      <c r="EI76" s="213"/>
      <c r="EJ76" s="213"/>
      <c r="EK76" s="213"/>
      <c r="EL76" s="213"/>
      <c r="EM76" s="213"/>
      <c r="EN76" s="213"/>
      <c r="EO76" s="213"/>
      <c r="EP76" s="213"/>
      <c r="EQ76" s="213"/>
      <c r="ER76" s="213"/>
      <c r="ES76" s="213"/>
      <c r="ET76" s="213"/>
      <c r="EU76" s="213"/>
      <c r="EV76" s="213"/>
      <c r="EW76" s="213"/>
      <c r="EX76" s="213"/>
      <c r="EY76" s="213"/>
      <c r="EZ76" s="213"/>
      <c r="FA76" s="213"/>
      <c r="FB76" s="213"/>
      <c r="FC76" s="213"/>
      <c r="FD76" s="213"/>
      <c r="FE76" s="213"/>
      <c r="FF76" s="213"/>
      <c r="FG76" s="213"/>
      <c r="FH76" s="213"/>
      <c r="FI76" s="213"/>
      <c r="FJ76" s="213"/>
      <c r="FK76" s="213"/>
      <c r="FL76" s="213"/>
      <c r="FM76" s="213"/>
      <c r="FN76" s="213"/>
      <c r="FO76" s="213"/>
      <c r="FP76" s="213"/>
      <c r="FQ76" s="213"/>
      <c r="FR76" s="213"/>
      <c r="FS76" s="213"/>
      <c r="FT76" s="213"/>
      <c r="FU76" s="213"/>
      <c r="FV76" s="213"/>
      <c r="FW76" s="213"/>
      <c r="FX76" s="213"/>
      <c r="FY76" s="213"/>
      <c r="FZ76" s="213"/>
      <c r="GA76" s="213"/>
      <c r="GB76" s="213"/>
      <c r="GC76" s="213"/>
      <c r="GD76" s="213"/>
      <c r="GE76" s="213"/>
      <c r="GF76" s="213"/>
      <c r="GG76" s="213"/>
      <c r="GH76" s="213"/>
      <c r="GI76" s="213"/>
      <c r="GJ76" s="213"/>
      <c r="GK76" s="213"/>
      <c r="GL76" s="213"/>
      <c r="GM76" s="213"/>
      <c r="GN76" s="213"/>
      <c r="GO76" s="213"/>
      <c r="GP76" s="213"/>
      <c r="GQ76" s="213"/>
    </row>
    <row r="77" spans="2:199" hidden="1" outlineLevel="1">
      <c r="B77" s="182" t="s">
        <v>416</v>
      </c>
      <c r="C77" s="161">
        <v>1</v>
      </c>
      <c r="D77" s="168"/>
      <c r="E77" s="213">
        <f>C77*E76</f>
        <v>1</v>
      </c>
      <c r="F77" s="213">
        <f t="shared" ref="F77:K77" si="175">D77*F76</f>
        <v>0</v>
      </c>
      <c r="G77" s="213">
        <f t="shared" si="175"/>
        <v>1</v>
      </c>
      <c r="H77" s="213">
        <f t="shared" si="175"/>
        <v>0</v>
      </c>
      <c r="I77" s="213">
        <f t="shared" si="175"/>
        <v>1</v>
      </c>
      <c r="J77" s="213">
        <f t="shared" si="175"/>
        <v>0</v>
      </c>
      <c r="K77" s="213">
        <f t="shared" si="175"/>
        <v>1</v>
      </c>
      <c r="L77" s="213">
        <f t="shared" ref="L77" si="176">J77*L76</f>
        <v>0</v>
      </c>
      <c r="M77" s="213">
        <f t="shared" ref="M77" si="177">K77*M76</f>
        <v>1</v>
      </c>
      <c r="N77" s="213">
        <f t="shared" ref="N77" si="178">L77*N76</f>
        <v>0</v>
      </c>
      <c r="O77" s="213">
        <f t="shared" ref="O77" si="179">M77*O76</f>
        <v>1</v>
      </c>
      <c r="P77" s="213">
        <f t="shared" ref="P77:Q77" si="180">N77*P76</f>
        <v>0</v>
      </c>
      <c r="Q77" s="213">
        <f t="shared" si="180"/>
        <v>1</v>
      </c>
      <c r="R77" s="213">
        <f t="shared" ref="R77" si="181">P77*R76</f>
        <v>0</v>
      </c>
      <c r="S77" s="213">
        <f t="shared" ref="S77" si="182">Q77*S76</f>
        <v>1</v>
      </c>
      <c r="T77" s="213">
        <f t="shared" ref="T77" si="183">R77*T76</f>
        <v>0</v>
      </c>
      <c r="U77" s="213">
        <f t="shared" ref="U77" si="184">S77*U76</f>
        <v>1</v>
      </c>
      <c r="V77" s="213">
        <f t="shared" ref="V77:W77" si="185">T77*V76</f>
        <v>0</v>
      </c>
      <c r="W77" s="213">
        <f t="shared" si="185"/>
        <v>1</v>
      </c>
      <c r="X77" s="213">
        <f t="shared" ref="X77" si="186">V77*X76</f>
        <v>0</v>
      </c>
      <c r="Y77" s="213">
        <f t="shared" ref="Y77" si="187">W77*Y76</f>
        <v>1</v>
      </c>
      <c r="Z77" s="213">
        <f t="shared" ref="Z77" si="188">X77*Z76</f>
        <v>0</v>
      </c>
      <c r="AA77" s="213"/>
      <c r="AB77" s="213"/>
      <c r="AC77" s="213"/>
      <c r="AD77" s="213"/>
      <c r="AE77" s="213"/>
      <c r="AF77" s="213"/>
      <c r="AG77" s="213"/>
      <c r="AH77" s="213"/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  <c r="BC77" s="213"/>
      <c r="BD77" s="213"/>
      <c r="BE77" s="213"/>
      <c r="BF77" s="213"/>
      <c r="BG77" s="213"/>
      <c r="BH77" s="213"/>
      <c r="BI77" s="213"/>
      <c r="BJ77" s="213"/>
      <c r="BK77" s="213"/>
      <c r="BL77" s="213"/>
      <c r="BM77" s="213"/>
      <c r="BN77" s="213"/>
      <c r="BO77" s="213"/>
      <c r="BP77" s="213"/>
      <c r="BQ77" s="213"/>
      <c r="BR77" s="213"/>
      <c r="BS77" s="213"/>
      <c r="BT77" s="213"/>
      <c r="BU77" s="213"/>
      <c r="BV77" s="213"/>
      <c r="BW77" s="213"/>
      <c r="BX77" s="213"/>
      <c r="BY77" s="213"/>
      <c r="BZ77" s="213"/>
      <c r="CA77" s="213"/>
      <c r="CB77" s="213"/>
      <c r="CC77" s="213"/>
      <c r="CD77" s="213"/>
      <c r="CE77" s="213"/>
      <c r="CF77" s="213"/>
      <c r="CG77" s="213"/>
      <c r="CH77" s="213"/>
      <c r="CI77" s="213"/>
      <c r="CJ77" s="213"/>
      <c r="CK77" s="213"/>
      <c r="CL77" s="213"/>
      <c r="CM77" s="213"/>
      <c r="CN77" s="213"/>
      <c r="CO77" s="213"/>
      <c r="CP77" s="213"/>
      <c r="CQ77" s="213"/>
      <c r="CR77" s="213"/>
      <c r="CS77" s="213"/>
      <c r="CT77" s="213"/>
      <c r="CU77" s="213"/>
      <c r="CV77" s="213"/>
      <c r="CW77" s="213"/>
      <c r="CX77" s="213"/>
      <c r="CY77" s="213"/>
      <c r="CZ77" s="213"/>
      <c r="DA77" s="213"/>
      <c r="DB77" s="213"/>
      <c r="DC77" s="213"/>
      <c r="DD77" s="213"/>
      <c r="DE77" s="213"/>
      <c r="DF77" s="213"/>
      <c r="DG77" s="213"/>
      <c r="DH77" s="213"/>
      <c r="DI77" s="213"/>
      <c r="DJ77" s="213"/>
      <c r="DK77" s="213"/>
      <c r="DL77" s="213"/>
      <c r="DM77" s="213"/>
      <c r="DN77" s="213"/>
      <c r="DO77" s="213"/>
      <c r="DP77" s="213"/>
      <c r="DQ77" s="213"/>
      <c r="DR77" s="213"/>
      <c r="DS77" s="213"/>
      <c r="DT77" s="213"/>
      <c r="DU77" s="213"/>
      <c r="DV77" s="213"/>
      <c r="DW77" s="213"/>
      <c r="DX77" s="213"/>
      <c r="DY77" s="213"/>
      <c r="DZ77" s="213"/>
      <c r="EA77" s="213"/>
      <c r="EB77" s="213"/>
      <c r="EC77" s="213"/>
      <c r="ED77" s="213"/>
      <c r="EE77" s="213"/>
      <c r="EF77" s="213"/>
      <c r="EG77" s="213"/>
      <c r="EH77" s="213"/>
      <c r="EI77" s="213"/>
      <c r="EJ77" s="213"/>
      <c r="EK77" s="213"/>
      <c r="EL77" s="213"/>
      <c r="EM77" s="213"/>
      <c r="EN77" s="213"/>
      <c r="EO77" s="213"/>
      <c r="EP77" s="213"/>
      <c r="EQ77" s="213"/>
      <c r="ER77" s="213"/>
      <c r="ES77" s="213"/>
      <c r="ET77" s="213"/>
      <c r="EU77" s="213"/>
      <c r="EV77" s="213"/>
      <c r="EW77" s="213"/>
      <c r="EX77" s="213"/>
      <c r="EY77" s="213"/>
      <c r="EZ77" s="213"/>
      <c r="FA77" s="213"/>
      <c r="FB77" s="213"/>
      <c r="FC77" s="213"/>
      <c r="FD77" s="213"/>
      <c r="FE77" s="213"/>
      <c r="FF77" s="213"/>
      <c r="FG77" s="213"/>
      <c r="FH77" s="213"/>
      <c r="FI77" s="213"/>
      <c r="FJ77" s="213"/>
      <c r="FK77" s="213"/>
      <c r="FL77" s="213"/>
      <c r="FM77" s="213"/>
      <c r="FN77" s="213"/>
      <c r="FO77" s="213"/>
      <c r="FP77" s="213"/>
      <c r="FQ77" s="213"/>
      <c r="FR77" s="213"/>
      <c r="FS77" s="213"/>
      <c r="FT77" s="213"/>
      <c r="FU77" s="213"/>
      <c r="FV77" s="213"/>
      <c r="FW77" s="213"/>
      <c r="FX77" s="213"/>
      <c r="FY77" s="213"/>
      <c r="FZ77" s="213"/>
      <c r="GA77" s="213"/>
      <c r="GB77" s="213"/>
      <c r="GC77" s="213"/>
      <c r="GD77" s="213"/>
      <c r="GE77" s="213"/>
      <c r="GF77" s="213"/>
      <c r="GG77" s="213"/>
      <c r="GH77" s="213"/>
      <c r="GI77" s="213"/>
      <c r="GJ77" s="213"/>
      <c r="GK77" s="213"/>
      <c r="GL77" s="213"/>
      <c r="GM77" s="213"/>
      <c r="GN77" s="213"/>
      <c r="GO77" s="213"/>
      <c r="GP77" s="213"/>
      <c r="GQ77" s="213"/>
    </row>
    <row r="78" spans="2:199" hidden="1" outlineLevel="1">
      <c r="B78" s="182" t="s">
        <v>415</v>
      </c>
      <c r="C78" s="161">
        <v>1</v>
      </c>
      <c r="D78" s="168"/>
      <c r="E78" s="213">
        <f>IF(E52&gt;$C57,(1+E59)*C78,1)</f>
        <v>1</v>
      </c>
      <c r="F78" s="213">
        <f t="shared" ref="F78:K78" si="189">IF(F52&gt;$C57,(1+F59)*D78,1)</f>
        <v>1</v>
      </c>
      <c r="G78" s="213">
        <f t="shared" si="189"/>
        <v>1</v>
      </c>
      <c r="H78" s="213">
        <f t="shared" si="189"/>
        <v>1</v>
      </c>
      <c r="I78" s="213">
        <f t="shared" si="189"/>
        <v>1</v>
      </c>
      <c r="J78" s="213">
        <f t="shared" si="189"/>
        <v>1</v>
      </c>
      <c r="K78" s="213">
        <f t="shared" si="189"/>
        <v>1</v>
      </c>
      <c r="L78" s="213">
        <f t="shared" ref="L78" si="190">IF(L52&gt;$C57,(1+L59)*J78,1)</f>
        <v>1</v>
      </c>
      <c r="M78" s="213">
        <f t="shared" ref="M78" si="191">IF(M52&gt;$C57,(1+M59)*K78,1)</f>
        <v>1</v>
      </c>
      <c r="N78" s="213">
        <f t="shared" ref="N78" si="192">IF(N52&gt;$C57,(1+N59)*L78,1)</f>
        <v>1</v>
      </c>
      <c r="O78" s="213">
        <f t="shared" ref="O78" si="193">IF(O52&gt;$C57,(1+O59)*M78,1)</f>
        <v>1</v>
      </c>
      <c r="P78" s="213">
        <f t="shared" ref="P78:Q78" si="194">IF(P52&gt;$C57,(1+P59)*N78,1)</f>
        <v>1</v>
      </c>
      <c r="Q78" s="213">
        <f t="shared" si="194"/>
        <v>1</v>
      </c>
      <c r="R78" s="213">
        <f t="shared" ref="R78" si="195">IF(R52&gt;$C57,(1+R59)*P78,1)</f>
        <v>1</v>
      </c>
      <c r="S78" s="213">
        <f t="shared" ref="S78" si="196">IF(S52&gt;$C57,(1+S59)*Q78,1)</f>
        <v>1</v>
      </c>
      <c r="T78" s="213">
        <f t="shared" ref="T78" si="197">IF(T52&gt;$C57,(1+T59)*R78,1)</f>
        <v>1</v>
      </c>
      <c r="U78" s="213">
        <f t="shared" ref="U78" si="198">IF(U52&gt;$C57,(1+U59)*S78,1)</f>
        <v>1</v>
      </c>
      <c r="V78" s="213">
        <f t="shared" ref="V78:W78" si="199">IF(V52&gt;$C57,(1+V59)*T78,1)</f>
        <v>1</v>
      </c>
      <c r="W78" s="213">
        <f t="shared" si="199"/>
        <v>1</v>
      </c>
      <c r="X78" s="213">
        <f t="shared" ref="X78" si="200">IF(X52&gt;$C57,(1+X59)*V78,1)</f>
        <v>1</v>
      </c>
      <c r="Y78" s="213">
        <f t="shared" ref="Y78" si="201">IF(Y52&gt;$C57,(1+Y59)*W78,1)</f>
        <v>1</v>
      </c>
      <c r="Z78" s="213">
        <f t="shared" ref="Z78" si="202">IF(Z52&gt;$C57,(1+Z59)*X78,1)</f>
        <v>1</v>
      </c>
      <c r="AA78" s="213"/>
      <c r="AB78" s="213"/>
      <c r="AC78" s="213"/>
      <c r="AD78" s="213"/>
      <c r="AE78" s="213"/>
      <c r="AF78" s="213"/>
      <c r="AG78" s="213"/>
      <c r="AH78" s="213"/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  <c r="BC78" s="213"/>
      <c r="BD78" s="213"/>
      <c r="BE78" s="213"/>
      <c r="BF78" s="213"/>
      <c r="BG78" s="213"/>
      <c r="BH78" s="213"/>
      <c r="BI78" s="213"/>
      <c r="BJ78" s="213"/>
      <c r="BK78" s="213"/>
      <c r="BL78" s="213"/>
      <c r="BM78" s="213"/>
      <c r="BN78" s="213"/>
      <c r="BO78" s="213"/>
      <c r="BP78" s="213"/>
      <c r="BQ78" s="213"/>
      <c r="BR78" s="213"/>
      <c r="BS78" s="213"/>
      <c r="BT78" s="213"/>
      <c r="BU78" s="213"/>
      <c r="BV78" s="213"/>
      <c r="BW78" s="213"/>
      <c r="BX78" s="213"/>
      <c r="BY78" s="213"/>
      <c r="BZ78" s="213"/>
      <c r="CA78" s="213"/>
      <c r="CB78" s="213"/>
      <c r="CC78" s="213"/>
      <c r="CD78" s="213"/>
      <c r="CE78" s="213"/>
      <c r="CF78" s="213"/>
      <c r="CG78" s="213"/>
      <c r="CH78" s="213"/>
      <c r="CI78" s="213"/>
      <c r="CJ78" s="213"/>
      <c r="CK78" s="213"/>
      <c r="CL78" s="213"/>
      <c r="CM78" s="213"/>
      <c r="CN78" s="213"/>
      <c r="CO78" s="213"/>
      <c r="CP78" s="213"/>
      <c r="CQ78" s="213"/>
      <c r="CR78" s="213"/>
      <c r="CS78" s="213"/>
      <c r="CT78" s="213"/>
      <c r="CU78" s="213"/>
      <c r="CV78" s="213"/>
      <c r="CW78" s="213"/>
      <c r="CX78" s="213"/>
      <c r="CY78" s="213"/>
      <c r="CZ78" s="213"/>
      <c r="DA78" s="213"/>
      <c r="DB78" s="213"/>
      <c r="DC78" s="213"/>
      <c r="DD78" s="213"/>
      <c r="DE78" s="213"/>
      <c r="DF78" s="213"/>
      <c r="DG78" s="213"/>
      <c r="DH78" s="213"/>
      <c r="DI78" s="213"/>
      <c r="DJ78" s="213"/>
      <c r="DK78" s="213"/>
      <c r="DL78" s="213"/>
      <c r="DM78" s="213"/>
      <c r="DN78" s="213"/>
      <c r="DO78" s="213"/>
      <c r="DP78" s="213"/>
      <c r="DQ78" s="213"/>
      <c r="DR78" s="213"/>
      <c r="DS78" s="213"/>
      <c r="DT78" s="213"/>
      <c r="DU78" s="213"/>
      <c r="DV78" s="213"/>
      <c r="DW78" s="213"/>
      <c r="DX78" s="213"/>
      <c r="DY78" s="213"/>
      <c r="DZ78" s="213"/>
      <c r="EA78" s="213"/>
      <c r="EB78" s="213"/>
      <c r="EC78" s="213"/>
      <c r="ED78" s="213"/>
      <c r="EE78" s="213"/>
      <c r="EF78" s="213"/>
      <c r="EG78" s="213"/>
      <c r="EH78" s="213"/>
      <c r="EI78" s="213"/>
      <c r="EJ78" s="213"/>
      <c r="EK78" s="213"/>
      <c r="EL78" s="213"/>
      <c r="EM78" s="213"/>
      <c r="EN78" s="213"/>
      <c r="EO78" s="213"/>
      <c r="EP78" s="213"/>
      <c r="EQ78" s="213"/>
      <c r="ER78" s="213"/>
      <c r="ES78" s="213"/>
      <c r="ET78" s="213"/>
      <c r="EU78" s="213"/>
      <c r="EV78" s="213"/>
      <c r="EW78" s="213"/>
      <c r="EX78" s="213"/>
      <c r="EY78" s="213"/>
      <c r="EZ78" s="213"/>
      <c r="FA78" s="213"/>
      <c r="FB78" s="213"/>
      <c r="FC78" s="213"/>
      <c r="FD78" s="213"/>
      <c r="FE78" s="213"/>
      <c r="FF78" s="213"/>
      <c r="FG78" s="213"/>
      <c r="FH78" s="213"/>
      <c r="FI78" s="213"/>
      <c r="FJ78" s="213"/>
      <c r="FK78" s="213"/>
      <c r="FL78" s="213"/>
      <c r="FM78" s="213"/>
      <c r="FN78" s="213"/>
      <c r="FO78" s="213"/>
      <c r="FP78" s="213"/>
      <c r="FQ78" s="213"/>
      <c r="FR78" s="213"/>
      <c r="FS78" s="213"/>
      <c r="FT78" s="213"/>
      <c r="FU78" s="213"/>
      <c r="FV78" s="213"/>
      <c r="FW78" s="213"/>
      <c r="FX78" s="213"/>
      <c r="FY78" s="213"/>
      <c r="FZ78" s="213"/>
      <c r="GA78" s="213"/>
      <c r="GB78" s="213"/>
      <c r="GC78" s="213"/>
      <c r="GD78" s="213"/>
      <c r="GE78" s="213"/>
      <c r="GF78" s="213"/>
      <c r="GG78" s="213"/>
      <c r="GH78" s="213"/>
      <c r="GI78" s="213"/>
      <c r="GJ78" s="213"/>
      <c r="GK78" s="213"/>
      <c r="GL78" s="213"/>
      <c r="GM78" s="213"/>
      <c r="GN78" s="213"/>
      <c r="GO78" s="213"/>
      <c r="GP78" s="213"/>
      <c r="GQ78" s="213"/>
    </row>
    <row r="79" spans="2:199" hidden="1" outlineLevel="1">
      <c r="B79" s="182" t="s">
        <v>414</v>
      </c>
      <c r="D79" s="167"/>
      <c r="E79" s="162">
        <f>SUM(E66:E70)</f>
        <v>159912</v>
      </c>
      <c r="F79" s="162">
        <f t="shared" ref="F79:K79" si="203">SUM(F66:F70)</f>
        <v>265413.70829424716</v>
      </c>
      <c r="G79" s="162">
        <f t="shared" si="203"/>
        <v>263424.21000000002</v>
      </c>
      <c r="H79" s="162">
        <f t="shared" si="203"/>
        <v>263424.21000000002</v>
      </c>
      <c r="I79" s="162">
        <f t="shared" si="203"/>
        <v>248789.53166666668</v>
      </c>
      <c r="J79" s="162">
        <f t="shared" si="203"/>
        <v>234154.85333333333</v>
      </c>
      <c r="K79" s="162">
        <f t="shared" si="203"/>
        <v>219520.17499999999</v>
      </c>
      <c r="L79" s="162">
        <f t="shared" ref="L79:Z79" si="204">SUM(L66:L70)</f>
        <v>204885.49666666664</v>
      </c>
      <c r="M79" s="162">
        <f t="shared" si="204"/>
        <v>190250.8183333333</v>
      </c>
      <c r="N79" s="162">
        <f t="shared" si="204"/>
        <v>175616.13999999996</v>
      </c>
      <c r="O79" s="162">
        <f t="shared" si="204"/>
        <v>160981.46166666661</v>
      </c>
      <c r="P79" s="162">
        <f t="shared" si="204"/>
        <v>146346.78333333327</v>
      </c>
      <c r="Q79" s="162">
        <f t="shared" si="204"/>
        <v>131712.10499999992</v>
      </c>
      <c r="R79" s="162">
        <f t="shared" si="204"/>
        <v>117077.42666666659</v>
      </c>
      <c r="S79" s="162">
        <f t="shared" si="204"/>
        <v>102442.74833333326</v>
      </c>
      <c r="T79" s="162">
        <f t="shared" si="204"/>
        <v>87808.069999999934</v>
      </c>
      <c r="U79" s="162">
        <f t="shared" si="204"/>
        <v>73173.391666666605</v>
      </c>
      <c r="V79" s="162">
        <f t="shared" si="204"/>
        <v>58538.713333333275</v>
      </c>
      <c r="W79" s="162">
        <f t="shared" si="204"/>
        <v>43904.034999999945</v>
      </c>
      <c r="X79" s="162">
        <f t="shared" si="204"/>
        <v>29269.356666666612</v>
      </c>
      <c r="Y79" s="162">
        <f t="shared" si="204"/>
        <v>14634.678333333279</v>
      </c>
      <c r="Z79" s="162">
        <f t="shared" si="204"/>
        <v>0</v>
      </c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  <c r="AK79" s="162"/>
      <c r="AL79" s="162"/>
      <c r="AM79" s="162"/>
      <c r="AN79" s="162"/>
      <c r="AO79" s="162"/>
      <c r="AP79" s="162"/>
      <c r="AQ79" s="162"/>
      <c r="AR79" s="162"/>
      <c r="AS79" s="162"/>
      <c r="AT79" s="162"/>
      <c r="AU79" s="162"/>
      <c r="AV79" s="162"/>
      <c r="AW79" s="162"/>
      <c r="AX79" s="162"/>
      <c r="AY79" s="162"/>
      <c r="AZ79" s="162"/>
      <c r="BA79" s="162"/>
      <c r="BB79" s="162"/>
      <c r="BC79" s="162"/>
      <c r="BD79" s="162"/>
      <c r="BE79" s="162"/>
      <c r="BF79" s="162"/>
      <c r="BG79" s="162"/>
      <c r="BH79" s="162"/>
      <c r="BI79" s="162"/>
      <c r="BJ79" s="162"/>
      <c r="BK79" s="162"/>
      <c r="BL79" s="162"/>
      <c r="BM79" s="162"/>
      <c r="BN79" s="162"/>
      <c r="BO79" s="162"/>
      <c r="BP79" s="162"/>
      <c r="BQ79" s="162"/>
      <c r="BR79" s="162"/>
      <c r="BS79" s="162"/>
      <c r="BT79" s="162"/>
      <c r="BU79" s="162"/>
      <c r="BV79" s="162"/>
      <c r="BW79" s="162"/>
      <c r="BX79" s="162"/>
      <c r="BY79" s="162"/>
      <c r="BZ79" s="162"/>
      <c r="CA79" s="162"/>
      <c r="CB79" s="162"/>
      <c r="CC79" s="162"/>
      <c r="CD79" s="162"/>
      <c r="CE79" s="162"/>
      <c r="CF79" s="162"/>
      <c r="CG79" s="162"/>
      <c r="CH79" s="162"/>
      <c r="CI79" s="162"/>
      <c r="CJ79" s="162"/>
      <c r="CK79" s="162"/>
      <c r="CL79" s="162"/>
      <c r="CM79" s="162"/>
      <c r="CN79" s="162"/>
      <c r="CO79" s="162"/>
      <c r="CP79" s="162"/>
      <c r="CQ79" s="162"/>
      <c r="CR79" s="162"/>
      <c r="CS79" s="162"/>
      <c r="CT79" s="162"/>
      <c r="CU79" s="162"/>
      <c r="CV79" s="162"/>
      <c r="CW79" s="162"/>
      <c r="CX79" s="162"/>
      <c r="CY79" s="162"/>
      <c r="CZ79" s="162"/>
      <c r="DA79" s="162"/>
      <c r="DB79" s="162"/>
      <c r="DC79" s="162"/>
      <c r="DD79" s="162"/>
      <c r="DE79" s="162"/>
      <c r="DF79" s="162"/>
      <c r="DG79" s="162"/>
      <c r="DH79" s="162"/>
      <c r="DI79" s="162"/>
      <c r="DJ79" s="162"/>
      <c r="DK79" s="162"/>
      <c r="DL79" s="162"/>
      <c r="DM79" s="162"/>
      <c r="DN79" s="162"/>
      <c r="DO79" s="162"/>
      <c r="DP79" s="162"/>
      <c r="DQ79" s="162"/>
      <c r="DR79" s="162"/>
      <c r="DS79" s="162"/>
      <c r="DT79" s="162"/>
      <c r="DU79" s="162"/>
      <c r="DV79" s="162"/>
      <c r="DW79" s="162"/>
      <c r="DX79" s="162"/>
      <c r="DY79" s="162"/>
      <c r="DZ79" s="162"/>
      <c r="EA79" s="162"/>
      <c r="EB79" s="162"/>
      <c r="EC79" s="162"/>
      <c r="ED79" s="162"/>
      <c r="EE79" s="162"/>
      <c r="EF79" s="162"/>
      <c r="EG79" s="162"/>
      <c r="EH79" s="162"/>
      <c r="EI79" s="162"/>
      <c r="EJ79" s="162"/>
      <c r="EK79" s="162"/>
      <c r="EL79" s="162"/>
      <c r="EM79" s="162"/>
      <c r="EN79" s="162"/>
      <c r="EO79" s="162"/>
      <c r="EP79" s="162"/>
      <c r="EQ79" s="162"/>
      <c r="ER79" s="162"/>
      <c r="ES79" s="162"/>
      <c r="ET79" s="162"/>
      <c r="EU79" s="162"/>
      <c r="EV79" s="162"/>
      <c r="EW79" s="162"/>
      <c r="EX79" s="162"/>
      <c r="EY79" s="162"/>
      <c r="EZ79" s="162"/>
      <c r="FA79" s="162"/>
      <c r="FB79" s="162"/>
      <c r="FC79" s="162"/>
      <c r="FD79" s="162"/>
      <c r="FE79" s="162"/>
      <c r="FF79" s="162"/>
      <c r="FG79" s="162"/>
      <c r="FH79" s="162"/>
      <c r="FI79" s="162"/>
      <c r="FJ79" s="162"/>
      <c r="FK79" s="162"/>
      <c r="FL79" s="162"/>
      <c r="FM79" s="162"/>
      <c r="FN79" s="162"/>
      <c r="FO79" s="162"/>
      <c r="FP79" s="162"/>
      <c r="FQ79" s="162"/>
      <c r="FR79" s="162"/>
      <c r="FS79" s="162"/>
      <c r="FT79" s="162"/>
      <c r="FU79" s="162"/>
      <c r="FV79" s="162"/>
      <c r="FW79" s="162"/>
      <c r="FX79" s="162"/>
      <c r="FY79" s="162"/>
      <c r="FZ79" s="162"/>
      <c r="GA79" s="162"/>
      <c r="GB79" s="162"/>
      <c r="GC79" s="162"/>
      <c r="GD79" s="162"/>
      <c r="GE79" s="162"/>
      <c r="GF79" s="162"/>
      <c r="GG79" s="162"/>
      <c r="GH79" s="162"/>
      <c r="GI79" s="162"/>
      <c r="GJ79" s="162"/>
      <c r="GK79" s="162"/>
      <c r="GL79" s="162"/>
      <c r="GM79" s="162"/>
      <c r="GN79" s="162"/>
      <c r="GO79" s="162"/>
      <c r="GP79" s="162"/>
      <c r="GQ79" s="162"/>
    </row>
    <row r="80" spans="2:199" hidden="1" outlineLevel="1" collapsed="1"/>
    <row r="81" spans="2:199" collapsed="1"/>
    <row r="82" spans="2:199">
      <c r="B82" s="302" t="s">
        <v>569</v>
      </c>
      <c r="C82" s="302"/>
      <c r="D82" s="302"/>
      <c r="E82" s="318">
        <f>C84</f>
        <v>39052</v>
      </c>
      <c r="F82" s="318">
        <f>EDATE(E82,12)</f>
        <v>39417</v>
      </c>
      <c r="G82" s="318">
        <f t="shared" ref="G82:AC82" si="205">EDATE(F82,12)</f>
        <v>39783</v>
      </c>
      <c r="H82" s="318">
        <f t="shared" si="205"/>
        <v>40148</v>
      </c>
      <c r="I82" s="318">
        <f t="shared" si="205"/>
        <v>40513</v>
      </c>
      <c r="J82" s="318">
        <f t="shared" si="205"/>
        <v>40878</v>
      </c>
      <c r="K82" s="318">
        <f t="shared" si="205"/>
        <v>41244</v>
      </c>
      <c r="L82" s="318">
        <f t="shared" si="205"/>
        <v>41609</v>
      </c>
      <c r="M82" s="318">
        <f t="shared" si="205"/>
        <v>41974</v>
      </c>
      <c r="N82" s="318">
        <f t="shared" si="205"/>
        <v>42339</v>
      </c>
      <c r="O82" s="318">
        <f t="shared" si="205"/>
        <v>42705</v>
      </c>
      <c r="P82" s="318">
        <f t="shared" si="205"/>
        <v>43070</v>
      </c>
      <c r="Q82" s="318">
        <f t="shared" si="205"/>
        <v>43435</v>
      </c>
      <c r="R82" s="318">
        <f t="shared" si="205"/>
        <v>43800</v>
      </c>
      <c r="S82" s="318">
        <f t="shared" si="205"/>
        <v>44166</v>
      </c>
      <c r="T82" s="318">
        <f t="shared" si="205"/>
        <v>44531</v>
      </c>
      <c r="U82" s="318">
        <f t="shared" si="205"/>
        <v>44896</v>
      </c>
      <c r="V82" s="318">
        <f t="shared" si="205"/>
        <v>45261</v>
      </c>
      <c r="W82" s="318">
        <f t="shared" si="205"/>
        <v>45627</v>
      </c>
      <c r="X82" s="318">
        <f t="shared" si="205"/>
        <v>45992</v>
      </c>
      <c r="Y82" s="318">
        <f t="shared" si="205"/>
        <v>46357</v>
      </c>
      <c r="Z82" s="318">
        <f t="shared" si="205"/>
        <v>46722</v>
      </c>
      <c r="AA82" s="318">
        <f t="shared" si="205"/>
        <v>47088</v>
      </c>
      <c r="AB82" s="318">
        <f t="shared" si="205"/>
        <v>47453</v>
      </c>
      <c r="AC82" s="318">
        <f t="shared" si="205"/>
        <v>47818</v>
      </c>
      <c r="AD82" s="176"/>
      <c r="AE82" s="176"/>
      <c r="AF82" s="176"/>
      <c r="AG82" s="176"/>
      <c r="AH82" s="176"/>
      <c r="AI82" s="176"/>
      <c r="AJ82" s="176"/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  <c r="CK82" s="176"/>
      <c r="CL82" s="176"/>
      <c r="CM82" s="176"/>
      <c r="CN82" s="176"/>
      <c r="CO82" s="176"/>
      <c r="CP82" s="176"/>
      <c r="CQ82" s="176"/>
      <c r="CR82" s="176"/>
      <c r="CS82" s="176"/>
      <c r="CT82" s="176"/>
      <c r="CU82" s="176"/>
      <c r="CV82" s="176"/>
      <c r="CW82" s="176"/>
      <c r="CX82" s="176"/>
      <c r="CY82" s="176"/>
      <c r="CZ82" s="176"/>
      <c r="DA82" s="176"/>
      <c r="DB82" s="176"/>
      <c r="DC82" s="176"/>
      <c r="DD82" s="176"/>
      <c r="DE82" s="176"/>
      <c r="DF82" s="176"/>
      <c r="DG82" s="176"/>
      <c r="DH82" s="176"/>
      <c r="DI82" s="176"/>
      <c r="DJ82" s="176"/>
      <c r="DK82" s="176"/>
      <c r="DL82" s="176"/>
      <c r="DM82" s="176"/>
      <c r="DN82" s="176"/>
      <c r="DO82" s="176"/>
      <c r="DP82" s="176"/>
      <c r="DQ82" s="176"/>
      <c r="DR82" s="176"/>
      <c r="DS82" s="176"/>
      <c r="DT82" s="176"/>
      <c r="DU82" s="176"/>
      <c r="DV82" s="176"/>
      <c r="DW82" s="176"/>
      <c r="DX82" s="176"/>
      <c r="DY82" s="176"/>
      <c r="DZ82" s="176"/>
      <c r="EA82" s="176"/>
      <c r="EB82" s="176"/>
      <c r="EC82" s="176"/>
      <c r="ED82" s="176"/>
      <c r="EE82" s="176"/>
      <c r="EF82" s="176"/>
      <c r="EG82" s="176"/>
      <c r="EH82" s="176"/>
      <c r="EI82" s="176"/>
      <c r="EJ82" s="176"/>
      <c r="EK82" s="176"/>
      <c r="EL82" s="176"/>
      <c r="EM82" s="176"/>
      <c r="EN82" s="176"/>
      <c r="EO82" s="176"/>
      <c r="EP82" s="176"/>
      <c r="EQ82" s="176"/>
      <c r="ER82" s="176"/>
      <c r="ES82" s="176"/>
      <c r="ET82" s="176"/>
      <c r="EU82" s="176"/>
      <c r="EV82" s="176"/>
      <c r="EW82" s="176"/>
      <c r="EX82" s="176"/>
      <c r="EY82" s="176"/>
      <c r="EZ82" s="176"/>
      <c r="FA82" s="176"/>
      <c r="FB82" s="176"/>
      <c r="FC82" s="176"/>
      <c r="FD82" s="176"/>
      <c r="FE82" s="176"/>
      <c r="FF82" s="176"/>
      <c r="FG82" s="176"/>
      <c r="FH82" s="176"/>
      <c r="FI82" s="176"/>
      <c r="FJ82" s="176"/>
      <c r="FK82" s="176"/>
      <c r="FL82" s="176"/>
      <c r="FM82" s="176"/>
      <c r="FN82" s="176"/>
      <c r="FO82" s="176"/>
      <c r="FP82" s="176"/>
      <c r="FQ82" s="176"/>
      <c r="FR82" s="176"/>
      <c r="FS82" s="176"/>
      <c r="FT82" s="176"/>
      <c r="FU82" s="176"/>
      <c r="FV82" s="176"/>
      <c r="FW82" s="176"/>
      <c r="FX82" s="176"/>
      <c r="FY82" s="176"/>
      <c r="FZ82" s="176"/>
      <c r="GA82" s="176"/>
      <c r="GB82" s="176"/>
      <c r="GC82" s="176"/>
      <c r="GD82" s="176"/>
      <c r="GE82" s="176"/>
      <c r="GF82" s="176"/>
      <c r="GG82" s="176"/>
      <c r="GH82" s="176"/>
      <c r="GI82" s="176"/>
      <c r="GJ82" s="176"/>
      <c r="GK82" s="176"/>
      <c r="GL82" s="176"/>
      <c r="GM82" s="176"/>
      <c r="GN82" s="176"/>
      <c r="GO82" s="176"/>
      <c r="GP82" s="176"/>
      <c r="GQ82" s="176"/>
    </row>
    <row r="83" spans="2:199">
      <c r="B83" s="173"/>
      <c r="C83" s="173"/>
      <c r="E83" s="425">
        <f>YEAR(E82)</f>
        <v>2006</v>
      </c>
      <c r="F83" s="425">
        <f t="shared" ref="F83:L83" si="206">YEAR(F82)</f>
        <v>2007</v>
      </c>
      <c r="G83" s="425">
        <f t="shared" si="206"/>
        <v>2008</v>
      </c>
      <c r="H83" s="425">
        <f t="shared" si="206"/>
        <v>2009</v>
      </c>
      <c r="I83" s="425">
        <f t="shared" si="206"/>
        <v>2010</v>
      </c>
      <c r="J83" s="425">
        <f t="shared" si="206"/>
        <v>2011</v>
      </c>
      <c r="K83" s="425">
        <f t="shared" si="206"/>
        <v>2012</v>
      </c>
      <c r="L83" s="425">
        <f t="shared" si="206"/>
        <v>2013</v>
      </c>
      <c r="M83" s="425">
        <f t="shared" ref="M83" si="207">YEAR(M82)</f>
        <v>2014</v>
      </c>
      <c r="N83" s="425">
        <f t="shared" ref="N83" si="208">YEAR(N82)</f>
        <v>2015</v>
      </c>
      <c r="O83" s="425">
        <f t="shared" ref="O83" si="209">YEAR(O82)</f>
        <v>2016</v>
      </c>
      <c r="P83" s="425">
        <f t="shared" ref="P83" si="210">YEAR(P82)</f>
        <v>2017</v>
      </c>
      <c r="Q83" s="425">
        <f t="shared" ref="Q83" si="211">YEAR(Q82)</f>
        <v>2018</v>
      </c>
      <c r="R83" s="425">
        <f t="shared" ref="R83:S83" si="212">YEAR(R82)</f>
        <v>2019</v>
      </c>
      <c r="S83" s="425">
        <f t="shared" si="212"/>
        <v>2020</v>
      </c>
      <c r="T83" s="425">
        <f t="shared" ref="T83" si="213">YEAR(T82)</f>
        <v>2021</v>
      </c>
      <c r="U83" s="425">
        <f t="shared" ref="U83" si="214">YEAR(U82)</f>
        <v>2022</v>
      </c>
      <c r="V83" s="425">
        <f t="shared" ref="V83" si="215">YEAR(V82)</f>
        <v>2023</v>
      </c>
      <c r="W83" s="425">
        <f t="shared" ref="W83" si="216">YEAR(W82)</f>
        <v>2024</v>
      </c>
      <c r="X83" s="425">
        <f t="shared" ref="X83" si="217">YEAR(X82)</f>
        <v>2025</v>
      </c>
      <c r="Y83" s="425">
        <f t="shared" ref="Y83:Z83" si="218">YEAR(Y82)</f>
        <v>2026</v>
      </c>
      <c r="Z83" s="425">
        <f t="shared" si="218"/>
        <v>2027</v>
      </c>
      <c r="AA83" s="425">
        <f t="shared" ref="AA83" si="219">YEAR(AA82)</f>
        <v>2028</v>
      </c>
      <c r="AB83" s="425">
        <f t="shared" ref="AB83" si="220">YEAR(AB82)</f>
        <v>2029</v>
      </c>
      <c r="AC83" s="425">
        <f t="shared" ref="AC83" si="221">YEAR(AC82)</f>
        <v>2030</v>
      </c>
      <c r="AD83" s="175"/>
      <c r="AE83" s="175"/>
      <c r="AF83" s="175"/>
      <c r="AG83" s="175"/>
      <c r="AH83" s="175"/>
      <c r="AI83" s="175"/>
      <c r="AJ83" s="175"/>
      <c r="AK83" s="175"/>
      <c r="AL83" s="175"/>
      <c r="AM83" s="175"/>
      <c r="AN83" s="175"/>
      <c r="AO83" s="175"/>
      <c r="AP83" s="175"/>
      <c r="AQ83" s="175"/>
      <c r="AR83" s="175"/>
      <c r="AS83" s="175"/>
      <c r="AT83" s="175"/>
      <c r="AU83" s="175"/>
      <c r="AV83" s="175"/>
      <c r="AW83" s="175"/>
      <c r="AX83" s="175"/>
      <c r="AY83" s="175"/>
      <c r="AZ83" s="175"/>
      <c r="BA83" s="175"/>
      <c r="BB83" s="175"/>
      <c r="BC83" s="175"/>
      <c r="BD83" s="175"/>
      <c r="BE83" s="175"/>
      <c r="BF83" s="175"/>
      <c r="BG83" s="175"/>
      <c r="BH83" s="175"/>
      <c r="BI83" s="175"/>
      <c r="BJ83" s="175"/>
      <c r="BK83" s="175"/>
      <c r="BL83" s="175"/>
      <c r="BM83" s="175"/>
      <c r="BN83" s="175"/>
      <c r="BO83" s="175"/>
      <c r="BP83" s="175"/>
      <c r="BQ83" s="175"/>
      <c r="BR83" s="175"/>
      <c r="BS83" s="175"/>
      <c r="BT83" s="175"/>
      <c r="BU83" s="175"/>
      <c r="BV83" s="175"/>
      <c r="BW83" s="175"/>
      <c r="BX83" s="175"/>
      <c r="BY83" s="175"/>
      <c r="BZ83" s="175"/>
      <c r="CA83" s="175"/>
      <c r="CB83" s="175"/>
      <c r="CC83" s="175"/>
      <c r="CD83" s="175"/>
      <c r="CE83" s="175"/>
      <c r="CF83" s="175"/>
      <c r="CG83" s="175"/>
      <c r="CH83" s="175"/>
      <c r="CI83" s="175"/>
      <c r="CJ83" s="175"/>
      <c r="CK83" s="175"/>
      <c r="CL83" s="175"/>
      <c r="CM83" s="175"/>
      <c r="CN83" s="175"/>
      <c r="CO83" s="175"/>
      <c r="CP83" s="175"/>
      <c r="CQ83" s="175"/>
      <c r="CR83" s="175"/>
      <c r="CS83" s="175"/>
      <c r="CT83" s="175"/>
      <c r="CU83" s="175"/>
      <c r="CV83" s="175"/>
      <c r="CW83" s="175"/>
      <c r="CX83" s="175"/>
      <c r="CY83" s="175"/>
      <c r="CZ83" s="175"/>
      <c r="DA83" s="175"/>
      <c r="DB83" s="175"/>
      <c r="DC83" s="175"/>
      <c r="DD83" s="175"/>
      <c r="DE83" s="175"/>
      <c r="DF83" s="175"/>
      <c r="DG83" s="175"/>
      <c r="DH83" s="175"/>
      <c r="DI83" s="175"/>
      <c r="DJ83" s="175"/>
      <c r="DK83" s="175"/>
      <c r="DL83" s="175"/>
      <c r="DM83" s="175"/>
      <c r="DN83" s="175"/>
      <c r="DO83" s="175"/>
      <c r="DP83" s="175"/>
      <c r="DQ83" s="175"/>
      <c r="DR83" s="175"/>
      <c r="DS83" s="175"/>
      <c r="DT83" s="175"/>
      <c r="DU83" s="175"/>
      <c r="DV83" s="175"/>
      <c r="DW83" s="175"/>
      <c r="DX83" s="175"/>
      <c r="DY83" s="175"/>
      <c r="DZ83" s="175"/>
      <c r="EA83" s="175"/>
      <c r="EB83" s="175"/>
      <c r="EC83" s="175"/>
      <c r="ED83" s="175"/>
      <c r="EE83" s="175"/>
      <c r="EF83" s="175"/>
      <c r="EG83" s="175"/>
      <c r="EH83" s="175"/>
      <c r="EI83" s="175"/>
      <c r="EJ83" s="175"/>
      <c r="EK83" s="175"/>
      <c r="EL83" s="175"/>
      <c r="EM83" s="175"/>
      <c r="EN83" s="175"/>
      <c r="EO83" s="175"/>
      <c r="EP83" s="175"/>
      <c r="EQ83" s="175"/>
      <c r="ER83" s="175"/>
      <c r="ES83" s="175"/>
      <c r="ET83" s="175"/>
      <c r="EU83" s="175"/>
      <c r="EV83" s="175"/>
      <c r="EW83" s="175"/>
      <c r="EX83" s="175"/>
      <c r="EY83" s="175"/>
      <c r="EZ83" s="175"/>
      <c r="FA83" s="175"/>
      <c r="FB83" s="175"/>
      <c r="FC83" s="175"/>
      <c r="FD83" s="175"/>
      <c r="FE83" s="175"/>
      <c r="FF83" s="175"/>
      <c r="FG83" s="175"/>
      <c r="FH83" s="175"/>
      <c r="FI83" s="175"/>
      <c r="FJ83" s="175"/>
      <c r="FK83" s="175"/>
      <c r="FL83" s="175"/>
      <c r="FM83" s="175"/>
      <c r="FN83" s="175"/>
      <c r="FO83" s="175"/>
      <c r="FP83" s="175"/>
      <c r="FQ83" s="175"/>
      <c r="FR83" s="175"/>
      <c r="FS83" s="175"/>
      <c r="FT83" s="175"/>
      <c r="FU83" s="175"/>
      <c r="FV83" s="175"/>
      <c r="FW83" s="175"/>
      <c r="FX83" s="175"/>
      <c r="FY83" s="175"/>
      <c r="FZ83" s="175"/>
      <c r="GA83" s="175"/>
      <c r="GB83" s="175"/>
      <c r="GC83" s="175"/>
      <c r="GD83" s="175"/>
      <c r="GE83" s="175"/>
      <c r="GF83" s="175"/>
      <c r="GG83" s="175"/>
      <c r="GH83" s="175"/>
      <c r="GI83" s="175"/>
      <c r="GJ83" s="175"/>
      <c r="GK83" s="175"/>
      <c r="GL83" s="175"/>
      <c r="GM83" s="175"/>
      <c r="GN83" s="175"/>
      <c r="GO83" s="175"/>
      <c r="GP83" s="175"/>
      <c r="GQ83" s="175"/>
    </row>
    <row r="84" spans="2:199" hidden="1" outlineLevel="1">
      <c r="B84" s="181" t="s">
        <v>410</v>
      </c>
      <c r="C84" s="205">
        <v>39052</v>
      </c>
    </row>
    <row r="85" spans="2:199" hidden="1" outlineLevel="1">
      <c r="B85" s="182" t="s">
        <v>398</v>
      </c>
      <c r="C85" s="206">
        <v>41244</v>
      </c>
    </row>
    <row r="86" spans="2:199" hidden="1" outlineLevel="1">
      <c r="B86" s="182" t="s">
        <v>402</v>
      </c>
      <c r="C86" s="206">
        <v>40787</v>
      </c>
    </row>
    <row r="87" spans="2:199" hidden="1" outlineLevel="1">
      <c r="B87" s="182" t="s">
        <v>399</v>
      </c>
      <c r="C87" s="206">
        <v>41791</v>
      </c>
      <c r="D87" s="301" t="s">
        <v>468</v>
      </c>
      <c r="E87" s="303"/>
      <c r="F87" s="303"/>
      <c r="G87" s="303"/>
      <c r="H87" s="303"/>
      <c r="I87" s="424">
        <v>0.33329999999999999</v>
      </c>
      <c r="J87" s="424">
        <v>0.33329999999999999</v>
      </c>
      <c r="K87" s="424">
        <v>0.33339999999999997</v>
      </c>
      <c r="L87" s="303"/>
      <c r="M87" s="303"/>
      <c r="N87" s="303"/>
      <c r="O87" s="303"/>
      <c r="P87" s="303"/>
      <c r="Q87" s="303"/>
      <c r="R87" s="303"/>
      <c r="S87" s="303"/>
      <c r="T87" s="303"/>
      <c r="U87" s="303"/>
      <c r="V87" s="303"/>
      <c r="W87" s="303"/>
      <c r="X87" s="303"/>
      <c r="Y87" s="303"/>
      <c r="Z87" s="303"/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0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0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0"/>
      <c r="BN87" s="303"/>
      <c r="BO87" s="303"/>
      <c r="BP87" s="303"/>
      <c r="BQ87" s="303"/>
      <c r="BR87" s="303"/>
      <c r="BS87" s="303"/>
      <c r="BT87" s="303"/>
      <c r="BU87" s="303"/>
      <c r="BV87" s="303"/>
      <c r="BW87" s="303"/>
      <c r="BX87" s="303"/>
      <c r="BY87" s="300"/>
      <c r="BZ87" s="303"/>
      <c r="CA87" s="303"/>
      <c r="CB87" s="303"/>
      <c r="CC87" s="303"/>
      <c r="CD87" s="303"/>
      <c r="CE87" s="303"/>
      <c r="CF87" s="303"/>
      <c r="CG87" s="303"/>
      <c r="CH87" s="303"/>
      <c r="CI87" s="303"/>
      <c r="CJ87" s="303"/>
      <c r="CK87" s="303"/>
      <c r="CL87" s="303"/>
      <c r="CM87" s="303"/>
      <c r="CN87" s="303"/>
      <c r="CO87" s="303"/>
      <c r="CP87" s="303"/>
      <c r="CQ87" s="303"/>
      <c r="CR87" s="303"/>
      <c r="CS87" s="303"/>
      <c r="CT87" s="303"/>
      <c r="CU87" s="303"/>
      <c r="CV87" s="303"/>
      <c r="CW87" s="303"/>
      <c r="CX87" s="303"/>
      <c r="CY87" s="303"/>
      <c r="CZ87" s="303"/>
      <c r="DA87" s="303"/>
      <c r="DB87" s="303"/>
      <c r="DC87" s="303"/>
      <c r="DD87" s="303"/>
      <c r="DE87" s="303"/>
      <c r="DF87" s="303"/>
      <c r="DG87" s="303"/>
      <c r="DH87" s="303"/>
      <c r="DI87" s="303"/>
      <c r="DJ87" s="303"/>
      <c r="DK87" s="303"/>
      <c r="DL87" s="303"/>
      <c r="DM87" s="303"/>
      <c r="DN87" s="303"/>
      <c r="DO87" s="303"/>
      <c r="DP87" s="303"/>
      <c r="DQ87" s="303"/>
      <c r="DR87" s="303"/>
      <c r="DS87" s="303"/>
      <c r="DT87" s="303"/>
      <c r="DU87" s="303"/>
      <c r="DV87" s="303"/>
      <c r="DW87" s="303"/>
      <c r="DX87" s="303"/>
      <c r="DY87" s="303"/>
      <c r="DZ87" s="303"/>
      <c r="EA87" s="303"/>
      <c r="EB87" s="303"/>
      <c r="EC87" s="303"/>
      <c r="ED87" s="303"/>
      <c r="EE87" s="303"/>
      <c r="EF87" s="303"/>
      <c r="EG87" s="303"/>
      <c r="EH87" s="303"/>
      <c r="EI87" s="303"/>
      <c r="EJ87" s="303"/>
      <c r="EK87" s="303"/>
      <c r="EL87" s="303"/>
      <c r="EM87" s="303"/>
      <c r="EN87" s="303"/>
      <c r="EO87" s="303"/>
      <c r="EP87" s="303"/>
      <c r="EQ87" s="303"/>
      <c r="ER87" s="303"/>
      <c r="ES87" s="303"/>
      <c r="ET87" s="303"/>
      <c r="EU87" s="303"/>
      <c r="EV87" s="303"/>
      <c r="EW87" s="303"/>
      <c r="EX87" s="303"/>
      <c r="EY87" s="303"/>
      <c r="EZ87" s="303"/>
      <c r="FA87" s="303"/>
      <c r="FB87" s="303"/>
      <c r="FC87" s="303"/>
      <c r="FD87" s="303"/>
      <c r="FE87" s="303"/>
      <c r="FF87" s="303"/>
      <c r="FG87" s="303"/>
      <c r="FH87" s="303"/>
      <c r="FI87" s="303"/>
      <c r="FJ87" s="303"/>
      <c r="FK87" s="303"/>
      <c r="FL87" s="303"/>
      <c r="FM87" s="303"/>
      <c r="FN87" s="303"/>
      <c r="FO87" s="303"/>
      <c r="FP87" s="303"/>
      <c r="FQ87" s="303"/>
      <c r="FR87" s="303"/>
      <c r="FS87" s="303"/>
      <c r="FT87" s="303"/>
      <c r="FU87" s="303"/>
      <c r="FV87" s="303"/>
      <c r="FW87" s="303"/>
      <c r="FX87" s="303"/>
      <c r="FY87" s="303"/>
      <c r="FZ87" s="303"/>
      <c r="GA87" s="303"/>
      <c r="GB87" s="303"/>
      <c r="GC87" s="303"/>
      <c r="GD87" s="303"/>
      <c r="GE87" s="303"/>
      <c r="GF87" s="303"/>
      <c r="GG87" s="303"/>
      <c r="GH87" s="303"/>
      <c r="GI87" s="303"/>
      <c r="GJ87" s="303"/>
      <c r="GK87" s="303"/>
      <c r="GL87" s="303"/>
      <c r="GM87" s="303"/>
      <c r="GN87" s="303"/>
      <c r="GO87" s="303"/>
      <c r="GP87" s="303"/>
      <c r="GQ87" s="303"/>
    </row>
    <row r="88" spans="2:199" hidden="1" outlineLevel="1">
      <c r="B88" s="182" t="s">
        <v>400</v>
      </c>
      <c r="C88" s="207">
        <v>6</v>
      </c>
    </row>
    <row r="89" spans="2:199" hidden="1" outlineLevel="1">
      <c r="B89" s="182" t="s">
        <v>467</v>
      </c>
      <c r="C89" s="207" t="s">
        <v>466</v>
      </c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  <c r="AB89" s="170"/>
      <c r="AC89" s="170"/>
      <c r="AD89" s="170"/>
      <c r="AE89" s="170"/>
      <c r="AF89" s="170"/>
      <c r="AG89" s="170"/>
      <c r="AH89" s="170"/>
      <c r="AI89" s="170"/>
      <c r="AJ89" s="170"/>
      <c r="AK89" s="170"/>
      <c r="AL89" s="170"/>
      <c r="AM89" s="170"/>
      <c r="AN89" s="170"/>
      <c r="AO89" s="170"/>
      <c r="AP89" s="170"/>
      <c r="AQ89" s="170"/>
      <c r="AR89" s="170"/>
      <c r="AS89" s="170"/>
      <c r="AT89" s="170"/>
      <c r="AU89" s="170"/>
      <c r="AV89" s="170"/>
      <c r="AW89" s="170"/>
      <c r="AX89" s="170"/>
      <c r="AY89" s="170"/>
      <c r="AZ89" s="170"/>
      <c r="BA89" s="170"/>
      <c r="BB89" s="170"/>
      <c r="BC89" s="170"/>
      <c r="BD89" s="170"/>
      <c r="BE89" s="170"/>
      <c r="BF89" s="170"/>
      <c r="BG89" s="170"/>
      <c r="BH89" s="170"/>
      <c r="BI89" s="170"/>
      <c r="BJ89" s="170"/>
      <c r="BK89" s="170"/>
      <c r="BL89" s="170"/>
      <c r="BM89" s="170"/>
      <c r="BN89" s="170"/>
      <c r="BO89" s="170"/>
      <c r="BP89" s="170"/>
      <c r="BQ89" s="170"/>
      <c r="BR89" s="170"/>
      <c r="BS89" s="170"/>
      <c r="BT89" s="170"/>
      <c r="BU89" s="170"/>
      <c r="BV89" s="170"/>
      <c r="BW89" s="170"/>
      <c r="BX89" s="170"/>
      <c r="BY89" s="170"/>
      <c r="BZ89" s="170"/>
      <c r="CA89" s="170"/>
      <c r="CB89" s="170"/>
      <c r="CC89" s="170"/>
      <c r="CD89" s="170"/>
      <c r="CE89" s="170"/>
      <c r="CF89" s="170"/>
      <c r="CG89" s="170"/>
      <c r="CH89" s="170"/>
      <c r="CI89" s="170"/>
      <c r="CJ89" s="170"/>
      <c r="CK89" s="170"/>
      <c r="CL89" s="170"/>
      <c r="CM89" s="170"/>
      <c r="CN89" s="170"/>
      <c r="CO89" s="170"/>
      <c r="CP89" s="170"/>
      <c r="CQ89" s="170"/>
      <c r="CR89" s="170"/>
      <c r="CS89" s="170"/>
      <c r="CT89" s="170"/>
      <c r="CU89" s="170"/>
      <c r="CV89" s="170"/>
      <c r="CW89" s="170"/>
      <c r="CX89" s="170"/>
      <c r="CY89" s="170"/>
      <c r="CZ89" s="170"/>
      <c r="DA89" s="170"/>
      <c r="DB89" s="170"/>
      <c r="DC89" s="170"/>
      <c r="DD89" s="170"/>
      <c r="DE89" s="170"/>
      <c r="DF89" s="170"/>
      <c r="DG89" s="170"/>
      <c r="DH89" s="170"/>
      <c r="DI89" s="170"/>
      <c r="DJ89" s="170"/>
      <c r="DK89" s="170"/>
      <c r="DL89" s="170"/>
      <c r="DM89" s="170"/>
      <c r="DN89" s="170"/>
      <c r="DO89" s="170"/>
      <c r="DP89" s="170"/>
      <c r="DQ89" s="170"/>
      <c r="DR89" s="170"/>
      <c r="DS89" s="170"/>
      <c r="DT89" s="170"/>
      <c r="DU89" s="170"/>
      <c r="DV89" s="170"/>
      <c r="DW89" s="170"/>
      <c r="DX89" s="170"/>
      <c r="DY89" s="170"/>
      <c r="DZ89" s="170"/>
      <c r="EA89" s="170"/>
      <c r="EB89" s="170"/>
      <c r="EC89" s="170"/>
      <c r="ED89" s="170"/>
      <c r="EE89" s="170"/>
      <c r="EF89" s="170"/>
      <c r="EG89" s="170"/>
      <c r="EH89" s="170"/>
      <c r="EI89" s="170"/>
      <c r="EJ89" s="170"/>
      <c r="EK89" s="170"/>
      <c r="EL89" s="170"/>
      <c r="EM89" s="170"/>
      <c r="EN89" s="170"/>
      <c r="EO89" s="170"/>
      <c r="EP89" s="170"/>
      <c r="EQ89" s="170"/>
      <c r="ER89" s="170"/>
      <c r="ES89" s="170"/>
      <c r="ET89" s="170"/>
      <c r="EU89" s="170"/>
      <c r="EV89" s="170"/>
      <c r="EW89" s="170"/>
      <c r="EX89" s="170"/>
      <c r="EY89" s="170"/>
      <c r="EZ89" s="170"/>
      <c r="FA89" s="170"/>
      <c r="FB89" s="170"/>
      <c r="FC89" s="170"/>
      <c r="FD89" s="170"/>
      <c r="FE89" s="170"/>
      <c r="FF89" s="170"/>
      <c r="FG89" s="170"/>
      <c r="FH89" s="170"/>
      <c r="FI89" s="170"/>
      <c r="FJ89" s="170"/>
      <c r="FK89" s="170"/>
      <c r="FL89" s="170"/>
      <c r="FM89" s="170"/>
      <c r="FN89" s="170"/>
      <c r="FO89" s="170"/>
      <c r="FP89" s="170"/>
      <c r="FQ89" s="170"/>
      <c r="FR89" s="170"/>
      <c r="FS89" s="170"/>
      <c r="FT89" s="170"/>
      <c r="FU89" s="170"/>
      <c r="FV89" s="170"/>
      <c r="FW89" s="170"/>
      <c r="FX89" s="170"/>
      <c r="FY89" s="170"/>
      <c r="FZ89" s="170"/>
      <c r="GA89" s="170"/>
      <c r="GB89" s="170"/>
      <c r="GC89" s="170"/>
      <c r="GD89" s="170"/>
      <c r="GE89" s="170"/>
      <c r="GF89" s="170"/>
      <c r="GG89" s="170"/>
      <c r="GH89" s="170"/>
      <c r="GI89" s="170"/>
      <c r="GJ89" s="170"/>
      <c r="GK89" s="170"/>
      <c r="GL89" s="170"/>
      <c r="GM89" s="170"/>
      <c r="GN89" s="170"/>
      <c r="GO89" s="170"/>
      <c r="GP89" s="170"/>
      <c r="GQ89" s="170"/>
    </row>
    <row r="90" spans="2:199" hidden="1" outlineLevel="1">
      <c r="B90" s="182" t="s">
        <v>403</v>
      </c>
      <c r="C90" s="152">
        <v>1.0409999999999999</v>
      </c>
      <c r="D90" s="170"/>
      <c r="E90" s="170">
        <f>HLOOKUP(E83,Macroeconomics!$B$5:$GB$36,Macroeconomics!$A$24,0)*$C$90</f>
        <v>0.15643250005387641</v>
      </c>
      <c r="F90" s="170">
        <f>HLOOKUP(F83,Macroeconomics!$B$5:$GB$36,Macroeconomics!$A$24,0)*$C$90</f>
        <v>0.12300265287608095</v>
      </c>
      <c r="G90" s="170">
        <f>HLOOKUP(G83,Macroeconomics!$B$5:$GB$36,Macroeconomics!$A$24,0)*$C$90</f>
        <v>0.12885320353354346</v>
      </c>
      <c r="H90" s="170">
        <f>HLOOKUP(H83,Macroeconomics!$B$5:$GB$36,Macroeconomics!$A$24,0)*$C$90</f>
        <v>0.10281717317900388</v>
      </c>
      <c r="I90" s="170">
        <f>HLOOKUP(I83,Macroeconomics!$B$5:$GB$36,Macroeconomics!$A$24,0)*$C$90</f>
        <v>0.10157083645314482</v>
      </c>
      <c r="J90" s="170">
        <f>HLOOKUP(J83,Macroeconomics!$B$5:$GB$36,Macroeconomics!$A$24,0)*$C$90</f>
        <v>0.12063615496287419</v>
      </c>
      <c r="K90" s="170">
        <f>HLOOKUP(K83,Macroeconomics!$B$5:$GB$36,Macroeconomics!$A$24,0)*$C$90</f>
        <v>9.1150408256985616E-2</v>
      </c>
      <c r="L90" s="170">
        <f>HLOOKUP(L83,Macroeconomics!$B$5:$GB$36,Macroeconomics!$A$24,0)*$C$90</f>
        <v>8.7911738646979334E-2</v>
      </c>
      <c r="M90" s="170">
        <f>HLOOKUP(M83,Macroeconomics!$B$5:$GB$36,Macroeconomics!$A$24,0)*$C$90</f>
        <v>0.10008719766736905</v>
      </c>
      <c r="N90" s="170">
        <f>HLOOKUP(N83,Macroeconomics!$B$5:$GB$36,Macroeconomics!$A$24,0)*$C$90</f>
        <v>9.8834885706955075E-2</v>
      </c>
      <c r="O90" s="170">
        <f>HLOOKUP(O83,Macroeconomics!$B$5:$GB$36,Macroeconomics!$A$24,0)*$C$90</f>
        <v>0.10066469999999998</v>
      </c>
      <c r="P90" s="170">
        <f>HLOOKUP(P83,Macroeconomics!$B$5:$GB$36,Macroeconomics!$A$24,0)*$C$90</f>
        <v>0.10066469999999998</v>
      </c>
      <c r="Q90" s="170">
        <f>HLOOKUP(Q83,Macroeconomics!$B$5:$GB$36,Macroeconomics!$A$24,0)*$C$90</f>
        <v>9.8166299999999984E-2</v>
      </c>
      <c r="R90" s="170">
        <f>HLOOKUP(R83,Macroeconomics!$B$5:$GB$36,Macroeconomics!$A$24,0)*$C$90</f>
        <v>9.8062200000000002E-2</v>
      </c>
      <c r="S90" s="170">
        <f>HLOOKUP(S83,Macroeconomics!$B$5:$GB$36,Macroeconomics!$A$24,0)*$C$90</f>
        <v>9.8062200000000002E-2</v>
      </c>
      <c r="T90" s="170">
        <f>HLOOKUP(T83,Macroeconomics!$B$5:$GB$36,Macroeconomics!$A$24,0)*$C$90</f>
        <v>9.8062200000000002E-2</v>
      </c>
      <c r="U90" s="170">
        <f>HLOOKUP(U83,Macroeconomics!$B$5:$GB$36,Macroeconomics!$A$24,0)*$C$90</f>
        <v>9.556379999999999E-2</v>
      </c>
      <c r="V90" s="170">
        <f>HLOOKUP(V83,Macroeconomics!$B$5:$GB$36,Macroeconomics!$A$24,0)*$C$90</f>
        <v>9.556379999999999E-2</v>
      </c>
      <c r="W90" s="170">
        <f>HLOOKUP(W83,Macroeconomics!$B$5:$GB$36,Macroeconomics!$A$24,0)*$C$90</f>
        <v>9.556379999999999E-2</v>
      </c>
      <c r="X90" s="170">
        <f>HLOOKUP(X83,Macroeconomics!$B$5:$GB$36,Macroeconomics!$A$24,0)*$C$90</f>
        <v>9.556379999999999E-2</v>
      </c>
      <c r="Y90" s="170">
        <f>HLOOKUP(Y83,Macroeconomics!$B$5:$GB$36,Macroeconomics!$A$24,0)*$C$90</f>
        <v>9.556379999999999E-2</v>
      </c>
      <c r="Z90" s="170">
        <f>HLOOKUP(Z83,Macroeconomics!$B$5:$GB$36,Macroeconomics!$A$24,0)*$C$90</f>
        <v>9.2961299999999983E-2</v>
      </c>
      <c r="AA90" s="170">
        <f>HLOOKUP(AA83,Macroeconomics!$B$5:$GB$36,Macroeconomics!$A$24,0)*$C$90</f>
        <v>9.2961299999999983E-2</v>
      </c>
      <c r="AB90" s="170">
        <f>HLOOKUP(AB83,Macroeconomics!$B$5:$GB$36,Macroeconomics!$A$24,0)*$C$90</f>
        <v>9.2961299999999983E-2</v>
      </c>
      <c r="AC90" s="170">
        <f>HLOOKUP(AC83,Macroeconomics!$B$5:$GB$36,Macroeconomics!$A$24,0)*$C$90</f>
        <v>9.2961299999999983E-2</v>
      </c>
      <c r="AD90" s="170"/>
      <c r="AE90" s="170"/>
      <c r="AF90" s="170"/>
      <c r="AG90" s="170"/>
      <c r="AH90" s="170"/>
      <c r="AI90" s="170"/>
      <c r="AJ90" s="170"/>
      <c r="AK90" s="170"/>
      <c r="AL90" s="170"/>
      <c r="AM90" s="170"/>
      <c r="AN90" s="170"/>
      <c r="AO90" s="170"/>
      <c r="AP90" s="170"/>
      <c r="AQ90" s="170"/>
      <c r="AR90" s="170"/>
      <c r="AS90" s="170"/>
      <c r="AT90" s="170"/>
      <c r="AU90" s="170"/>
      <c r="AV90" s="170"/>
      <c r="AW90" s="170"/>
      <c r="AX90" s="170"/>
      <c r="AY90" s="170"/>
      <c r="AZ90" s="170"/>
      <c r="BA90" s="170"/>
      <c r="BB90" s="170"/>
      <c r="BC90" s="170"/>
      <c r="BD90" s="170"/>
      <c r="BE90" s="170"/>
      <c r="BF90" s="170"/>
      <c r="BG90" s="170"/>
      <c r="BH90" s="170"/>
      <c r="BI90" s="170"/>
      <c r="BJ90" s="170"/>
      <c r="BK90" s="170"/>
      <c r="BL90" s="170"/>
      <c r="BM90" s="170"/>
      <c r="BN90" s="170"/>
      <c r="BO90" s="170"/>
      <c r="BP90" s="170"/>
      <c r="BQ90" s="170"/>
      <c r="BR90" s="170"/>
      <c r="BS90" s="170"/>
      <c r="BT90" s="170"/>
      <c r="BU90" s="170"/>
      <c r="BV90" s="170"/>
      <c r="BW90" s="170"/>
      <c r="BX90" s="170"/>
      <c r="BY90" s="170"/>
      <c r="BZ90" s="170"/>
      <c r="CA90" s="170"/>
      <c r="CB90" s="170"/>
      <c r="CC90" s="170"/>
      <c r="CD90" s="170"/>
      <c r="CE90" s="170"/>
      <c r="CF90" s="170"/>
      <c r="CG90" s="170"/>
      <c r="CH90" s="170"/>
      <c r="CI90" s="170"/>
      <c r="CJ90" s="170"/>
      <c r="CK90" s="170"/>
      <c r="CL90" s="170"/>
      <c r="CM90" s="170"/>
      <c r="CN90" s="170"/>
      <c r="CO90" s="170"/>
      <c r="CP90" s="170"/>
      <c r="CQ90" s="170"/>
      <c r="CR90" s="170"/>
      <c r="CS90" s="170"/>
      <c r="CT90" s="170"/>
      <c r="CU90" s="170"/>
      <c r="CV90" s="170"/>
      <c r="CW90" s="170"/>
      <c r="CX90" s="170"/>
      <c r="CY90" s="170"/>
      <c r="CZ90" s="170"/>
      <c r="DA90" s="170"/>
      <c r="DB90" s="170"/>
      <c r="DC90" s="170"/>
      <c r="DD90" s="170"/>
      <c r="DE90" s="170"/>
      <c r="DF90" s="170"/>
      <c r="DG90" s="170"/>
      <c r="DH90" s="170"/>
      <c r="DI90" s="170"/>
      <c r="DJ90" s="170"/>
      <c r="DK90" s="170"/>
      <c r="DL90" s="170"/>
      <c r="DM90" s="170"/>
      <c r="DN90" s="170"/>
      <c r="DO90" s="170"/>
      <c r="DP90" s="170"/>
      <c r="DQ90" s="170"/>
      <c r="DR90" s="170"/>
      <c r="DS90" s="170"/>
      <c r="DT90" s="170"/>
      <c r="DU90" s="170"/>
      <c r="DV90" s="170"/>
      <c r="DW90" s="170"/>
      <c r="DX90" s="170"/>
      <c r="DY90" s="170"/>
      <c r="DZ90" s="170"/>
      <c r="EA90" s="170"/>
      <c r="EB90" s="170"/>
      <c r="EC90" s="170"/>
      <c r="ED90" s="170"/>
      <c r="EE90" s="170"/>
      <c r="EF90" s="170"/>
      <c r="EG90" s="170"/>
      <c r="EH90" s="170"/>
      <c r="EI90" s="170"/>
      <c r="EJ90" s="170"/>
      <c r="EK90" s="170"/>
      <c r="EL90" s="170"/>
      <c r="EM90" s="170"/>
      <c r="EN90" s="170"/>
      <c r="EO90" s="170"/>
      <c r="EP90" s="170"/>
      <c r="EQ90" s="170"/>
      <c r="ER90" s="170"/>
      <c r="ES90" s="170"/>
      <c r="ET90" s="170"/>
      <c r="EU90" s="170"/>
      <c r="EV90" s="170"/>
      <c r="EW90" s="170"/>
      <c r="EX90" s="170"/>
      <c r="EY90" s="170"/>
      <c r="EZ90" s="170"/>
      <c r="FA90" s="170"/>
      <c r="FB90" s="170"/>
      <c r="FC90" s="170"/>
      <c r="FD90" s="170"/>
      <c r="FE90" s="170"/>
      <c r="FF90" s="170"/>
      <c r="FG90" s="170"/>
      <c r="FH90" s="170"/>
      <c r="FI90" s="170"/>
      <c r="FJ90" s="170"/>
      <c r="FK90" s="170"/>
      <c r="FL90" s="170"/>
      <c r="FM90" s="170"/>
      <c r="FN90" s="170"/>
      <c r="FO90" s="170"/>
      <c r="FP90" s="170"/>
      <c r="FQ90" s="170"/>
      <c r="FR90" s="170"/>
      <c r="FS90" s="170"/>
      <c r="FT90" s="170"/>
      <c r="FU90" s="170"/>
      <c r="FV90" s="170"/>
      <c r="FW90" s="170"/>
      <c r="FX90" s="170"/>
      <c r="FY90" s="170"/>
      <c r="FZ90" s="170"/>
      <c r="GA90" s="170"/>
      <c r="GB90" s="170"/>
      <c r="GC90" s="170"/>
      <c r="GD90" s="170"/>
      <c r="GE90" s="170"/>
      <c r="GF90" s="170"/>
      <c r="GG90" s="170"/>
      <c r="GH90" s="170"/>
      <c r="GI90" s="170"/>
      <c r="GJ90" s="170"/>
      <c r="GK90" s="170"/>
      <c r="GL90" s="170"/>
      <c r="GM90" s="170"/>
      <c r="GN90" s="170"/>
      <c r="GO90" s="170"/>
      <c r="GP90" s="170"/>
      <c r="GQ90" s="170"/>
    </row>
    <row r="91" spans="2:199" hidden="1" outlineLevel="1">
      <c r="B91" s="161" t="s">
        <v>413</v>
      </c>
      <c r="C91" s="163">
        <v>3</v>
      </c>
    </row>
    <row r="92" spans="2:199" hidden="1" outlineLevel="1">
      <c r="B92" s="182" t="s">
        <v>409</v>
      </c>
      <c r="C92" s="131">
        <v>1</v>
      </c>
      <c r="D92" s="182" t="s">
        <v>404</v>
      </c>
      <c r="E92" s="160">
        <f>IF(OR(E$82&lt;=$C$84,E$82&gt;$C$85),0,IF(AND(E$82&lt;=$C$86,$C92=1,MOD(MONTH(E$82)-MONTH($C$84),$C$91)=0),1,IF(AND(MOD(MONTH(E$82)-MONTH($C$84),$C$91)=0,E$82&gt;=$C$86),1,0)))</f>
        <v>0</v>
      </c>
      <c r="F92" s="160">
        <f t="shared" ref="F92:AC92" si="222">IF(OR(F$82&lt;=$C$84,F$82&gt;$C$85),0,IF(AND(F$82&lt;=$C$86,$C92=1,MOD(MONTH(F$82)-MONTH($C$84),$C$91)=0),1,IF(AND(MOD(MONTH(F$82)-MONTH($C$84),$C$91)=0,F$82&gt;=$C$86),1,0)))</f>
        <v>1</v>
      </c>
      <c r="G92" s="160">
        <f t="shared" si="222"/>
        <v>1</v>
      </c>
      <c r="H92" s="160">
        <f t="shared" si="222"/>
        <v>1</v>
      </c>
      <c r="I92" s="160">
        <f t="shared" si="222"/>
        <v>1</v>
      </c>
      <c r="J92" s="160">
        <f t="shared" si="222"/>
        <v>1</v>
      </c>
      <c r="K92" s="160">
        <f t="shared" si="222"/>
        <v>1</v>
      </c>
      <c r="L92" s="160">
        <f t="shared" si="222"/>
        <v>0</v>
      </c>
      <c r="M92" s="160">
        <f t="shared" si="222"/>
        <v>0</v>
      </c>
      <c r="N92" s="160">
        <f t="shared" si="222"/>
        <v>0</v>
      </c>
      <c r="O92" s="160">
        <f t="shared" si="222"/>
        <v>0</v>
      </c>
      <c r="P92" s="160">
        <f t="shared" si="222"/>
        <v>0</v>
      </c>
      <c r="Q92" s="160">
        <f t="shared" si="222"/>
        <v>0</v>
      </c>
      <c r="R92" s="160">
        <f t="shared" si="222"/>
        <v>0</v>
      </c>
      <c r="S92" s="160">
        <f t="shared" si="222"/>
        <v>0</v>
      </c>
      <c r="T92" s="160">
        <f t="shared" si="222"/>
        <v>0</v>
      </c>
      <c r="U92" s="160">
        <f t="shared" si="222"/>
        <v>0</v>
      </c>
      <c r="V92" s="160">
        <f>IF(OR(V$82&lt;=$C$84,V$82&gt;$C$85),0,IF(AND(V$82&lt;=$C$86,$C92=1,MOD(MONTH(V$82)-MONTH($C$84),$C$91)=0),1,IF(AND(MOD(MONTH(V$82)-MONTH($C$84),$C$91)=0,V$82&gt;=$C$86),1,0)))</f>
        <v>0</v>
      </c>
      <c r="W92" s="160">
        <f t="shared" si="222"/>
        <v>0</v>
      </c>
      <c r="X92" s="160">
        <f t="shared" si="222"/>
        <v>0</v>
      </c>
      <c r="Y92" s="160">
        <f t="shared" si="222"/>
        <v>0</v>
      </c>
      <c r="Z92" s="160">
        <f t="shared" si="222"/>
        <v>0</v>
      </c>
      <c r="AA92" s="160">
        <f t="shared" si="222"/>
        <v>0</v>
      </c>
      <c r="AB92" s="160">
        <f t="shared" si="222"/>
        <v>0</v>
      </c>
      <c r="AC92" s="160">
        <f t="shared" si="222"/>
        <v>0</v>
      </c>
      <c r="AD92" s="160"/>
      <c r="AE92" s="160"/>
      <c r="AF92" s="160"/>
      <c r="AG92" s="160"/>
      <c r="AH92" s="160"/>
      <c r="AI92" s="160"/>
      <c r="AJ92" s="160"/>
      <c r="AK92" s="160"/>
      <c r="AL92" s="160"/>
      <c r="AM92" s="160"/>
      <c r="AN92" s="160"/>
      <c r="AO92" s="160"/>
      <c r="AP92" s="160"/>
      <c r="AQ92" s="160"/>
      <c r="AR92" s="160"/>
      <c r="AS92" s="160"/>
      <c r="AT92" s="160"/>
      <c r="AU92" s="160"/>
      <c r="AV92" s="160"/>
      <c r="AW92" s="160"/>
      <c r="AX92" s="160"/>
      <c r="AY92" s="160"/>
      <c r="AZ92" s="160"/>
      <c r="BA92" s="160"/>
      <c r="BB92" s="160"/>
      <c r="BC92" s="160"/>
      <c r="BD92" s="160"/>
      <c r="BE92" s="160"/>
      <c r="BF92" s="160"/>
      <c r="BG92" s="160"/>
      <c r="BH92" s="160"/>
      <c r="BI92" s="160"/>
      <c r="BJ92" s="160"/>
      <c r="BK92" s="160"/>
      <c r="BL92" s="160"/>
      <c r="BM92" s="160"/>
      <c r="BN92" s="160"/>
      <c r="BO92" s="160"/>
      <c r="BP92" s="160"/>
      <c r="BQ92" s="160"/>
      <c r="BR92" s="160"/>
      <c r="BS92" s="160"/>
      <c r="BT92" s="160"/>
      <c r="BU92" s="160"/>
      <c r="BV92" s="160"/>
      <c r="BW92" s="160"/>
      <c r="BX92" s="160"/>
      <c r="BY92" s="160"/>
      <c r="BZ92" s="160"/>
      <c r="CA92" s="160"/>
      <c r="CB92" s="160"/>
      <c r="CC92" s="160"/>
      <c r="CD92" s="160"/>
      <c r="CE92" s="160"/>
      <c r="CF92" s="160"/>
      <c r="CG92" s="160"/>
      <c r="CH92" s="160"/>
      <c r="CI92" s="160"/>
      <c r="CJ92" s="160"/>
      <c r="CK92" s="160"/>
      <c r="CL92" s="160"/>
      <c r="CM92" s="160"/>
      <c r="CN92" s="160"/>
      <c r="CO92" s="160"/>
      <c r="CP92" s="160"/>
      <c r="CQ92" s="160"/>
      <c r="CR92" s="160"/>
      <c r="CS92" s="160"/>
      <c r="CT92" s="160"/>
      <c r="CU92" s="160"/>
      <c r="CV92" s="160"/>
      <c r="CW92" s="160"/>
      <c r="CX92" s="160"/>
      <c r="CY92" s="160"/>
      <c r="CZ92" s="160"/>
      <c r="DA92" s="160"/>
      <c r="DB92" s="160"/>
      <c r="DC92" s="160"/>
      <c r="DD92" s="160"/>
      <c r="DE92" s="160"/>
      <c r="DF92" s="160"/>
      <c r="DG92" s="160"/>
      <c r="DH92" s="160"/>
      <c r="DI92" s="160"/>
      <c r="DJ92" s="160"/>
      <c r="DK92" s="160"/>
      <c r="DL92" s="160"/>
      <c r="DM92" s="160"/>
      <c r="DN92" s="160"/>
      <c r="DO92" s="160"/>
      <c r="DP92" s="160"/>
      <c r="DQ92" s="160"/>
      <c r="DR92" s="160"/>
      <c r="DS92" s="160"/>
      <c r="DT92" s="160"/>
      <c r="DU92" s="160"/>
      <c r="DV92" s="160"/>
      <c r="DW92" s="160"/>
      <c r="DX92" s="160"/>
      <c r="DY92" s="160"/>
      <c r="DZ92" s="160"/>
      <c r="EA92" s="160"/>
      <c r="EB92" s="160"/>
      <c r="EC92" s="160"/>
      <c r="ED92" s="160"/>
      <c r="EE92" s="160"/>
      <c r="EF92" s="160"/>
      <c r="EG92" s="160"/>
      <c r="EH92" s="160"/>
      <c r="EI92" s="160"/>
      <c r="EJ92" s="160"/>
      <c r="EK92" s="160"/>
      <c r="EL92" s="160"/>
      <c r="EM92" s="160"/>
      <c r="EN92" s="160"/>
      <c r="EO92" s="160"/>
      <c r="EP92" s="160"/>
      <c r="EQ92" s="160"/>
      <c r="ER92" s="160"/>
      <c r="ES92" s="160"/>
      <c r="ET92" s="160"/>
      <c r="EU92" s="160"/>
      <c r="EV92" s="160"/>
      <c r="EW92" s="160"/>
      <c r="EX92" s="160"/>
      <c r="EY92" s="160"/>
      <c r="EZ92" s="160"/>
      <c r="FA92" s="160"/>
      <c r="FB92" s="160"/>
      <c r="FC92" s="160"/>
      <c r="FD92" s="160"/>
      <c r="FE92" s="160"/>
      <c r="FF92" s="160"/>
      <c r="FG92" s="160"/>
      <c r="FH92" s="160"/>
      <c r="FI92" s="160"/>
      <c r="FJ92" s="160"/>
      <c r="FK92" s="160"/>
      <c r="FL92" s="160"/>
      <c r="FM92" s="160"/>
      <c r="FN92" s="160"/>
      <c r="FO92" s="160"/>
      <c r="FP92" s="160"/>
      <c r="FQ92" s="160"/>
      <c r="FR92" s="160"/>
      <c r="FS92" s="160"/>
      <c r="FT92" s="160"/>
      <c r="FU92" s="160"/>
      <c r="FV92" s="160"/>
      <c r="FW92" s="160"/>
      <c r="FX92" s="160"/>
      <c r="FY92" s="160"/>
      <c r="FZ92" s="160"/>
      <c r="GA92" s="160"/>
      <c r="GB92" s="160"/>
      <c r="GC92" s="160"/>
      <c r="GD92" s="160"/>
      <c r="GE92" s="160"/>
      <c r="GF92" s="160"/>
      <c r="GG92" s="160"/>
      <c r="GH92" s="160"/>
      <c r="GI92" s="160"/>
      <c r="GJ92" s="160"/>
      <c r="GK92" s="160"/>
      <c r="GL92" s="160"/>
      <c r="GM92" s="160"/>
      <c r="GN92" s="160"/>
      <c r="GO92" s="160"/>
      <c r="GP92" s="160"/>
      <c r="GQ92" s="160"/>
    </row>
    <row r="93" spans="2:199" hidden="1" outlineLevel="1">
      <c r="B93" s="182" t="s">
        <v>412</v>
      </c>
      <c r="C93" s="131">
        <v>0</v>
      </c>
      <c r="D93" s="182" t="s">
        <v>405</v>
      </c>
      <c r="E93" s="160">
        <f>IF(E87&lt;&gt;"",1,0)</f>
        <v>0</v>
      </c>
      <c r="F93" s="160">
        <f t="shared" ref="F93:O93" si="223">IF(F87&lt;&gt;"",1,0)</f>
        <v>0</v>
      </c>
      <c r="G93" s="160">
        <f t="shared" si="223"/>
        <v>0</v>
      </c>
      <c r="H93" s="160">
        <f t="shared" si="223"/>
        <v>0</v>
      </c>
      <c r="I93" s="160">
        <f t="shared" si="223"/>
        <v>1</v>
      </c>
      <c r="J93" s="160">
        <f t="shared" si="223"/>
        <v>1</v>
      </c>
      <c r="K93" s="160">
        <f t="shared" si="223"/>
        <v>1</v>
      </c>
      <c r="L93" s="160">
        <f t="shared" si="223"/>
        <v>0</v>
      </c>
      <c r="M93" s="160">
        <f t="shared" si="223"/>
        <v>0</v>
      </c>
      <c r="N93" s="160">
        <f t="shared" si="223"/>
        <v>0</v>
      </c>
      <c r="O93" s="160">
        <f t="shared" si="223"/>
        <v>0</v>
      </c>
      <c r="P93" s="160">
        <f t="shared" ref="P93:AC93" si="224">IF(P87&lt;&gt;"",1,0)</f>
        <v>0</v>
      </c>
      <c r="Q93" s="160">
        <f t="shared" si="224"/>
        <v>0</v>
      </c>
      <c r="R93" s="160">
        <f t="shared" si="224"/>
        <v>0</v>
      </c>
      <c r="S93" s="160">
        <f t="shared" si="224"/>
        <v>0</v>
      </c>
      <c r="T93" s="160">
        <f t="shared" si="224"/>
        <v>0</v>
      </c>
      <c r="U93" s="160">
        <f t="shared" si="224"/>
        <v>0</v>
      </c>
      <c r="V93" s="160">
        <f t="shared" si="224"/>
        <v>0</v>
      </c>
      <c r="W93" s="160">
        <f t="shared" si="224"/>
        <v>0</v>
      </c>
      <c r="X93" s="160">
        <f t="shared" si="224"/>
        <v>0</v>
      </c>
      <c r="Y93" s="160">
        <f t="shared" si="224"/>
        <v>0</v>
      </c>
      <c r="Z93" s="160">
        <f t="shared" si="224"/>
        <v>0</v>
      </c>
      <c r="AA93" s="160">
        <f t="shared" si="224"/>
        <v>0</v>
      </c>
      <c r="AB93" s="160">
        <f t="shared" si="224"/>
        <v>0</v>
      </c>
      <c r="AC93" s="160">
        <f t="shared" si="224"/>
        <v>0</v>
      </c>
      <c r="AD93" s="160"/>
      <c r="AE93" s="160"/>
      <c r="AF93" s="160"/>
      <c r="AG93" s="160"/>
      <c r="AH93" s="160"/>
      <c r="AI93" s="160"/>
      <c r="AJ93" s="160"/>
      <c r="AK93" s="160"/>
      <c r="AL93" s="160"/>
      <c r="AM93" s="160"/>
      <c r="AN93" s="160"/>
      <c r="AO93" s="160"/>
      <c r="AP93" s="160"/>
      <c r="AQ93" s="160"/>
      <c r="AR93" s="160"/>
      <c r="AS93" s="160"/>
      <c r="AT93" s="160"/>
      <c r="AU93" s="160"/>
      <c r="AV93" s="160"/>
      <c r="AW93" s="160"/>
      <c r="AX93" s="160"/>
      <c r="AY93" s="160"/>
      <c r="AZ93" s="160"/>
      <c r="BA93" s="160"/>
      <c r="BB93" s="160"/>
      <c r="BC93" s="160"/>
      <c r="BD93" s="160"/>
      <c r="BE93" s="160"/>
      <c r="BF93" s="160"/>
      <c r="BG93" s="160"/>
      <c r="BH93" s="160"/>
      <c r="BI93" s="160"/>
      <c r="BJ93" s="160"/>
      <c r="BK93" s="160"/>
      <c r="BL93" s="160"/>
      <c r="BM93" s="160"/>
      <c r="BN93" s="160"/>
      <c r="BO93" s="160"/>
      <c r="BP93" s="160"/>
      <c r="BQ93" s="160"/>
      <c r="BR93" s="160"/>
      <c r="BS93" s="160"/>
      <c r="BT93" s="160"/>
      <c r="BU93" s="160"/>
      <c r="BV93" s="160"/>
      <c r="BW93" s="160"/>
      <c r="BX93" s="160"/>
      <c r="BY93" s="160"/>
      <c r="BZ93" s="160"/>
      <c r="CA93" s="160"/>
      <c r="CB93" s="160"/>
      <c r="CC93" s="160"/>
      <c r="CD93" s="160"/>
      <c r="CE93" s="160"/>
      <c r="CF93" s="160"/>
      <c r="CG93" s="160"/>
      <c r="CH93" s="160"/>
      <c r="CI93" s="160"/>
      <c r="CJ93" s="160"/>
      <c r="CK93" s="160"/>
      <c r="CL93" s="160"/>
      <c r="CM93" s="160"/>
      <c r="CN93" s="160"/>
      <c r="CO93" s="160"/>
      <c r="CP93" s="160"/>
      <c r="CQ93" s="160"/>
      <c r="CR93" s="160"/>
      <c r="CS93" s="160"/>
      <c r="CT93" s="160"/>
      <c r="CU93" s="160"/>
      <c r="CV93" s="160"/>
      <c r="CW93" s="160"/>
      <c r="CX93" s="160"/>
      <c r="CY93" s="160"/>
      <c r="CZ93" s="160"/>
      <c r="DA93" s="160"/>
      <c r="DB93" s="160"/>
      <c r="DC93" s="160"/>
      <c r="DD93" s="160"/>
      <c r="DE93" s="160"/>
      <c r="DF93" s="160"/>
      <c r="DG93" s="160"/>
      <c r="DH93" s="160"/>
      <c r="DI93" s="160"/>
      <c r="DJ93" s="160"/>
      <c r="DK93" s="160"/>
      <c r="DL93" s="160"/>
      <c r="DM93" s="160"/>
      <c r="DN93" s="160"/>
      <c r="DO93" s="160"/>
      <c r="DP93" s="160"/>
      <c r="DQ93" s="160"/>
      <c r="DR93" s="160"/>
      <c r="DS93" s="160"/>
      <c r="DT93" s="160"/>
      <c r="DU93" s="160"/>
      <c r="DV93" s="160"/>
      <c r="DW93" s="160"/>
      <c r="DX93" s="160"/>
      <c r="DY93" s="160"/>
      <c r="DZ93" s="160"/>
      <c r="EA93" s="160"/>
      <c r="EB93" s="160"/>
      <c r="EC93" s="160"/>
      <c r="ED93" s="160"/>
      <c r="EE93" s="160"/>
      <c r="EF93" s="160"/>
      <c r="EG93" s="160"/>
      <c r="EH93" s="160"/>
      <c r="EI93" s="160"/>
      <c r="EJ93" s="160"/>
      <c r="EK93" s="160"/>
      <c r="EL93" s="160"/>
      <c r="EM93" s="160"/>
      <c r="EN93" s="160"/>
      <c r="EO93" s="160"/>
      <c r="EP93" s="160"/>
      <c r="EQ93" s="160"/>
      <c r="ER93" s="160"/>
      <c r="ES93" s="160"/>
      <c r="ET93" s="160"/>
      <c r="EU93" s="160"/>
      <c r="EV93" s="160"/>
      <c r="EW93" s="160"/>
      <c r="EX93" s="160"/>
      <c r="EY93" s="160"/>
      <c r="EZ93" s="160"/>
      <c r="FA93" s="160"/>
      <c r="FB93" s="160"/>
      <c r="FC93" s="160"/>
      <c r="FD93" s="160"/>
      <c r="FE93" s="160"/>
      <c r="FF93" s="160"/>
      <c r="FG93" s="160"/>
      <c r="FH93" s="160"/>
      <c r="FI93" s="160"/>
      <c r="FJ93" s="160"/>
      <c r="FK93" s="160"/>
      <c r="FL93" s="160"/>
      <c r="FM93" s="160"/>
      <c r="FN93" s="160"/>
      <c r="FO93" s="160"/>
      <c r="FP93" s="160"/>
      <c r="FQ93" s="160"/>
      <c r="FR93" s="160"/>
      <c r="FS93" s="160"/>
      <c r="FT93" s="160"/>
      <c r="FU93" s="160"/>
      <c r="FV93" s="160"/>
      <c r="FW93" s="160"/>
      <c r="FX93" s="160"/>
      <c r="FY93" s="160"/>
      <c r="FZ93" s="160"/>
      <c r="GA93" s="160"/>
      <c r="GB93" s="160"/>
      <c r="GC93" s="160"/>
      <c r="GD93" s="160"/>
      <c r="GE93" s="160"/>
      <c r="GF93" s="160"/>
      <c r="GG93" s="160"/>
      <c r="GH93" s="160"/>
      <c r="GI93" s="160"/>
      <c r="GJ93" s="160"/>
      <c r="GK93" s="160"/>
      <c r="GL93" s="160"/>
      <c r="GM93" s="160"/>
      <c r="GN93" s="160"/>
      <c r="GO93" s="160"/>
      <c r="GP93" s="160"/>
      <c r="GQ93" s="160"/>
    </row>
    <row r="94" spans="2:199" hidden="1" outlineLevel="1">
      <c r="B94" s="182" t="s">
        <v>406</v>
      </c>
      <c r="C94" s="207">
        <v>2</v>
      </c>
      <c r="D94" s="159"/>
      <c r="E94" s="159">
        <f>MAX(C94-E93,0)</f>
        <v>2</v>
      </c>
      <c r="F94" s="159">
        <f t="shared" ref="F94:O94" si="225">MAX(D94-F93,0)</f>
        <v>0</v>
      </c>
      <c r="G94" s="159">
        <f t="shared" si="225"/>
        <v>2</v>
      </c>
      <c r="H94" s="159">
        <f t="shared" si="225"/>
        <v>0</v>
      </c>
      <c r="I94" s="159">
        <f t="shared" si="225"/>
        <v>1</v>
      </c>
      <c r="J94" s="159">
        <f t="shared" si="225"/>
        <v>0</v>
      </c>
      <c r="K94" s="159">
        <f t="shared" si="225"/>
        <v>0</v>
      </c>
      <c r="L94" s="159">
        <f t="shared" si="225"/>
        <v>0</v>
      </c>
      <c r="M94" s="159">
        <f t="shared" si="225"/>
        <v>0</v>
      </c>
      <c r="N94" s="159">
        <f t="shared" si="225"/>
        <v>0</v>
      </c>
      <c r="O94" s="159">
        <f t="shared" si="225"/>
        <v>0</v>
      </c>
      <c r="P94" s="159">
        <f t="shared" ref="P94" si="226">MAX(N94-P93,0)</f>
        <v>0</v>
      </c>
      <c r="Q94" s="159">
        <f t="shared" ref="Q94" si="227">MAX(O94-Q93,0)</f>
        <v>0</v>
      </c>
      <c r="R94" s="159">
        <f t="shared" ref="R94" si="228">MAX(P94-R93,0)</f>
        <v>0</v>
      </c>
      <c r="S94" s="159">
        <f t="shared" ref="S94" si="229">MAX(Q94-S93,0)</f>
        <v>0</v>
      </c>
      <c r="T94" s="159">
        <f t="shared" ref="T94" si="230">MAX(R94-T93,0)</f>
        <v>0</v>
      </c>
      <c r="U94" s="159">
        <f t="shared" ref="U94" si="231">MAX(S94-U93,0)</f>
        <v>0</v>
      </c>
      <c r="V94" s="159">
        <f t="shared" ref="V94" si="232">MAX(T94-V93,0)</f>
        <v>0</v>
      </c>
      <c r="W94" s="159">
        <f t="shared" ref="W94" si="233">MAX(U94-W93,0)</f>
        <v>0</v>
      </c>
      <c r="X94" s="159">
        <f t="shared" ref="X94:Y94" si="234">MAX(V94-X93,0)</f>
        <v>0</v>
      </c>
      <c r="Y94" s="159">
        <f t="shared" si="234"/>
        <v>0</v>
      </c>
      <c r="Z94" s="159">
        <f t="shared" ref="Z94" si="235">MAX(X94-Z93,0)</f>
        <v>0</v>
      </c>
      <c r="AA94" s="159">
        <f t="shared" ref="AA94" si="236">MAX(Y94-AA93,0)</f>
        <v>0</v>
      </c>
      <c r="AB94" s="159">
        <f t="shared" ref="AB94" si="237">MAX(Z94-AB93,0)</f>
        <v>0</v>
      </c>
      <c r="AC94" s="159">
        <f t="shared" ref="AC94" si="238">MAX(AA94-AC93,0)</f>
        <v>0</v>
      </c>
      <c r="AD94" s="159"/>
      <c r="AE94" s="159"/>
      <c r="AF94" s="159"/>
      <c r="AG94" s="159"/>
      <c r="AH94" s="159"/>
      <c r="AI94" s="159"/>
      <c r="AJ94" s="159"/>
      <c r="AK94" s="159"/>
      <c r="AL94" s="159"/>
      <c r="AM94" s="159"/>
      <c r="AN94" s="159"/>
      <c r="AO94" s="159"/>
      <c r="AP94" s="159"/>
      <c r="AQ94" s="159"/>
      <c r="AR94" s="159"/>
      <c r="AS94" s="159"/>
      <c r="AT94" s="159"/>
      <c r="AU94" s="159"/>
      <c r="AV94" s="159"/>
      <c r="AW94" s="159"/>
      <c r="AX94" s="159"/>
      <c r="AY94" s="159"/>
      <c r="AZ94" s="159"/>
      <c r="BA94" s="159"/>
      <c r="BB94" s="159"/>
      <c r="BC94" s="159"/>
      <c r="BD94" s="159"/>
      <c r="BE94" s="159"/>
      <c r="BF94" s="159"/>
      <c r="BG94" s="159"/>
      <c r="BH94" s="159"/>
      <c r="BI94" s="159"/>
      <c r="BJ94" s="159"/>
      <c r="BK94" s="159"/>
      <c r="BL94" s="159"/>
      <c r="BM94" s="159"/>
      <c r="BN94" s="159"/>
      <c r="BO94" s="159"/>
      <c r="BP94" s="159"/>
      <c r="BQ94" s="159"/>
      <c r="BR94" s="159"/>
      <c r="BS94" s="159"/>
      <c r="BT94" s="159"/>
      <c r="BU94" s="159"/>
      <c r="BV94" s="159"/>
      <c r="BW94" s="159"/>
      <c r="BX94" s="159"/>
      <c r="BY94" s="159"/>
      <c r="BZ94" s="159"/>
      <c r="CA94" s="159"/>
      <c r="CB94" s="159"/>
      <c r="CC94" s="159"/>
      <c r="CD94" s="159"/>
      <c r="CE94" s="159"/>
      <c r="CF94" s="159"/>
      <c r="CG94" s="159"/>
      <c r="CH94" s="159"/>
      <c r="CI94" s="159"/>
      <c r="CJ94" s="159"/>
      <c r="CK94" s="159"/>
      <c r="CL94" s="159"/>
      <c r="CM94" s="159"/>
      <c r="CN94" s="159"/>
      <c r="CO94" s="159"/>
      <c r="CP94" s="159"/>
      <c r="CQ94" s="159"/>
      <c r="CR94" s="159"/>
      <c r="CS94" s="159"/>
      <c r="CT94" s="159"/>
      <c r="CU94" s="159"/>
      <c r="CV94" s="159"/>
      <c r="CW94" s="159"/>
      <c r="CX94" s="159"/>
      <c r="CY94" s="159"/>
      <c r="CZ94" s="159"/>
      <c r="DA94" s="159"/>
      <c r="DB94" s="159"/>
      <c r="DC94" s="159"/>
      <c r="DD94" s="159"/>
      <c r="DE94" s="159"/>
      <c r="DF94" s="159"/>
      <c r="DG94" s="159"/>
      <c r="DH94" s="159"/>
      <c r="DI94" s="159"/>
      <c r="DJ94" s="159"/>
      <c r="DK94" s="159"/>
      <c r="DL94" s="159"/>
      <c r="DM94" s="159"/>
      <c r="DN94" s="159"/>
      <c r="DO94" s="159"/>
      <c r="DP94" s="159"/>
      <c r="DQ94" s="159"/>
      <c r="DR94" s="159"/>
      <c r="DS94" s="159"/>
      <c r="DT94" s="159"/>
      <c r="DU94" s="159"/>
      <c r="DV94" s="159"/>
      <c r="DW94" s="159"/>
      <c r="DX94" s="159"/>
      <c r="DY94" s="159"/>
      <c r="DZ94" s="159"/>
      <c r="EA94" s="159"/>
      <c r="EB94" s="159"/>
      <c r="EC94" s="159"/>
      <c r="ED94" s="159"/>
      <c r="EE94" s="159"/>
      <c r="EF94" s="159"/>
      <c r="EG94" s="159"/>
      <c r="EH94" s="159"/>
      <c r="EI94" s="159"/>
      <c r="EJ94" s="159"/>
      <c r="EK94" s="159"/>
      <c r="EL94" s="159"/>
      <c r="EM94" s="159"/>
      <c r="EN94" s="159"/>
      <c r="EO94" s="159"/>
      <c r="EP94" s="159"/>
      <c r="EQ94" s="159"/>
      <c r="ER94" s="159"/>
      <c r="ES94" s="159"/>
      <c r="ET94" s="159"/>
      <c r="EU94" s="159"/>
      <c r="EV94" s="159"/>
      <c r="EW94" s="159"/>
      <c r="EX94" s="159"/>
      <c r="EY94" s="159"/>
      <c r="EZ94" s="159"/>
      <c r="FA94" s="159"/>
      <c r="FB94" s="159"/>
      <c r="FC94" s="159"/>
      <c r="FD94" s="159"/>
      <c r="FE94" s="159"/>
      <c r="FF94" s="159"/>
      <c r="FG94" s="159"/>
      <c r="FH94" s="159"/>
      <c r="FI94" s="159"/>
      <c r="FJ94" s="159"/>
      <c r="FK94" s="159"/>
      <c r="FL94" s="159"/>
      <c r="FM94" s="159"/>
      <c r="FN94" s="159"/>
      <c r="FO94" s="159"/>
      <c r="FP94" s="159"/>
      <c r="FQ94" s="159"/>
      <c r="FR94" s="159"/>
      <c r="FS94" s="159"/>
      <c r="FT94" s="159"/>
      <c r="FU94" s="159"/>
      <c r="FV94" s="159"/>
      <c r="FW94" s="159"/>
      <c r="FX94" s="159"/>
      <c r="FY94" s="159"/>
      <c r="FZ94" s="159"/>
      <c r="GA94" s="159"/>
      <c r="GB94" s="159"/>
      <c r="GC94" s="159"/>
      <c r="GD94" s="159"/>
      <c r="GE94" s="159"/>
      <c r="GF94" s="159"/>
      <c r="GG94" s="159"/>
      <c r="GH94" s="159"/>
      <c r="GI94" s="159"/>
      <c r="GJ94" s="159"/>
      <c r="GK94" s="159"/>
      <c r="GL94" s="159"/>
      <c r="GM94" s="159"/>
      <c r="GN94" s="159"/>
      <c r="GO94" s="159"/>
      <c r="GP94" s="159"/>
      <c r="GQ94" s="159"/>
    </row>
    <row r="95" spans="2:199" s="156" customFormat="1" hidden="1" outlineLevel="1">
      <c r="B95" s="157"/>
      <c r="C95" s="157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  <c r="AL95" s="161"/>
      <c r="AM95" s="161"/>
      <c r="AN95" s="161"/>
      <c r="AO95" s="161"/>
      <c r="AP95" s="161"/>
      <c r="AQ95" s="161"/>
      <c r="AR95" s="161"/>
      <c r="AS95" s="161"/>
      <c r="AT95" s="161"/>
      <c r="AU95" s="161"/>
      <c r="AV95" s="161"/>
      <c r="AW95" s="161"/>
      <c r="AX95" s="161"/>
      <c r="AY95" s="161"/>
      <c r="AZ95" s="161"/>
      <c r="BA95" s="161"/>
      <c r="BB95" s="161"/>
      <c r="BC95" s="161"/>
      <c r="BD95" s="161"/>
      <c r="BE95" s="161"/>
      <c r="BF95" s="161"/>
      <c r="BG95" s="161"/>
      <c r="BH95" s="161"/>
      <c r="BI95" s="161"/>
      <c r="BJ95" s="161"/>
      <c r="BK95" s="161"/>
      <c r="BL95" s="161"/>
      <c r="BM95" s="161"/>
      <c r="BN95" s="161"/>
      <c r="BO95" s="161"/>
      <c r="BP95" s="161"/>
      <c r="BQ95" s="161"/>
      <c r="BR95" s="161"/>
      <c r="BS95" s="161"/>
      <c r="BT95" s="161"/>
      <c r="BU95" s="161"/>
      <c r="BV95" s="161"/>
      <c r="BW95" s="161"/>
      <c r="BX95" s="161"/>
      <c r="BY95" s="161"/>
      <c r="BZ95" s="161"/>
      <c r="CA95" s="161"/>
      <c r="CB95" s="161"/>
      <c r="CC95" s="161"/>
      <c r="CD95" s="161"/>
      <c r="CE95" s="161"/>
      <c r="CF95" s="161"/>
      <c r="CG95" s="161"/>
      <c r="CH95" s="161"/>
      <c r="CI95" s="161"/>
      <c r="CJ95" s="161"/>
      <c r="CK95" s="161"/>
      <c r="CL95" s="161"/>
      <c r="CM95" s="161"/>
      <c r="CN95" s="161"/>
      <c r="CO95" s="161"/>
      <c r="CP95" s="161"/>
      <c r="CQ95" s="161"/>
      <c r="CR95" s="161"/>
      <c r="CS95" s="161"/>
      <c r="CT95" s="161"/>
      <c r="CU95" s="161"/>
      <c r="CV95" s="161"/>
      <c r="CW95" s="161"/>
      <c r="CX95" s="161"/>
      <c r="CY95" s="161"/>
      <c r="CZ95" s="161"/>
      <c r="DA95" s="161"/>
      <c r="DB95" s="161"/>
      <c r="DC95" s="161"/>
      <c r="DD95" s="161"/>
      <c r="DE95" s="161"/>
      <c r="DF95" s="161"/>
      <c r="DG95" s="161"/>
      <c r="DH95" s="161"/>
      <c r="DI95" s="161"/>
      <c r="DJ95" s="161"/>
      <c r="DK95" s="161"/>
      <c r="DL95" s="161"/>
      <c r="DM95" s="161"/>
      <c r="DN95" s="161"/>
      <c r="DO95" s="161"/>
      <c r="DP95" s="161"/>
      <c r="DQ95" s="161"/>
      <c r="DR95" s="161"/>
      <c r="DS95" s="161"/>
      <c r="DT95" s="161"/>
      <c r="DU95" s="161"/>
      <c r="DV95" s="161"/>
      <c r="DW95" s="161"/>
      <c r="DX95" s="161"/>
      <c r="DY95" s="161"/>
      <c r="DZ95" s="161"/>
      <c r="EA95" s="161"/>
      <c r="EB95" s="161"/>
      <c r="EC95" s="161"/>
      <c r="ED95" s="161"/>
      <c r="EE95" s="161"/>
      <c r="EF95" s="161"/>
      <c r="EG95" s="161"/>
      <c r="EH95" s="161"/>
      <c r="EI95" s="161"/>
      <c r="EJ95" s="161"/>
      <c r="EK95" s="161"/>
      <c r="EL95" s="161"/>
      <c r="EM95" s="161"/>
      <c r="EN95" s="161"/>
      <c r="EO95" s="161"/>
      <c r="EP95" s="161"/>
      <c r="EQ95" s="161"/>
      <c r="ER95" s="161"/>
      <c r="ES95" s="161"/>
      <c r="ET95" s="161"/>
      <c r="EU95" s="161"/>
      <c r="EV95" s="161"/>
      <c r="EW95" s="161"/>
      <c r="EX95" s="161"/>
      <c r="EY95" s="161"/>
      <c r="EZ95" s="161"/>
      <c r="FA95" s="161"/>
      <c r="FB95" s="161"/>
      <c r="FC95" s="161"/>
      <c r="FD95" s="161"/>
      <c r="FE95" s="161"/>
      <c r="FF95" s="161"/>
      <c r="FG95" s="161"/>
      <c r="FH95" s="161"/>
      <c r="FI95" s="161"/>
      <c r="FJ95" s="161"/>
      <c r="FK95" s="161"/>
      <c r="FL95" s="161"/>
      <c r="FM95" s="161"/>
      <c r="FN95" s="161"/>
      <c r="FO95" s="161"/>
      <c r="FP95" s="161"/>
      <c r="FQ95" s="161"/>
      <c r="FR95" s="161"/>
      <c r="FS95" s="161"/>
      <c r="FT95" s="161"/>
      <c r="FU95" s="161"/>
      <c r="FV95" s="161"/>
      <c r="FW95" s="161"/>
      <c r="FX95" s="161"/>
      <c r="FY95" s="161"/>
      <c r="FZ95" s="161"/>
      <c r="GA95" s="161"/>
      <c r="GB95" s="161"/>
      <c r="GC95" s="161"/>
      <c r="GD95" s="161"/>
      <c r="GE95" s="161"/>
      <c r="GF95" s="161"/>
      <c r="GG95" s="161"/>
      <c r="GH95" s="161"/>
      <c r="GI95" s="161"/>
      <c r="GJ95" s="161"/>
      <c r="GK95" s="161"/>
      <c r="GL95" s="161"/>
      <c r="GM95" s="161"/>
      <c r="GN95" s="161"/>
      <c r="GO95" s="161"/>
      <c r="GP95" s="161"/>
      <c r="GQ95" s="161"/>
    </row>
    <row r="96" spans="2:199" hidden="1" outlineLevel="1">
      <c r="B96" s="184" t="s">
        <v>388</v>
      </c>
      <c r="C96" s="185"/>
      <c r="D96" s="186"/>
      <c r="E96" s="186">
        <f t="shared" ref="E96" si="239">D102</f>
        <v>0</v>
      </c>
      <c r="F96" s="186">
        <f t="shared" ref="F96" si="240">E102</f>
        <v>139419.50220649535</v>
      </c>
      <c r="G96" s="186">
        <f t="shared" ref="G96" si="241">F102</f>
        <v>120560</v>
      </c>
      <c r="H96" s="186">
        <f t="shared" ref="H96" si="242">G102</f>
        <v>120560</v>
      </c>
      <c r="I96" s="186">
        <f t="shared" ref="I96" si="243">H102</f>
        <v>120559.99999999999</v>
      </c>
      <c r="J96" s="186">
        <f t="shared" ref="J96" si="244">I102</f>
        <v>80377.351999999999</v>
      </c>
      <c r="K96" s="186">
        <f t="shared" ref="K96" si="245">J102</f>
        <v>40194.703999999998</v>
      </c>
      <c r="L96" s="186">
        <f t="shared" ref="L96" si="246">K102</f>
        <v>0</v>
      </c>
      <c r="M96" s="186">
        <f t="shared" ref="M96" si="247">L102</f>
        <v>0</v>
      </c>
      <c r="N96" s="186">
        <f t="shared" ref="N96" si="248">M102</f>
        <v>0</v>
      </c>
      <c r="O96" s="186">
        <f t="shared" ref="O96" si="249">N102</f>
        <v>0</v>
      </c>
      <c r="P96" s="186">
        <f t="shared" ref="P96" si="250">O102</f>
        <v>0</v>
      </c>
      <c r="Q96" s="186">
        <f t="shared" ref="Q96" si="251">P102</f>
        <v>0</v>
      </c>
      <c r="R96" s="186">
        <f t="shared" ref="R96" si="252">Q102</f>
        <v>0</v>
      </c>
      <c r="S96" s="186">
        <f t="shared" ref="S96" si="253">R102</f>
        <v>0</v>
      </c>
      <c r="T96" s="186">
        <f t="shared" ref="T96" si="254">S102</f>
        <v>0</v>
      </c>
      <c r="U96" s="186">
        <f t="shared" ref="U96" si="255">T102</f>
        <v>0</v>
      </c>
      <c r="V96" s="186">
        <f t="shared" ref="V96" si="256">U102</f>
        <v>0</v>
      </c>
      <c r="W96" s="186">
        <f t="shared" ref="W96" si="257">V102</f>
        <v>0</v>
      </c>
      <c r="X96" s="186">
        <f t="shared" ref="X96" si="258">W102</f>
        <v>0</v>
      </c>
      <c r="Y96" s="186">
        <f t="shared" ref="Y96" si="259">X102</f>
        <v>0</v>
      </c>
      <c r="Z96" s="186">
        <f t="shared" ref="Z96" si="260">Y102</f>
        <v>0</v>
      </c>
      <c r="AA96" s="186">
        <f t="shared" ref="AA96" si="261">Z102</f>
        <v>0</v>
      </c>
      <c r="AB96" s="186">
        <f t="shared" ref="AB96" si="262">AA102</f>
        <v>0</v>
      </c>
      <c r="AC96" s="186">
        <f t="shared" ref="AC96" si="263">AB102</f>
        <v>0</v>
      </c>
      <c r="AD96" s="186"/>
      <c r="AE96" s="186"/>
      <c r="AF96" s="186"/>
      <c r="AG96" s="186"/>
      <c r="AH96" s="186"/>
      <c r="AI96" s="186"/>
      <c r="AJ96" s="186"/>
      <c r="AK96" s="186"/>
      <c r="AL96" s="186"/>
      <c r="AM96" s="186"/>
      <c r="AN96" s="186"/>
      <c r="AO96" s="186"/>
      <c r="AP96" s="186"/>
      <c r="AQ96" s="186"/>
      <c r="AR96" s="186"/>
      <c r="AS96" s="186"/>
      <c r="AT96" s="186"/>
      <c r="AU96" s="186"/>
      <c r="AV96" s="186"/>
      <c r="AW96" s="186"/>
      <c r="AX96" s="186"/>
      <c r="AY96" s="186"/>
      <c r="AZ96" s="186"/>
      <c r="BA96" s="186"/>
      <c r="BB96" s="186"/>
      <c r="BC96" s="186"/>
      <c r="BD96" s="186"/>
      <c r="BE96" s="186"/>
      <c r="BF96" s="186"/>
      <c r="BG96" s="186"/>
      <c r="BH96" s="186"/>
      <c r="BI96" s="186"/>
      <c r="BJ96" s="186"/>
      <c r="BK96" s="186"/>
      <c r="BL96" s="186"/>
      <c r="BM96" s="186"/>
      <c r="BN96" s="186"/>
      <c r="BO96" s="186"/>
      <c r="BP96" s="186"/>
      <c r="BQ96" s="186"/>
      <c r="BR96" s="186"/>
      <c r="BS96" s="186"/>
      <c r="BT96" s="186"/>
      <c r="BU96" s="186"/>
      <c r="BV96" s="186"/>
      <c r="BW96" s="186"/>
      <c r="BX96" s="186"/>
      <c r="BY96" s="186"/>
      <c r="BZ96" s="186"/>
      <c r="CA96" s="186"/>
      <c r="CB96" s="186"/>
      <c r="CC96" s="186"/>
      <c r="CD96" s="186"/>
      <c r="CE96" s="186"/>
      <c r="CF96" s="186"/>
      <c r="CG96" s="186"/>
      <c r="CH96" s="186"/>
      <c r="CI96" s="186"/>
      <c r="CJ96" s="186"/>
      <c r="CK96" s="186"/>
      <c r="CL96" s="186"/>
      <c r="CM96" s="186"/>
      <c r="CN96" s="186"/>
      <c r="CO96" s="186"/>
      <c r="CP96" s="186"/>
      <c r="CQ96" s="186"/>
      <c r="CR96" s="186"/>
      <c r="CS96" s="186"/>
      <c r="CT96" s="186"/>
      <c r="CU96" s="186"/>
      <c r="CV96" s="186"/>
      <c r="CW96" s="186"/>
      <c r="CX96" s="186"/>
      <c r="CY96" s="186"/>
      <c r="CZ96" s="186"/>
      <c r="DA96" s="186"/>
      <c r="DB96" s="186"/>
      <c r="DC96" s="186"/>
      <c r="DD96" s="186"/>
      <c r="DE96" s="186"/>
      <c r="DF96" s="186"/>
      <c r="DG96" s="186"/>
      <c r="DH96" s="186"/>
      <c r="DI96" s="186"/>
      <c r="DJ96" s="186"/>
      <c r="DK96" s="186"/>
      <c r="DL96" s="186"/>
      <c r="DM96" s="186"/>
      <c r="DN96" s="186"/>
      <c r="DO96" s="186"/>
      <c r="DP96" s="186"/>
      <c r="DQ96" s="186"/>
      <c r="DR96" s="186"/>
      <c r="DS96" s="186"/>
      <c r="DT96" s="186"/>
      <c r="DU96" s="186"/>
      <c r="DV96" s="186"/>
      <c r="DW96" s="186"/>
      <c r="DX96" s="186"/>
      <c r="DY96" s="186"/>
      <c r="DZ96" s="186"/>
      <c r="EA96" s="186"/>
      <c r="EB96" s="186"/>
      <c r="EC96" s="186"/>
      <c r="ED96" s="186"/>
      <c r="EE96" s="186"/>
      <c r="EF96" s="186"/>
      <c r="EG96" s="186"/>
      <c r="EH96" s="186"/>
      <c r="EI96" s="186"/>
      <c r="EJ96" s="186"/>
      <c r="EK96" s="186"/>
      <c r="EL96" s="186"/>
      <c r="EM96" s="186"/>
      <c r="EN96" s="186"/>
      <c r="EO96" s="186"/>
      <c r="EP96" s="186"/>
      <c r="EQ96" s="186"/>
      <c r="ER96" s="186"/>
      <c r="ES96" s="186"/>
      <c r="ET96" s="186"/>
      <c r="EU96" s="186"/>
      <c r="EV96" s="186"/>
      <c r="EW96" s="186"/>
      <c r="EX96" s="186"/>
      <c r="EY96" s="186"/>
      <c r="EZ96" s="186"/>
      <c r="FA96" s="186"/>
      <c r="FB96" s="186"/>
      <c r="FC96" s="186"/>
      <c r="FD96" s="186"/>
      <c r="FE96" s="186"/>
      <c r="FF96" s="186"/>
      <c r="FG96" s="186"/>
      <c r="FH96" s="186"/>
      <c r="FI96" s="186"/>
      <c r="FJ96" s="186"/>
      <c r="FK96" s="186"/>
      <c r="FL96" s="186"/>
      <c r="FM96" s="186"/>
      <c r="FN96" s="186"/>
      <c r="FO96" s="186"/>
      <c r="FP96" s="186"/>
      <c r="FQ96" s="186"/>
      <c r="FR96" s="186"/>
      <c r="FS96" s="186"/>
      <c r="FT96" s="186"/>
      <c r="FU96" s="186"/>
      <c r="FV96" s="186"/>
      <c r="FW96" s="186"/>
      <c r="FX96" s="186"/>
      <c r="FY96" s="186"/>
      <c r="FZ96" s="186"/>
      <c r="GA96" s="186"/>
      <c r="GB96" s="186"/>
      <c r="GC96" s="186"/>
      <c r="GD96" s="186"/>
      <c r="GE96" s="186"/>
      <c r="GF96" s="186"/>
      <c r="GG96" s="186"/>
      <c r="GH96" s="186"/>
      <c r="GI96" s="186"/>
      <c r="GJ96" s="186"/>
      <c r="GK96" s="186"/>
      <c r="GL96" s="186"/>
      <c r="GM96" s="186"/>
      <c r="GN96" s="186"/>
      <c r="GO96" s="186"/>
      <c r="GP96" s="186"/>
      <c r="GQ96" s="186"/>
    </row>
    <row r="97" spans="2:199" hidden="1" outlineLevel="1">
      <c r="B97" s="187" t="s">
        <v>411</v>
      </c>
      <c r="C97" s="791">
        <v>120560</v>
      </c>
      <c r="D97" s="188"/>
      <c r="E97" s="189">
        <f t="shared" ref="E97:AC97" si="264">(IF(E82&lt;$C$84,0,IF(E82=$C$84,$C$97,0)))</f>
        <v>120560</v>
      </c>
      <c r="F97" s="189">
        <f t="shared" si="264"/>
        <v>0</v>
      </c>
      <c r="G97" s="189">
        <f t="shared" si="264"/>
        <v>0</v>
      </c>
      <c r="H97" s="189">
        <f t="shared" si="264"/>
        <v>0</v>
      </c>
      <c r="I97" s="189">
        <f t="shared" si="264"/>
        <v>0</v>
      </c>
      <c r="J97" s="189">
        <f t="shared" si="264"/>
        <v>0</v>
      </c>
      <c r="K97" s="189">
        <f t="shared" si="264"/>
        <v>0</v>
      </c>
      <c r="L97" s="189">
        <f t="shared" si="264"/>
        <v>0</v>
      </c>
      <c r="M97" s="189">
        <f t="shared" si="264"/>
        <v>0</v>
      </c>
      <c r="N97" s="189">
        <f t="shared" si="264"/>
        <v>0</v>
      </c>
      <c r="O97" s="189">
        <f t="shared" si="264"/>
        <v>0</v>
      </c>
      <c r="P97" s="189">
        <f t="shared" si="264"/>
        <v>0</v>
      </c>
      <c r="Q97" s="189">
        <f t="shared" si="264"/>
        <v>0</v>
      </c>
      <c r="R97" s="189">
        <f t="shared" si="264"/>
        <v>0</v>
      </c>
      <c r="S97" s="189">
        <f t="shared" si="264"/>
        <v>0</v>
      </c>
      <c r="T97" s="189">
        <f t="shared" si="264"/>
        <v>0</v>
      </c>
      <c r="U97" s="189">
        <f t="shared" si="264"/>
        <v>0</v>
      </c>
      <c r="V97" s="189">
        <f t="shared" si="264"/>
        <v>0</v>
      </c>
      <c r="W97" s="189">
        <f t="shared" si="264"/>
        <v>0</v>
      </c>
      <c r="X97" s="189">
        <f t="shared" si="264"/>
        <v>0</v>
      </c>
      <c r="Y97" s="189">
        <f t="shared" si="264"/>
        <v>0</v>
      </c>
      <c r="Z97" s="189">
        <f t="shared" si="264"/>
        <v>0</v>
      </c>
      <c r="AA97" s="189">
        <f t="shared" si="264"/>
        <v>0</v>
      </c>
      <c r="AB97" s="189">
        <f t="shared" si="264"/>
        <v>0</v>
      </c>
      <c r="AC97" s="189">
        <f t="shared" si="264"/>
        <v>0</v>
      </c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89"/>
      <c r="AW97" s="189"/>
      <c r="AX97" s="189"/>
      <c r="AY97" s="189"/>
      <c r="AZ97" s="189"/>
      <c r="BA97" s="189"/>
      <c r="BB97" s="189"/>
      <c r="BC97" s="189"/>
      <c r="BD97" s="189"/>
      <c r="BE97" s="189"/>
      <c r="BF97" s="189"/>
      <c r="BG97" s="189"/>
      <c r="BH97" s="189"/>
      <c r="BI97" s="189"/>
      <c r="BJ97" s="189"/>
      <c r="BK97" s="189"/>
      <c r="BL97" s="189"/>
      <c r="BM97" s="189"/>
      <c r="BN97" s="189"/>
      <c r="BO97" s="189"/>
      <c r="BP97" s="189"/>
      <c r="BQ97" s="189"/>
      <c r="BR97" s="189"/>
      <c r="BS97" s="189"/>
      <c r="BT97" s="189"/>
      <c r="BU97" s="189"/>
      <c r="BV97" s="189"/>
      <c r="BW97" s="189"/>
      <c r="BX97" s="189"/>
      <c r="BY97" s="189"/>
      <c r="BZ97" s="189"/>
      <c r="CA97" s="189"/>
      <c r="CB97" s="189"/>
      <c r="CC97" s="189"/>
      <c r="CD97" s="189"/>
      <c r="CE97" s="189"/>
      <c r="CF97" s="189"/>
      <c r="CG97" s="189"/>
      <c r="CH97" s="189"/>
      <c r="CI97" s="189"/>
      <c r="CJ97" s="189"/>
      <c r="CK97" s="189"/>
      <c r="CL97" s="189"/>
      <c r="CM97" s="189"/>
      <c r="CN97" s="189"/>
      <c r="CO97" s="189"/>
      <c r="CP97" s="189"/>
      <c r="CQ97" s="189"/>
      <c r="CR97" s="189"/>
      <c r="CS97" s="189"/>
      <c r="CT97" s="189"/>
      <c r="CU97" s="189"/>
      <c r="CV97" s="189"/>
      <c r="CW97" s="189"/>
      <c r="CX97" s="189"/>
      <c r="CY97" s="189"/>
      <c r="CZ97" s="189"/>
      <c r="DA97" s="189"/>
      <c r="DB97" s="189"/>
      <c r="DC97" s="189"/>
      <c r="DD97" s="189"/>
      <c r="DE97" s="189"/>
      <c r="DF97" s="189"/>
      <c r="DG97" s="189"/>
      <c r="DH97" s="189"/>
      <c r="DI97" s="189"/>
      <c r="DJ97" s="189"/>
      <c r="DK97" s="189"/>
      <c r="DL97" s="189"/>
      <c r="DM97" s="189"/>
      <c r="DN97" s="189"/>
      <c r="DO97" s="189"/>
      <c r="DP97" s="189"/>
      <c r="DQ97" s="189"/>
      <c r="DR97" s="189"/>
      <c r="DS97" s="189"/>
      <c r="DT97" s="189"/>
      <c r="DU97" s="189"/>
      <c r="DV97" s="189"/>
      <c r="DW97" s="189"/>
      <c r="DX97" s="189"/>
      <c r="DY97" s="189"/>
      <c r="DZ97" s="189"/>
      <c r="EA97" s="189"/>
      <c r="EB97" s="189"/>
      <c r="EC97" s="189"/>
      <c r="ED97" s="189"/>
      <c r="EE97" s="189"/>
      <c r="EF97" s="189"/>
      <c r="EG97" s="189"/>
      <c r="EH97" s="189"/>
      <c r="EI97" s="189"/>
      <c r="EJ97" s="189"/>
      <c r="EK97" s="189"/>
      <c r="EL97" s="189"/>
      <c r="EM97" s="189"/>
      <c r="EN97" s="189"/>
      <c r="EO97" s="189"/>
      <c r="EP97" s="189"/>
      <c r="EQ97" s="189"/>
      <c r="ER97" s="189"/>
      <c r="ES97" s="189"/>
      <c r="ET97" s="189"/>
      <c r="EU97" s="189"/>
      <c r="EV97" s="189"/>
      <c r="EW97" s="189"/>
      <c r="EX97" s="189"/>
      <c r="EY97" s="189"/>
      <c r="EZ97" s="189"/>
      <c r="FA97" s="189"/>
      <c r="FB97" s="189"/>
      <c r="FC97" s="189"/>
      <c r="FD97" s="189"/>
      <c r="FE97" s="189"/>
      <c r="FF97" s="189"/>
      <c r="FG97" s="189"/>
      <c r="FH97" s="189"/>
      <c r="FI97" s="189"/>
      <c r="FJ97" s="189"/>
      <c r="FK97" s="189"/>
      <c r="FL97" s="189"/>
      <c r="FM97" s="189"/>
      <c r="FN97" s="189"/>
      <c r="FO97" s="189"/>
      <c r="FP97" s="189"/>
      <c r="FQ97" s="189"/>
      <c r="FR97" s="189"/>
      <c r="FS97" s="189"/>
      <c r="FT97" s="189"/>
      <c r="FU97" s="189"/>
      <c r="FV97" s="189"/>
      <c r="FW97" s="189"/>
      <c r="FX97" s="189"/>
      <c r="FY97" s="189"/>
      <c r="FZ97" s="189"/>
      <c r="GA97" s="189"/>
      <c r="GB97" s="189"/>
      <c r="GC97" s="189"/>
      <c r="GD97" s="189"/>
      <c r="GE97" s="189"/>
      <c r="GF97" s="189"/>
      <c r="GG97" s="189"/>
      <c r="GH97" s="189"/>
      <c r="GI97" s="189"/>
      <c r="GJ97" s="189"/>
      <c r="GK97" s="189"/>
      <c r="GL97" s="189"/>
      <c r="GM97" s="189"/>
      <c r="GN97" s="189"/>
      <c r="GO97" s="189"/>
      <c r="GP97" s="189"/>
      <c r="GQ97" s="189"/>
    </row>
    <row r="98" spans="2:199" hidden="1" outlineLevel="1">
      <c r="B98" s="190" t="s">
        <v>395</v>
      </c>
      <c r="C98" s="164"/>
      <c r="D98" s="191"/>
      <c r="E98" s="191">
        <f>SUM(E96:E97,-D103)*(E106-1)</f>
        <v>0</v>
      </c>
      <c r="F98" s="191">
        <f t="shared" ref="F98:O98" si="265">SUM(F96:F97,-E103)*(F106-1)</f>
        <v>0</v>
      </c>
      <c r="G98" s="191">
        <f t="shared" si="265"/>
        <v>0</v>
      </c>
      <c r="H98" s="191">
        <f t="shared" si="265"/>
        <v>0</v>
      </c>
      <c r="I98" s="191">
        <f t="shared" si="265"/>
        <v>0</v>
      </c>
      <c r="J98" s="191">
        <f t="shared" si="265"/>
        <v>0</v>
      </c>
      <c r="K98" s="191">
        <f t="shared" si="265"/>
        <v>0</v>
      </c>
      <c r="L98" s="191">
        <f t="shared" si="265"/>
        <v>0</v>
      </c>
      <c r="M98" s="191">
        <f t="shared" si="265"/>
        <v>0</v>
      </c>
      <c r="N98" s="191">
        <f t="shared" si="265"/>
        <v>0</v>
      </c>
      <c r="O98" s="191">
        <f t="shared" si="265"/>
        <v>0</v>
      </c>
      <c r="P98" s="191">
        <f t="shared" ref="P98" si="266">SUM(P96:P97,-O103)*(P106-1)</f>
        <v>0</v>
      </c>
      <c r="Q98" s="191">
        <f t="shared" ref="Q98" si="267">SUM(Q96:Q97,-P103)*(Q106-1)</f>
        <v>0</v>
      </c>
      <c r="R98" s="191">
        <f t="shared" ref="R98" si="268">SUM(R96:R97,-Q103)*(R106-1)</f>
        <v>0</v>
      </c>
      <c r="S98" s="191">
        <f t="shared" ref="S98" si="269">SUM(S96:S97,-R103)*(S106-1)</f>
        <v>0</v>
      </c>
      <c r="T98" s="191">
        <f t="shared" ref="T98" si="270">SUM(T96:T97,-S103)*(T106-1)</f>
        <v>0</v>
      </c>
      <c r="U98" s="191">
        <f t="shared" ref="U98" si="271">SUM(U96:U97,-T103)*(U106-1)</f>
        <v>0</v>
      </c>
      <c r="V98" s="191">
        <f t="shared" ref="V98" si="272">SUM(V96:V97,-U103)*(V106-1)</f>
        <v>0</v>
      </c>
      <c r="W98" s="191">
        <f t="shared" ref="W98" si="273">SUM(W96:W97,-V103)*(W106-1)</f>
        <v>0</v>
      </c>
      <c r="X98" s="191">
        <f t="shared" ref="X98:Y98" si="274">SUM(X96:X97,-W103)*(X106-1)</f>
        <v>0</v>
      </c>
      <c r="Y98" s="191">
        <f t="shared" si="274"/>
        <v>0</v>
      </c>
      <c r="Z98" s="191">
        <f t="shared" ref="Z98" si="275">SUM(Z96:Z97,-Y103)*(Z106-1)</f>
        <v>0</v>
      </c>
      <c r="AA98" s="191">
        <f t="shared" ref="AA98" si="276">SUM(AA96:AA97,-Z103)*(AA106-1)</f>
        <v>0</v>
      </c>
      <c r="AB98" s="191">
        <f t="shared" ref="AB98" si="277">SUM(AB96:AB97,-AA103)*(AB106-1)</f>
        <v>0</v>
      </c>
      <c r="AC98" s="191">
        <f t="shared" ref="AC98" si="278">SUM(AC96:AC97,-AB103)*(AC106-1)</f>
        <v>0</v>
      </c>
      <c r="AD98" s="191"/>
      <c r="AE98" s="191"/>
      <c r="AF98" s="191"/>
      <c r="AG98" s="191"/>
      <c r="AH98" s="191"/>
      <c r="AI98" s="191"/>
      <c r="AJ98" s="191"/>
      <c r="AK98" s="191"/>
      <c r="AL98" s="191"/>
      <c r="AM98" s="191"/>
      <c r="AN98" s="191"/>
      <c r="AO98" s="191"/>
      <c r="AP98" s="191"/>
      <c r="AQ98" s="191"/>
      <c r="AR98" s="191"/>
      <c r="AS98" s="191"/>
      <c r="AT98" s="191"/>
      <c r="AU98" s="191"/>
      <c r="AV98" s="191"/>
      <c r="AW98" s="191"/>
      <c r="AX98" s="191"/>
      <c r="AY98" s="191"/>
      <c r="AZ98" s="191"/>
      <c r="BA98" s="191"/>
      <c r="BB98" s="191"/>
      <c r="BC98" s="191"/>
      <c r="BD98" s="191"/>
      <c r="BE98" s="191"/>
      <c r="BF98" s="191"/>
      <c r="BG98" s="191"/>
      <c r="BH98" s="191"/>
      <c r="BI98" s="191"/>
      <c r="BJ98" s="191"/>
      <c r="BK98" s="191"/>
      <c r="BL98" s="191"/>
      <c r="BM98" s="191"/>
      <c r="BN98" s="191"/>
      <c r="BO98" s="191"/>
      <c r="BP98" s="191"/>
      <c r="BQ98" s="191"/>
      <c r="BR98" s="191"/>
      <c r="BS98" s="191"/>
      <c r="BT98" s="191"/>
      <c r="BU98" s="191"/>
      <c r="BV98" s="191"/>
      <c r="BW98" s="191"/>
      <c r="BX98" s="191"/>
      <c r="BY98" s="191"/>
      <c r="BZ98" s="191"/>
      <c r="CA98" s="191"/>
      <c r="CB98" s="191"/>
      <c r="CC98" s="191"/>
      <c r="CD98" s="191"/>
      <c r="CE98" s="191"/>
      <c r="CF98" s="191"/>
      <c r="CG98" s="191"/>
      <c r="CH98" s="191"/>
      <c r="CI98" s="191"/>
      <c r="CJ98" s="191"/>
      <c r="CK98" s="191"/>
      <c r="CL98" s="191"/>
      <c r="CM98" s="191"/>
      <c r="CN98" s="191"/>
      <c r="CO98" s="191"/>
      <c r="CP98" s="191"/>
      <c r="CQ98" s="191"/>
      <c r="CR98" s="191"/>
      <c r="CS98" s="191"/>
      <c r="CT98" s="191"/>
      <c r="CU98" s="191"/>
      <c r="CV98" s="191"/>
      <c r="CW98" s="191"/>
      <c r="CX98" s="191"/>
      <c r="CY98" s="191"/>
      <c r="CZ98" s="191"/>
      <c r="DA98" s="191"/>
      <c r="DB98" s="191"/>
      <c r="DC98" s="191"/>
      <c r="DD98" s="191"/>
      <c r="DE98" s="191"/>
      <c r="DF98" s="191"/>
      <c r="DG98" s="191"/>
      <c r="DH98" s="191"/>
      <c r="DI98" s="191"/>
      <c r="DJ98" s="191"/>
      <c r="DK98" s="191"/>
      <c r="DL98" s="191"/>
      <c r="DM98" s="191"/>
      <c r="DN98" s="191"/>
      <c r="DO98" s="191"/>
      <c r="DP98" s="191"/>
      <c r="DQ98" s="191"/>
      <c r="DR98" s="191"/>
      <c r="DS98" s="191"/>
      <c r="DT98" s="191"/>
      <c r="DU98" s="191"/>
      <c r="DV98" s="191"/>
      <c r="DW98" s="191"/>
      <c r="DX98" s="191"/>
      <c r="DY98" s="191"/>
      <c r="DZ98" s="191"/>
      <c r="EA98" s="191"/>
      <c r="EB98" s="191"/>
      <c r="EC98" s="191"/>
      <c r="ED98" s="191"/>
      <c r="EE98" s="191"/>
      <c r="EF98" s="191"/>
      <c r="EG98" s="191"/>
      <c r="EH98" s="191"/>
      <c r="EI98" s="191"/>
      <c r="EJ98" s="191"/>
      <c r="EK98" s="191"/>
      <c r="EL98" s="191"/>
      <c r="EM98" s="191"/>
      <c r="EN98" s="191"/>
      <c r="EO98" s="191"/>
      <c r="EP98" s="191"/>
      <c r="EQ98" s="191"/>
      <c r="ER98" s="191"/>
      <c r="ES98" s="191"/>
      <c r="ET98" s="191"/>
      <c r="EU98" s="191"/>
      <c r="EV98" s="191"/>
      <c r="EW98" s="191"/>
      <c r="EX98" s="191"/>
      <c r="EY98" s="191"/>
      <c r="EZ98" s="191"/>
      <c r="FA98" s="191"/>
      <c r="FB98" s="191"/>
      <c r="FC98" s="191"/>
      <c r="FD98" s="191"/>
      <c r="FE98" s="191"/>
      <c r="FF98" s="191"/>
      <c r="FG98" s="191"/>
      <c r="FH98" s="191"/>
      <c r="FI98" s="191"/>
      <c r="FJ98" s="191"/>
      <c r="FK98" s="191"/>
      <c r="FL98" s="191"/>
      <c r="FM98" s="191"/>
      <c r="FN98" s="191"/>
      <c r="FO98" s="191"/>
      <c r="FP98" s="191"/>
      <c r="FQ98" s="191"/>
      <c r="FR98" s="191"/>
      <c r="FS98" s="191"/>
      <c r="FT98" s="191"/>
      <c r="FU98" s="191"/>
      <c r="FV98" s="191"/>
      <c r="FW98" s="191"/>
      <c r="FX98" s="191"/>
      <c r="FY98" s="191"/>
      <c r="FZ98" s="191"/>
      <c r="GA98" s="191"/>
      <c r="GB98" s="191"/>
      <c r="GC98" s="191"/>
      <c r="GD98" s="191"/>
      <c r="GE98" s="191"/>
      <c r="GF98" s="191"/>
      <c r="GG98" s="191"/>
      <c r="GH98" s="191"/>
      <c r="GI98" s="191"/>
      <c r="GJ98" s="191"/>
      <c r="GK98" s="191"/>
      <c r="GL98" s="191"/>
      <c r="GM98" s="191"/>
      <c r="GN98" s="191"/>
      <c r="GO98" s="191"/>
      <c r="GP98" s="191"/>
      <c r="GQ98" s="191"/>
    </row>
    <row r="99" spans="2:199" hidden="1" outlineLevel="1">
      <c r="B99" s="190" t="s">
        <v>390</v>
      </c>
      <c r="C99" s="192"/>
      <c r="D99" s="193"/>
      <c r="E99" s="193">
        <f t="shared" ref="E99" si="279">SUM(E96:E98)*E90</f>
        <v>18859.502206495341</v>
      </c>
      <c r="F99" s="193">
        <f t="shared" ref="F99:O99" si="280">SUM(F96:F98)*F90</f>
        <v>17148.968634061548</v>
      </c>
      <c r="G99" s="193">
        <f t="shared" si="280"/>
        <v>15534.542218003999</v>
      </c>
      <c r="H99" s="193">
        <f t="shared" si="280"/>
        <v>12395.638398460707</v>
      </c>
      <c r="I99" s="193">
        <f t="shared" si="280"/>
        <v>12245.380042791139</v>
      </c>
      <c r="J99" s="193">
        <f t="shared" si="280"/>
        <v>9696.4146913774857</v>
      </c>
      <c r="K99" s="193">
        <f t="shared" si="280"/>
        <v>3663.7636793686925</v>
      </c>
      <c r="L99" s="193">
        <f t="shared" si="280"/>
        <v>0</v>
      </c>
      <c r="M99" s="193">
        <f t="shared" si="280"/>
        <v>0</v>
      </c>
      <c r="N99" s="193">
        <f t="shared" si="280"/>
        <v>0</v>
      </c>
      <c r="O99" s="193">
        <f t="shared" si="280"/>
        <v>0</v>
      </c>
      <c r="P99" s="193">
        <f t="shared" ref="P99:AC99" si="281">SUM(P96:P98)*P90</f>
        <v>0</v>
      </c>
      <c r="Q99" s="193">
        <f t="shared" si="281"/>
        <v>0</v>
      </c>
      <c r="R99" s="193">
        <f t="shared" si="281"/>
        <v>0</v>
      </c>
      <c r="S99" s="193">
        <f t="shared" si="281"/>
        <v>0</v>
      </c>
      <c r="T99" s="193">
        <f t="shared" si="281"/>
        <v>0</v>
      </c>
      <c r="U99" s="193">
        <f t="shared" si="281"/>
        <v>0</v>
      </c>
      <c r="V99" s="193">
        <f t="shared" si="281"/>
        <v>0</v>
      </c>
      <c r="W99" s="193">
        <f t="shared" si="281"/>
        <v>0</v>
      </c>
      <c r="X99" s="193">
        <f t="shared" si="281"/>
        <v>0</v>
      </c>
      <c r="Y99" s="193">
        <f t="shared" si="281"/>
        <v>0</v>
      </c>
      <c r="Z99" s="193">
        <f t="shared" si="281"/>
        <v>0</v>
      </c>
      <c r="AA99" s="193">
        <f t="shared" si="281"/>
        <v>0</v>
      </c>
      <c r="AB99" s="193">
        <f t="shared" si="281"/>
        <v>0</v>
      </c>
      <c r="AC99" s="193">
        <f t="shared" si="281"/>
        <v>0</v>
      </c>
      <c r="AD99" s="193"/>
      <c r="AE99" s="193"/>
      <c r="AF99" s="193"/>
      <c r="AG99" s="193"/>
      <c r="AH99" s="193"/>
      <c r="AI99" s="193"/>
      <c r="AJ99" s="193"/>
      <c r="AK99" s="193"/>
      <c r="AL99" s="193"/>
      <c r="AM99" s="193"/>
      <c r="AN99" s="193"/>
      <c r="AO99" s="193"/>
      <c r="AP99" s="193"/>
      <c r="AQ99" s="193"/>
      <c r="AR99" s="193"/>
      <c r="AS99" s="193"/>
      <c r="AT99" s="193"/>
      <c r="AU99" s="193"/>
      <c r="AV99" s="193"/>
      <c r="AW99" s="193"/>
      <c r="AX99" s="193"/>
      <c r="AY99" s="193"/>
      <c r="AZ99" s="193"/>
      <c r="BA99" s="193"/>
      <c r="BB99" s="193"/>
      <c r="BC99" s="193"/>
      <c r="BD99" s="193"/>
      <c r="BE99" s="193"/>
      <c r="BF99" s="193"/>
      <c r="BG99" s="193"/>
      <c r="BH99" s="193"/>
      <c r="BI99" s="193"/>
      <c r="BJ99" s="193"/>
      <c r="BK99" s="193"/>
      <c r="BL99" s="193"/>
      <c r="BM99" s="193"/>
      <c r="BN99" s="193"/>
      <c r="BO99" s="193"/>
      <c r="BP99" s="193"/>
      <c r="BQ99" s="193"/>
      <c r="BR99" s="193"/>
      <c r="BS99" s="193"/>
      <c r="BT99" s="193"/>
      <c r="BU99" s="193"/>
      <c r="BV99" s="193"/>
      <c r="BW99" s="193"/>
      <c r="BX99" s="193"/>
      <c r="BY99" s="193"/>
      <c r="BZ99" s="193"/>
      <c r="CA99" s="193"/>
      <c r="CB99" s="193"/>
      <c r="CC99" s="193"/>
      <c r="CD99" s="193"/>
      <c r="CE99" s="193"/>
      <c r="CF99" s="193"/>
      <c r="CG99" s="193"/>
      <c r="CH99" s="193"/>
      <c r="CI99" s="193"/>
      <c r="CJ99" s="193"/>
      <c r="CK99" s="193"/>
      <c r="CL99" s="193"/>
      <c r="CM99" s="193"/>
      <c r="CN99" s="193"/>
      <c r="CO99" s="193"/>
      <c r="CP99" s="193"/>
      <c r="CQ99" s="193"/>
      <c r="CR99" s="193"/>
      <c r="CS99" s="193"/>
      <c r="CT99" s="193"/>
      <c r="CU99" s="193"/>
      <c r="CV99" s="193"/>
      <c r="CW99" s="193"/>
      <c r="CX99" s="193"/>
      <c r="CY99" s="193"/>
      <c r="CZ99" s="193"/>
      <c r="DA99" s="193"/>
      <c r="DB99" s="193"/>
      <c r="DC99" s="193"/>
      <c r="DD99" s="193"/>
      <c r="DE99" s="193"/>
      <c r="DF99" s="193"/>
      <c r="DG99" s="193"/>
      <c r="DH99" s="193"/>
      <c r="DI99" s="193"/>
      <c r="DJ99" s="193"/>
      <c r="DK99" s="193"/>
      <c r="DL99" s="193"/>
      <c r="DM99" s="193"/>
      <c r="DN99" s="193"/>
      <c r="DO99" s="193"/>
      <c r="DP99" s="193"/>
      <c r="DQ99" s="193"/>
      <c r="DR99" s="193"/>
      <c r="DS99" s="193"/>
      <c r="DT99" s="193"/>
      <c r="DU99" s="193"/>
      <c r="DV99" s="193"/>
      <c r="DW99" s="193"/>
      <c r="DX99" s="193"/>
      <c r="DY99" s="193"/>
      <c r="DZ99" s="193"/>
      <c r="EA99" s="193"/>
      <c r="EB99" s="193"/>
      <c r="EC99" s="193"/>
      <c r="ED99" s="193"/>
      <c r="EE99" s="193"/>
      <c r="EF99" s="193"/>
      <c r="EG99" s="193"/>
      <c r="EH99" s="193"/>
      <c r="EI99" s="193"/>
      <c r="EJ99" s="193"/>
      <c r="EK99" s="193"/>
      <c r="EL99" s="193"/>
      <c r="EM99" s="193"/>
      <c r="EN99" s="193"/>
      <c r="EO99" s="193"/>
      <c r="EP99" s="193"/>
      <c r="EQ99" s="193"/>
      <c r="ER99" s="193"/>
      <c r="ES99" s="193"/>
      <c r="ET99" s="193"/>
      <c r="EU99" s="193"/>
      <c r="EV99" s="193"/>
      <c r="EW99" s="193"/>
      <c r="EX99" s="193"/>
      <c r="EY99" s="193"/>
      <c r="EZ99" s="193"/>
      <c r="FA99" s="193"/>
      <c r="FB99" s="193"/>
      <c r="FC99" s="193"/>
      <c r="FD99" s="193"/>
      <c r="FE99" s="193"/>
      <c r="FF99" s="193"/>
      <c r="FG99" s="193"/>
      <c r="FH99" s="193"/>
      <c r="FI99" s="193"/>
      <c r="FJ99" s="193"/>
      <c r="FK99" s="193"/>
      <c r="FL99" s="193"/>
      <c r="FM99" s="193"/>
      <c r="FN99" s="193"/>
      <c r="FO99" s="193"/>
      <c r="FP99" s="193"/>
      <c r="FQ99" s="193"/>
      <c r="FR99" s="193"/>
      <c r="FS99" s="193"/>
      <c r="FT99" s="193"/>
      <c r="FU99" s="193"/>
      <c r="FV99" s="193"/>
      <c r="FW99" s="193"/>
      <c r="FX99" s="193"/>
      <c r="FY99" s="193"/>
      <c r="FZ99" s="193"/>
      <c r="GA99" s="193"/>
      <c r="GB99" s="193"/>
      <c r="GC99" s="193"/>
      <c r="GD99" s="193"/>
      <c r="GE99" s="193"/>
      <c r="GF99" s="193"/>
      <c r="GG99" s="193"/>
      <c r="GH99" s="193"/>
      <c r="GI99" s="193"/>
      <c r="GJ99" s="193"/>
      <c r="GK99" s="193"/>
      <c r="GL99" s="193"/>
      <c r="GM99" s="193"/>
      <c r="GN99" s="193"/>
      <c r="GO99" s="193"/>
      <c r="GP99" s="193"/>
      <c r="GQ99" s="193"/>
    </row>
    <row r="100" spans="2:199" hidden="1" outlineLevel="1">
      <c r="B100" s="190" t="s">
        <v>391</v>
      </c>
      <c r="C100" s="192"/>
      <c r="D100" s="193"/>
      <c r="E100" s="200">
        <f>IF(E92=1,-D103-E99,0)*IF(AND(E$82=$C$87,$C93=1,$C92=0),0,1)</f>
        <v>0</v>
      </c>
      <c r="F100" s="200">
        <f t="shared" ref="F100:AC100" si="282">IF(F92=1,-E103-F99,0)*IF(AND(F$82=$C$87,$C93=1,$C92=0),0,1)</f>
        <v>-36008.470840556889</v>
      </c>
      <c r="G100" s="200">
        <f t="shared" si="282"/>
        <v>-15534.542218003999</v>
      </c>
      <c r="H100" s="200">
        <f t="shared" si="282"/>
        <v>-12395.638398460707</v>
      </c>
      <c r="I100" s="200">
        <f t="shared" si="282"/>
        <v>-12245.380042791139</v>
      </c>
      <c r="J100" s="200">
        <f t="shared" si="282"/>
        <v>-9696.4146913774857</v>
      </c>
      <c r="K100" s="200">
        <f t="shared" si="282"/>
        <v>-3663.7636793686925</v>
      </c>
      <c r="L100" s="200">
        <f t="shared" si="282"/>
        <v>0</v>
      </c>
      <c r="M100" s="200">
        <f t="shared" si="282"/>
        <v>0</v>
      </c>
      <c r="N100" s="200">
        <f t="shared" si="282"/>
        <v>0</v>
      </c>
      <c r="O100" s="200">
        <f t="shared" si="282"/>
        <v>0</v>
      </c>
      <c r="P100" s="200">
        <f t="shared" si="282"/>
        <v>0</v>
      </c>
      <c r="Q100" s="200">
        <f t="shared" si="282"/>
        <v>0</v>
      </c>
      <c r="R100" s="200">
        <f t="shared" si="282"/>
        <v>0</v>
      </c>
      <c r="S100" s="200">
        <f t="shared" si="282"/>
        <v>0</v>
      </c>
      <c r="T100" s="200">
        <f t="shared" si="282"/>
        <v>0</v>
      </c>
      <c r="U100" s="200">
        <f t="shared" si="282"/>
        <v>0</v>
      </c>
      <c r="V100" s="200">
        <f t="shared" si="282"/>
        <v>0</v>
      </c>
      <c r="W100" s="200">
        <f t="shared" si="282"/>
        <v>0</v>
      </c>
      <c r="X100" s="200">
        <f t="shared" si="282"/>
        <v>0</v>
      </c>
      <c r="Y100" s="200">
        <f t="shared" si="282"/>
        <v>0</v>
      </c>
      <c r="Z100" s="200">
        <f t="shared" si="282"/>
        <v>0</v>
      </c>
      <c r="AA100" s="200">
        <f t="shared" si="282"/>
        <v>0</v>
      </c>
      <c r="AB100" s="200">
        <f t="shared" si="282"/>
        <v>0</v>
      </c>
      <c r="AC100" s="200">
        <f t="shared" si="282"/>
        <v>0</v>
      </c>
      <c r="AD100" s="200"/>
      <c r="AE100" s="200"/>
      <c r="AF100" s="200"/>
      <c r="AG100" s="200"/>
      <c r="AH100" s="200"/>
      <c r="AI100" s="200"/>
      <c r="AJ100" s="200"/>
      <c r="AK100" s="200"/>
      <c r="AL100" s="200"/>
      <c r="AM100" s="200"/>
      <c r="AN100" s="200"/>
      <c r="AO100" s="200"/>
      <c r="AP100" s="200"/>
      <c r="AQ100" s="200"/>
      <c r="AR100" s="200"/>
      <c r="AS100" s="200"/>
      <c r="AT100" s="200"/>
      <c r="AU100" s="200"/>
      <c r="AV100" s="200"/>
      <c r="AW100" s="200"/>
      <c r="AX100" s="200"/>
      <c r="AY100" s="200"/>
      <c r="AZ100" s="200"/>
      <c r="BA100" s="200"/>
      <c r="BB100" s="200"/>
      <c r="BC100" s="200"/>
      <c r="BD100" s="200"/>
      <c r="BE100" s="200"/>
      <c r="BF100" s="200"/>
      <c r="BG100" s="200"/>
      <c r="BH100" s="200"/>
      <c r="BI100" s="200"/>
      <c r="BJ100" s="200"/>
      <c r="BK100" s="200"/>
      <c r="BL100" s="200"/>
      <c r="BM100" s="200"/>
      <c r="BN100" s="200"/>
      <c r="BO100" s="200"/>
      <c r="BP100" s="200"/>
      <c r="BQ100" s="200"/>
      <c r="BR100" s="200"/>
      <c r="BS100" s="200"/>
      <c r="BT100" s="200"/>
      <c r="BU100" s="200"/>
      <c r="BV100" s="200"/>
      <c r="BW100" s="200"/>
      <c r="BX100" s="200"/>
      <c r="BY100" s="200"/>
      <c r="BZ100" s="200"/>
      <c r="CA100" s="200"/>
      <c r="CB100" s="200"/>
      <c r="CC100" s="200"/>
      <c r="CD100" s="200"/>
      <c r="CE100" s="200"/>
      <c r="CF100" s="200"/>
      <c r="CG100" s="200"/>
      <c r="CH100" s="200"/>
      <c r="CI100" s="200"/>
      <c r="CJ100" s="200"/>
      <c r="CK100" s="200"/>
      <c r="CL100" s="200"/>
      <c r="CM100" s="200"/>
      <c r="CN100" s="200"/>
      <c r="CO100" s="200"/>
      <c r="CP100" s="200"/>
      <c r="CQ100" s="200"/>
      <c r="CR100" s="200"/>
      <c r="CS100" s="200"/>
      <c r="CT100" s="200"/>
      <c r="CU100" s="200"/>
      <c r="CV100" s="200"/>
      <c r="CW100" s="200"/>
      <c r="CX100" s="200"/>
      <c r="CY100" s="200"/>
      <c r="CZ100" s="200"/>
      <c r="DA100" s="200"/>
      <c r="DB100" s="200"/>
      <c r="DC100" s="200"/>
      <c r="DD100" s="200"/>
      <c r="DE100" s="200"/>
      <c r="DF100" s="200"/>
      <c r="DG100" s="200"/>
      <c r="DH100" s="200"/>
      <c r="DI100" s="200"/>
      <c r="DJ100" s="200"/>
      <c r="DK100" s="200"/>
      <c r="DL100" s="200"/>
      <c r="DM100" s="200"/>
      <c r="DN100" s="200"/>
      <c r="DO100" s="200"/>
      <c r="DP100" s="200"/>
      <c r="DQ100" s="200"/>
      <c r="DR100" s="200"/>
      <c r="DS100" s="200"/>
      <c r="DT100" s="200"/>
      <c r="DU100" s="200"/>
      <c r="DV100" s="200"/>
      <c r="DW100" s="200"/>
      <c r="DX100" s="200"/>
      <c r="DY100" s="200"/>
      <c r="DZ100" s="200"/>
      <c r="EA100" s="200"/>
      <c r="EB100" s="200"/>
      <c r="EC100" s="200"/>
      <c r="ED100" s="200"/>
      <c r="EE100" s="200"/>
      <c r="EF100" s="200"/>
      <c r="EG100" s="200"/>
      <c r="EH100" s="200"/>
      <c r="EI100" s="200"/>
      <c r="EJ100" s="200"/>
      <c r="EK100" s="200"/>
      <c r="EL100" s="200"/>
      <c r="EM100" s="200"/>
      <c r="EN100" s="200"/>
      <c r="EO100" s="200"/>
      <c r="EP100" s="200"/>
      <c r="EQ100" s="200"/>
      <c r="ER100" s="200"/>
      <c r="ES100" s="200"/>
      <c r="ET100" s="200"/>
      <c r="EU100" s="200"/>
      <c r="EV100" s="200"/>
      <c r="EW100" s="200"/>
      <c r="EX100" s="200"/>
      <c r="EY100" s="200"/>
      <c r="EZ100" s="200"/>
      <c r="FA100" s="200"/>
      <c r="FB100" s="200"/>
      <c r="FC100" s="200"/>
      <c r="FD100" s="200"/>
      <c r="FE100" s="200"/>
      <c r="FF100" s="200"/>
      <c r="FG100" s="200"/>
      <c r="FH100" s="200"/>
      <c r="FI100" s="200"/>
      <c r="FJ100" s="200"/>
      <c r="FK100" s="200"/>
      <c r="FL100" s="200"/>
      <c r="FM100" s="200"/>
      <c r="FN100" s="200"/>
      <c r="FO100" s="200"/>
      <c r="FP100" s="200"/>
      <c r="FQ100" s="200"/>
      <c r="FR100" s="200"/>
      <c r="FS100" s="200"/>
      <c r="FT100" s="200"/>
      <c r="FU100" s="200"/>
      <c r="FV100" s="200"/>
      <c r="FW100" s="200"/>
      <c r="FX100" s="200"/>
      <c r="FY100" s="200"/>
      <c r="FZ100" s="200"/>
      <c r="GA100" s="200"/>
      <c r="GB100" s="200"/>
      <c r="GC100" s="200"/>
      <c r="GD100" s="200"/>
      <c r="GE100" s="200"/>
      <c r="GF100" s="200"/>
      <c r="GG100" s="200"/>
      <c r="GH100" s="200"/>
      <c r="GI100" s="200"/>
      <c r="GJ100" s="200"/>
      <c r="GK100" s="200"/>
      <c r="GL100" s="200"/>
      <c r="GM100" s="200"/>
      <c r="GN100" s="200"/>
      <c r="GO100" s="200"/>
      <c r="GP100" s="200"/>
      <c r="GQ100" s="200"/>
    </row>
    <row r="101" spans="2:199" hidden="1" outlineLevel="1">
      <c r="B101" s="190" t="s">
        <v>392</v>
      </c>
      <c r="C101" s="192"/>
      <c r="D101" s="194"/>
      <c r="E101" s="201">
        <f>-E87*LOOKUP($C$84,$E$82:$GQ$82,$E$97:$GQ$97)</f>
        <v>0</v>
      </c>
      <c r="F101" s="201">
        <f t="shared" ref="F101:O101" si="283">-F87*LOOKUP($C$84,$E$82:$GQ$82,$E$97:$GQ$97)</f>
        <v>0</v>
      </c>
      <c r="G101" s="201">
        <f t="shared" si="283"/>
        <v>0</v>
      </c>
      <c r="H101" s="201">
        <f t="shared" si="283"/>
        <v>0</v>
      </c>
      <c r="I101" s="201">
        <f t="shared" si="283"/>
        <v>-40182.648000000001</v>
      </c>
      <c r="J101" s="201">
        <f t="shared" si="283"/>
        <v>-40182.648000000001</v>
      </c>
      <c r="K101" s="201">
        <f t="shared" si="283"/>
        <v>-40194.703999999998</v>
      </c>
      <c r="L101" s="201">
        <f t="shared" si="283"/>
        <v>0</v>
      </c>
      <c r="M101" s="201">
        <f t="shared" si="283"/>
        <v>0</v>
      </c>
      <c r="N101" s="201">
        <f t="shared" si="283"/>
        <v>0</v>
      </c>
      <c r="O101" s="201">
        <f t="shared" si="283"/>
        <v>0</v>
      </c>
      <c r="P101" s="201">
        <f t="shared" ref="P101:AC101" si="284">-P87*LOOKUP($C$84,$E$82:$GQ$82,$E$97:$GQ$97)</f>
        <v>0</v>
      </c>
      <c r="Q101" s="201">
        <f t="shared" si="284"/>
        <v>0</v>
      </c>
      <c r="R101" s="201">
        <f t="shared" si="284"/>
        <v>0</v>
      </c>
      <c r="S101" s="201">
        <f t="shared" si="284"/>
        <v>0</v>
      </c>
      <c r="T101" s="201">
        <f t="shared" si="284"/>
        <v>0</v>
      </c>
      <c r="U101" s="201">
        <f t="shared" si="284"/>
        <v>0</v>
      </c>
      <c r="V101" s="201">
        <f t="shared" si="284"/>
        <v>0</v>
      </c>
      <c r="W101" s="201">
        <f t="shared" si="284"/>
        <v>0</v>
      </c>
      <c r="X101" s="201">
        <f t="shared" si="284"/>
        <v>0</v>
      </c>
      <c r="Y101" s="201">
        <f t="shared" si="284"/>
        <v>0</v>
      </c>
      <c r="Z101" s="201">
        <f t="shared" si="284"/>
        <v>0</v>
      </c>
      <c r="AA101" s="201">
        <f t="shared" si="284"/>
        <v>0</v>
      </c>
      <c r="AB101" s="201">
        <f t="shared" si="284"/>
        <v>0</v>
      </c>
      <c r="AC101" s="201">
        <f t="shared" si="284"/>
        <v>0</v>
      </c>
      <c r="AD101" s="201"/>
      <c r="AE101" s="201"/>
      <c r="AF101" s="201"/>
      <c r="AG101" s="201"/>
      <c r="AH101" s="201"/>
      <c r="AI101" s="201"/>
      <c r="AJ101" s="201"/>
      <c r="AK101" s="201"/>
      <c r="AL101" s="201"/>
      <c r="AM101" s="201"/>
      <c r="AN101" s="201"/>
      <c r="AO101" s="201"/>
      <c r="AP101" s="201"/>
      <c r="AQ101" s="201"/>
      <c r="AR101" s="201"/>
      <c r="AS101" s="201"/>
      <c r="AT101" s="201"/>
      <c r="AU101" s="201"/>
      <c r="AV101" s="201"/>
      <c r="AW101" s="201"/>
      <c r="AX101" s="201"/>
      <c r="AY101" s="201"/>
      <c r="AZ101" s="201"/>
      <c r="BA101" s="201"/>
      <c r="BB101" s="201"/>
      <c r="BC101" s="201"/>
      <c r="BD101" s="201"/>
      <c r="BE101" s="201"/>
      <c r="BF101" s="201"/>
      <c r="BG101" s="201"/>
      <c r="BH101" s="201"/>
      <c r="BI101" s="201"/>
      <c r="BJ101" s="201"/>
      <c r="BK101" s="201"/>
      <c r="BL101" s="201"/>
      <c r="BM101" s="201"/>
      <c r="BN101" s="201"/>
      <c r="BO101" s="201"/>
      <c r="BP101" s="201"/>
      <c r="BQ101" s="201"/>
      <c r="BR101" s="201"/>
      <c r="BS101" s="201"/>
      <c r="BT101" s="201"/>
      <c r="BU101" s="201"/>
      <c r="BV101" s="201"/>
      <c r="BW101" s="201"/>
      <c r="BX101" s="201"/>
      <c r="BY101" s="201"/>
      <c r="BZ101" s="201"/>
      <c r="CA101" s="201"/>
      <c r="CB101" s="201"/>
      <c r="CC101" s="201"/>
      <c r="CD101" s="201"/>
      <c r="CE101" s="201"/>
      <c r="CF101" s="201"/>
      <c r="CG101" s="201"/>
      <c r="CH101" s="201"/>
      <c r="CI101" s="201"/>
      <c r="CJ101" s="201"/>
      <c r="CK101" s="201"/>
      <c r="CL101" s="201"/>
      <c r="CM101" s="201"/>
      <c r="CN101" s="201"/>
      <c r="CO101" s="201"/>
      <c r="CP101" s="201"/>
      <c r="CQ101" s="201"/>
      <c r="CR101" s="201"/>
      <c r="CS101" s="201"/>
      <c r="CT101" s="201"/>
      <c r="CU101" s="201"/>
      <c r="CV101" s="201"/>
      <c r="CW101" s="201"/>
      <c r="CX101" s="201"/>
      <c r="CY101" s="201"/>
      <c r="CZ101" s="201"/>
      <c r="DA101" s="201"/>
      <c r="DB101" s="201"/>
      <c r="DC101" s="201"/>
      <c r="DD101" s="201"/>
      <c r="DE101" s="201"/>
      <c r="DF101" s="201"/>
      <c r="DG101" s="201"/>
      <c r="DH101" s="201"/>
      <c r="DI101" s="201"/>
      <c r="DJ101" s="201"/>
      <c r="DK101" s="201"/>
      <c r="DL101" s="201"/>
      <c r="DM101" s="201"/>
      <c r="DN101" s="201"/>
      <c r="DO101" s="201"/>
      <c r="DP101" s="201"/>
      <c r="DQ101" s="201"/>
      <c r="DR101" s="201"/>
      <c r="DS101" s="201"/>
      <c r="DT101" s="201"/>
      <c r="DU101" s="201"/>
      <c r="DV101" s="201"/>
      <c r="DW101" s="201"/>
      <c r="DX101" s="201"/>
      <c r="DY101" s="201"/>
      <c r="DZ101" s="201"/>
      <c r="EA101" s="201"/>
      <c r="EB101" s="201"/>
      <c r="EC101" s="201"/>
      <c r="ED101" s="201"/>
      <c r="EE101" s="201"/>
      <c r="EF101" s="201"/>
      <c r="EG101" s="201"/>
      <c r="EH101" s="201"/>
      <c r="EI101" s="201"/>
      <c r="EJ101" s="201"/>
      <c r="EK101" s="201"/>
      <c r="EL101" s="201"/>
      <c r="EM101" s="201"/>
      <c r="EN101" s="201"/>
      <c r="EO101" s="201"/>
      <c r="EP101" s="201"/>
      <c r="EQ101" s="201"/>
      <c r="ER101" s="201"/>
      <c r="ES101" s="201"/>
      <c r="ET101" s="201"/>
      <c r="EU101" s="201"/>
      <c r="EV101" s="201"/>
      <c r="EW101" s="201"/>
      <c r="EX101" s="201"/>
      <c r="EY101" s="201"/>
      <c r="EZ101" s="201"/>
      <c r="FA101" s="201"/>
      <c r="FB101" s="201"/>
      <c r="FC101" s="201"/>
      <c r="FD101" s="201"/>
      <c r="FE101" s="201"/>
      <c r="FF101" s="201"/>
      <c r="FG101" s="201"/>
      <c r="FH101" s="201"/>
      <c r="FI101" s="201"/>
      <c r="FJ101" s="201"/>
      <c r="FK101" s="201"/>
      <c r="FL101" s="201"/>
      <c r="FM101" s="201"/>
      <c r="FN101" s="201"/>
      <c r="FO101" s="201"/>
      <c r="FP101" s="201"/>
      <c r="FQ101" s="201"/>
      <c r="FR101" s="201"/>
      <c r="FS101" s="201"/>
      <c r="FT101" s="201"/>
      <c r="FU101" s="201"/>
      <c r="FV101" s="201"/>
      <c r="FW101" s="201"/>
      <c r="FX101" s="201"/>
      <c r="FY101" s="201"/>
      <c r="FZ101" s="201"/>
      <c r="GA101" s="201"/>
      <c r="GB101" s="201"/>
      <c r="GC101" s="201"/>
      <c r="GD101" s="201"/>
      <c r="GE101" s="201"/>
      <c r="GF101" s="201"/>
      <c r="GG101" s="201"/>
      <c r="GH101" s="201"/>
      <c r="GI101" s="201"/>
      <c r="GJ101" s="201"/>
      <c r="GK101" s="201"/>
      <c r="GL101" s="201"/>
      <c r="GM101" s="201"/>
      <c r="GN101" s="201"/>
      <c r="GO101" s="201"/>
      <c r="GP101" s="201"/>
      <c r="GQ101" s="201"/>
    </row>
    <row r="102" spans="2:199" s="154" customFormat="1" hidden="1" outlineLevel="1">
      <c r="B102" s="190" t="s">
        <v>393</v>
      </c>
      <c r="C102" s="195"/>
      <c r="D102" s="188"/>
      <c r="E102" s="189">
        <f t="shared" ref="E102" si="285">IF(SUM(E96:E101)&lt;0.00000001,ROUND(SUM(E96:E101),7),SUM(E96:E101))</f>
        <v>139419.50220649535</v>
      </c>
      <c r="F102" s="189">
        <f t="shared" ref="F102:O102" si="286">IF(SUM(F96:F101)&lt;0.00000001,ROUND(SUM(F96:F101),7),SUM(F96:F101))</f>
        <v>120560</v>
      </c>
      <c r="G102" s="189">
        <f t="shared" si="286"/>
        <v>120560</v>
      </c>
      <c r="H102" s="189">
        <f t="shared" si="286"/>
        <v>120559.99999999999</v>
      </c>
      <c r="I102" s="189">
        <f t="shared" si="286"/>
        <v>80377.351999999999</v>
      </c>
      <c r="J102" s="189">
        <f t="shared" si="286"/>
        <v>40194.703999999998</v>
      </c>
      <c r="K102" s="189">
        <f t="shared" si="286"/>
        <v>0</v>
      </c>
      <c r="L102" s="189">
        <f t="shared" si="286"/>
        <v>0</v>
      </c>
      <c r="M102" s="189">
        <f t="shared" si="286"/>
        <v>0</v>
      </c>
      <c r="N102" s="189">
        <f t="shared" si="286"/>
        <v>0</v>
      </c>
      <c r="O102" s="189">
        <f t="shared" si="286"/>
        <v>0</v>
      </c>
      <c r="P102" s="189">
        <f t="shared" ref="P102:AC102" si="287">IF(SUM(P96:P101)&lt;0.00000001,ROUND(SUM(P96:P101),7),SUM(P96:P101))</f>
        <v>0</v>
      </c>
      <c r="Q102" s="189">
        <f t="shared" si="287"/>
        <v>0</v>
      </c>
      <c r="R102" s="189">
        <f t="shared" si="287"/>
        <v>0</v>
      </c>
      <c r="S102" s="189">
        <f t="shared" si="287"/>
        <v>0</v>
      </c>
      <c r="T102" s="189">
        <f t="shared" si="287"/>
        <v>0</v>
      </c>
      <c r="U102" s="189">
        <f t="shared" si="287"/>
        <v>0</v>
      </c>
      <c r="V102" s="189">
        <f t="shared" si="287"/>
        <v>0</v>
      </c>
      <c r="W102" s="189">
        <f t="shared" si="287"/>
        <v>0</v>
      </c>
      <c r="X102" s="189">
        <f t="shared" si="287"/>
        <v>0</v>
      </c>
      <c r="Y102" s="189">
        <f t="shared" si="287"/>
        <v>0</v>
      </c>
      <c r="Z102" s="189">
        <f t="shared" si="287"/>
        <v>0</v>
      </c>
      <c r="AA102" s="189">
        <f t="shared" si="287"/>
        <v>0</v>
      </c>
      <c r="AB102" s="189">
        <f t="shared" si="287"/>
        <v>0</v>
      </c>
      <c r="AC102" s="189">
        <f t="shared" si="287"/>
        <v>0</v>
      </c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89"/>
      <c r="AU102" s="189"/>
      <c r="AV102" s="189"/>
      <c r="AW102" s="189"/>
      <c r="AX102" s="189"/>
      <c r="AY102" s="189"/>
      <c r="AZ102" s="189"/>
      <c r="BA102" s="189"/>
      <c r="BB102" s="189"/>
      <c r="BC102" s="189"/>
      <c r="BD102" s="189"/>
      <c r="BE102" s="189"/>
      <c r="BF102" s="189"/>
      <c r="BG102" s="189"/>
      <c r="BH102" s="189"/>
      <c r="BI102" s="189"/>
      <c r="BJ102" s="189"/>
      <c r="BK102" s="189"/>
      <c r="BL102" s="189"/>
      <c r="BM102" s="189"/>
      <c r="BN102" s="189"/>
      <c r="BO102" s="189"/>
      <c r="BP102" s="189"/>
      <c r="BQ102" s="189"/>
      <c r="BR102" s="189"/>
      <c r="BS102" s="189"/>
      <c r="BT102" s="189"/>
      <c r="BU102" s="189"/>
      <c r="BV102" s="189"/>
      <c r="BW102" s="189"/>
      <c r="BX102" s="189"/>
      <c r="BY102" s="189"/>
      <c r="BZ102" s="189"/>
      <c r="CA102" s="189"/>
      <c r="CB102" s="189"/>
      <c r="CC102" s="189"/>
      <c r="CD102" s="189"/>
      <c r="CE102" s="189"/>
      <c r="CF102" s="189"/>
      <c r="CG102" s="189"/>
      <c r="CH102" s="189"/>
      <c r="CI102" s="189"/>
      <c r="CJ102" s="189"/>
      <c r="CK102" s="189"/>
      <c r="CL102" s="189"/>
      <c r="CM102" s="189"/>
      <c r="CN102" s="189"/>
      <c r="CO102" s="189"/>
      <c r="CP102" s="189"/>
      <c r="CQ102" s="189"/>
      <c r="CR102" s="189"/>
      <c r="CS102" s="189"/>
      <c r="CT102" s="189"/>
      <c r="CU102" s="189"/>
      <c r="CV102" s="189"/>
      <c r="CW102" s="189"/>
      <c r="CX102" s="189"/>
      <c r="CY102" s="189"/>
      <c r="CZ102" s="189"/>
      <c r="DA102" s="189"/>
      <c r="DB102" s="189"/>
      <c r="DC102" s="189"/>
      <c r="DD102" s="189"/>
      <c r="DE102" s="189"/>
      <c r="DF102" s="189"/>
      <c r="DG102" s="189"/>
      <c r="DH102" s="189"/>
      <c r="DI102" s="189"/>
      <c r="DJ102" s="189"/>
      <c r="DK102" s="189"/>
      <c r="DL102" s="189"/>
      <c r="DM102" s="189"/>
      <c r="DN102" s="189"/>
      <c r="DO102" s="189"/>
      <c r="DP102" s="189"/>
      <c r="DQ102" s="189"/>
      <c r="DR102" s="189"/>
      <c r="DS102" s="189"/>
      <c r="DT102" s="189"/>
      <c r="DU102" s="189"/>
      <c r="DV102" s="189"/>
      <c r="DW102" s="189"/>
      <c r="DX102" s="189"/>
      <c r="DY102" s="189"/>
      <c r="DZ102" s="189"/>
      <c r="EA102" s="189"/>
      <c r="EB102" s="189"/>
      <c r="EC102" s="189"/>
      <c r="ED102" s="189"/>
      <c r="EE102" s="189"/>
      <c r="EF102" s="189"/>
      <c r="EG102" s="189"/>
      <c r="EH102" s="189"/>
      <c r="EI102" s="189"/>
      <c r="EJ102" s="189"/>
      <c r="EK102" s="189"/>
      <c r="EL102" s="189"/>
      <c r="EM102" s="189"/>
      <c r="EN102" s="189"/>
      <c r="EO102" s="189"/>
      <c r="EP102" s="189"/>
      <c r="EQ102" s="189"/>
      <c r="ER102" s="189"/>
      <c r="ES102" s="189"/>
      <c r="ET102" s="189"/>
      <c r="EU102" s="189"/>
      <c r="EV102" s="189"/>
      <c r="EW102" s="189"/>
      <c r="EX102" s="189"/>
      <c r="EY102" s="189"/>
      <c r="EZ102" s="189"/>
      <c r="FA102" s="189"/>
      <c r="FB102" s="189"/>
      <c r="FC102" s="189"/>
      <c r="FD102" s="189"/>
      <c r="FE102" s="189"/>
      <c r="FF102" s="189"/>
      <c r="FG102" s="189"/>
      <c r="FH102" s="189"/>
      <c r="FI102" s="189"/>
      <c r="FJ102" s="189"/>
      <c r="FK102" s="189"/>
      <c r="FL102" s="189"/>
      <c r="FM102" s="189"/>
      <c r="FN102" s="189"/>
      <c r="FO102" s="189"/>
      <c r="FP102" s="189"/>
      <c r="FQ102" s="189"/>
      <c r="FR102" s="189"/>
      <c r="FS102" s="189"/>
      <c r="FT102" s="189"/>
      <c r="FU102" s="189"/>
      <c r="FV102" s="189"/>
      <c r="FW102" s="189"/>
      <c r="FX102" s="189"/>
      <c r="FY102" s="189"/>
      <c r="FZ102" s="189"/>
      <c r="GA102" s="189"/>
      <c r="GB102" s="189"/>
      <c r="GC102" s="189"/>
      <c r="GD102" s="189"/>
      <c r="GE102" s="189"/>
      <c r="GF102" s="189"/>
      <c r="GG102" s="189"/>
      <c r="GH102" s="189"/>
      <c r="GI102" s="189"/>
      <c r="GJ102" s="189"/>
      <c r="GK102" s="189"/>
      <c r="GL102" s="189"/>
      <c r="GM102" s="189"/>
      <c r="GN102" s="189"/>
      <c r="GO102" s="189"/>
      <c r="GP102" s="189"/>
      <c r="GQ102" s="189"/>
    </row>
    <row r="103" spans="2:199" hidden="1" outlineLevel="1">
      <c r="B103" s="196" t="s">
        <v>396</v>
      </c>
      <c r="C103" s="197"/>
      <c r="D103" s="198"/>
      <c r="E103" s="210">
        <f>(E99+D103+E100)*IF(AND(E$82=$C$87,$C93),0,1)</f>
        <v>18859.502206495341</v>
      </c>
      <c r="F103" s="210">
        <f>(F99+E103+F100)*IF(AND(F$82=$C$87,$C93),0,1)</f>
        <v>0</v>
      </c>
      <c r="G103" s="210">
        <f t="shared" ref="G103:AC103" si="288">(G99+F103+G100)*IF(AND(G$82=$C$87,$C93),0,1)</f>
        <v>0</v>
      </c>
      <c r="H103" s="210">
        <f t="shared" si="288"/>
        <v>0</v>
      </c>
      <c r="I103" s="210">
        <f t="shared" si="288"/>
        <v>0</v>
      </c>
      <c r="J103" s="210">
        <f t="shared" si="288"/>
        <v>0</v>
      </c>
      <c r="K103" s="210">
        <f t="shared" si="288"/>
        <v>0</v>
      </c>
      <c r="L103" s="210">
        <f t="shared" si="288"/>
        <v>0</v>
      </c>
      <c r="M103" s="210">
        <f t="shared" si="288"/>
        <v>0</v>
      </c>
      <c r="N103" s="210">
        <f t="shared" si="288"/>
        <v>0</v>
      </c>
      <c r="O103" s="210">
        <f t="shared" si="288"/>
        <v>0</v>
      </c>
      <c r="P103" s="210">
        <f t="shared" si="288"/>
        <v>0</v>
      </c>
      <c r="Q103" s="210">
        <f t="shared" si="288"/>
        <v>0</v>
      </c>
      <c r="R103" s="210">
        <f t="shared" si="288"/>
        <v>0</v>
      </c>
      <c r="S103" s="210">
        <f t="shared" si="288"/>
        <v>0</v>
      </c>
      <c r="T103" s="210">
        <f t="shared" si="288"/>
        <v>0</v>
      </c>
      <c r="U103" s="210">
        <f t="shared" si="288"/>
        <v>0</v>
      </c>
      <c r="V103" s="210">
        <f t="shared" si="288"/>
        <v>0</v>
      </c>
      <c r="W103" s="210">
        <f t="shared" si="288"/>
        <v>0</v>
      </c>
      <c r="X103" s="210">
        <f t="shared" si="288"/>
        <v>0</v>
      </c>
      <c r="Y103" s="210">
        <f t="shared" si="288"/>
        <v>0</v>
      </c>
      <c r="Z103" s="210">
        <f t="shared" si="288"/>
        <v>0</v>
      </c>
      <c r="AA103" s="210">
        <f t="shared" si="288"/>
        <v>0</v>
      </c>
      <c r="AB103" s="210">
        <f t="shared" si="288"/>
        <v>0</v>
      </c>
      <c r="AC103" s="210">
        <f t="shared" si="288"/>
        <v>0</v>
      </c>
      <c r="AD103" s="210"/>
      <c r="AE103" s="210"/>
      <c r="AF103" s="210"/>
      <c r="AG103" s="210"/>
      <c r="AH103" s="210"/>
      <c r="AI103" s="210"/>
      <c r="AJ103" s="210"/>
      <c r="AK103" s="210"/>
      <c r="AL103" s="210"/>
      <c r="AM103" s="210"/>
      <c r="AN103" s="210"/>
      <c r="AO103" s="210"/>
      <c r="AP103" s="210"/>
      <c r="AQ103" s="210"/>
      <c r="AR103" s="210"/>
      <c r="AS103" s="210"/>
      <c r="AT103" s="210"/>
      <c r="AU103" s="210"/>
      <c r="AV103" s="210"/>
      <c r="AW103" s="210"/>
      <c r="AX103" s="210"/>
      <c r="AY103" s="210"/>
      <c r="AZ103" s="210"/>
      <c r="BA103" s="210"/>
      <c r="BB103" s="210"/>
      <c r="BC103" s="210"/>
      <c r="BD103" s="210"/>
      <c r="BE103" s="210"/>
      <c r="BF103" s="210"/>
      <c r="BG103" s="210"/>
      <c r="BH103" s="210"/>
      <c r="BI103" s="210"/>
      <c r="BJ103" s="210"/>
      <c r="BK103" s="210"/>
      <c r="BL103" s="210"/>
      <c r="BM103" s="210"/>
      <c r="BN103" s="210"/>
      <c r="BO103" s="210"/>
      <c r="BP103" s="210"/>
      <c r="BQ103" s="210"/>
      <c r="BR103" s="210"/>
      <c r="BS103" s="210"/>
      <c r="BT103" s="210"/>
      <c r="BU103" s="210"/>
      <c r="BV103" s="210"/>
      <c r="BW103" s="210"/>
      <c r="BX103" s="210"/>
      <c r="BY103" s="210"/>
      <c r="BZ103" s="210"/>
      <c r="CA103" s="210"/>
      <c r="CB103" s="210"/>
      <c r="CC103" s="210"/>
      <c r="CD103" s="210"/>
      <c r="CE103" s="210"/>
      <c r="CF103" s="210"/>
      <c r="CG103" s="210"/>
      <c r="CH103" s="210"/>
      <c r="CI103" s="210"/>
      <c r="CJ103" s="210"/>
      <c r="CK103" s="210"/>
      <c r="CL103" s="210"/>
      <c r="CM103" s="210"/>
      <c r="CN103" s="210"/>
      <c r="CO103" s="210"/>
      <c r="CP103" s="210"/>
      <c r="CQ103" s="210"/>
      <c r="CR103" s="210"/>
      <c r="CS103" s="210"/>
      <c r="CT103" s="210"/>
      <c r="CU103" s="210"/>
      <c r="CV103" s="210"/>
      <c r="CW103" s="210"/>
      <c r="CX103" s="210"/>
      <c r="CY103" s="210"/>
      <c r="CZ103" s="210"/>
      <c r="DA103" s="210"/>
      <c r="DB103" s="210"/>
      <c r="DC103" s="210"/>
      <c r="DD103" s="210"/>
      <c r="DE103" s="210"/>
      <c r="DF103" s="210"/>
      <c r="DG103" s="210"/>
      <c r="DH103" s="210"/>
      <c r="DI103" s="210"/>
      <c r="DJ103" s="210"/>
      <c r="DK103" s="210"/>
      <c r="DL103" s="210"/>
      <c r="DM103" s="210"/>
      <c r="DN103" s="210"/>
      <c r="DO103" s="210"/>
      <c r="DP103" s="210"/>
      <c r="DQ103" s="210"/>
      <c r="DR103" s="210"/>
      <c r="DS103" s="210"/>
      <c r="DT103" s="210"/>
      <c r="DU103" s="210"/>
      <c r="DV103" s="210"/>
      <c r="DW103" s="210"/>
      <c r="DX103" s="210"/>
      <c r="DY103" s="210"/>
      <c r="DZ103" s="210"/>
      <c r="EA103" s="210"/>
      <c r="EB103" s="210"/>
      <c r="EC103" s="210"/>
      <c r="ED103" s="210"/>
      <c r="EE103" s="210"/>
      <c r="EF103" s="210"/>
      <c r="EG103" s="210"/>
      <c r="EH103" s="210"/>
      <c r="EI103" s="210"/>
      <c r="EJ103" s="210"/>
      <c r="EK103" s="210"/>
      <c r="EL103" s="210"/>
      <c r="EM103" s="210"/>
      <c r="EN103" s="210"/>
      <c r="EO103" s="210"/>
      <c r="EP103" s="210"/>
      <c r="EQ103" s="210"/>
      <c r="ER103" s="210"/>
      <c r="ES103" s="210"/>
      <c r="ET103" s="210"/>
      <c r="EU103" s="210"/>
      <c r="EV103" s="210"/>
      <c r="EW103" s="210"/>
      <c r="EX103" s="210"/>
      <c r="EY103" s="210"/>
      <c r="EZ103" s="210"/>
      <c r="FA103" s="210"/>
      <c r="FB103" s="210"/>
      <c r="FC103" s="210"/>
      <c r="FD103" s="210"/>
      <c r="FE103" s="210"/>
      <c r="FF103" s="210"/>
      <c r="FG103" s="210"/>
      <c r="FH103" s="210"/>
      <c r="FI103" s="210"/>
      <c r="FJ103" s="210"/>
      <c r="FK103" s="210"/>
      <c r="FL103" s="210"/>
      <c r="FM103" s="210"/>
      <c r="FN103" s="210"/>
      <c r="FO103" s="210"/>
      <c r="FP103" s="210"/>
      <c r="FQ103" s="210"/>
      <c r="FR103" s="210"/>
      <c r="FS103" s="210"/>
      <c r="FT103" s="210"/>
      <c r="FU103" s="210"/>
      <c r="FV103" s="210"/>
      <c r="FW103" s="210"/>
      <c r="FX103" s="210"/>
      <c r="FY103" s="210"/>
      <c r="FZ103" s="210"/>
      <c r="GA103" s="210"/>
      <c r="GB103" s="210"/>
      <c r="GC103" s="210"/>
      <c r="GD103" s="210"/>
      <c r="GE103" s="210"/>
      <c r="GF103" s="210"/>
      <c r="GG103" s="210"/>
      <c r="GH103" s="210"/>
      <c r="GI103" s="210"/>
      <c r="GJ103" s="210"/>
      <c r="GK103" s="210"/>
      <c r="GL103" s="210"/>
      <c r="GM103" s="210"/>
      <c r="GN103" s="210"/>
      <c r="GO103" s="210"/>
      <c r="GP103" s="210"/>
      <c r="GQ103" s="210"/>
    </row>
    <row r="104" spans="2:199" hidden="1" outlineLevel="1">
      <c r="B104" s="183"/>
      <c r="C104" s="169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  <c r="BE104" s="171"/>
      <c r="BF104" s="171"/>
      <c r="BG104" s="171"/>
      <c r="BH104" s="171"/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1"/>
      <c r="BS104" s="171"/>
      <c r="BT104" s="171"/>
      <c r="BU104" s="171"/>
      <c r="BV104" s="171"/>
      <c r="BW104" s="171"/>
      <c r="BX104" s="171"/>
      <c r="BY104" s="171"/>
      <c r="BZ104" s="171"/>
      <c r="CA104" s="171"/>
      <c r="CB104" s="171"/>
      <c r="CC104" s="171"/>
      <c r="CD104" s="171"/>
      <c r="CE104" s="171"/>
      <c r="CF104" s="171"/>
      <c r="CG104" s="171"/>
      <c r="CH104" s="171"/>
      <c r="CI104" s="171"/>
      <c r="CJ104" s="171"/>
      <c r="CK104" s="171"/>
      <c r="CL104" s="171"/>
      <c r="CM104" s="171"/>
      <c r="CN104" s="171"/>
      <c r="CO104" s="171"/>
      <c r="CP104" s="171"/>
      <c r="CQ104" s="171"/>
      <c r="CR104" s="171"/>
      <c r="CS104" s="171"/>
      <c r="CT104" s="171"/>
      <c r="CU104" s="171"/>
      <c r="CV104" s="171"/>
      <c r="CW104" s="171"/>
      <c r="CX104" s="171"/>
      <c r="CY104" s="171"/>
      <c r="CZ104" s="171"/>
      <c r="DA104" s="171"/>
      <c r="DB104" s="171"/>
      <c r="DC104" s="171"/>
      <c r="DD104" s="171"/>
      <c r="DE104" s="171"/>
      <c r="DF104" s="171"/>
      <c r="DG104" s="171"/>
      <c r="DH104" s="171"/>
      <c r="DI104" s="171"/>
      <c r="DJ104" s="171"/>
      <c r="DK104" s="171"/>
      <c r="DL104" s="171"/>
      <c r="DM104" s="171"/>
      <c r="DN104" s="171"/>
      <c r="DO104" s="171"/>
      <c r="DP104" s="171"/>
      <c r="DQ104" s="171"/>
      <c r="DR104" s="171"/>
      <c r="DS104" s="171"/>
      <c r="DT104" s="171"/>
      <c r="DU104" s="171"/>
      <c r="DV104" s="171"/>
      <c r="DW104" s="171"/>
      <c r="DX104" s="171"/>
      <c r="DY104" s="171"/>
      <c r="DZ104" s="171"/>
      <c r="EA104" s="171"/>
      <c r="EB104" s="171"/>
      <c r="EC104" s="171"/>
      <c r="ED104" s="171"/>
      <c r="EE104" s="171"/>
      <c r="EF104" s="171"/>
      <c r="EG104" s="171"/>
      <c r="EH104" s="171"/>
      <c r="EI104" s="171"/>
      <c r="EJ104" s="171"/>
      <c r="EK104" s="171"/>
      <c r="EL104" s="171"/>
      <c r="EM104" s="171"/>
      <c r="EN104" s="171"/>
      <c r="EO104" s="171"/>
      <c r="EP104" s="171"/>
      <c r="EQ104" s="171"/>
      <c r="ER104" s="171"/>
      <c r="ES104" s="171"/>
      <c r="ET104" s="171"/>
      <c r="EU104" s="171"/>
      <c r="EV104" s="171"/>
      <c r="EW104" s="171"/>
      <c r="EX104" s="171"/>
      <c r="EY104" s="171"/>
      <c r="EZ104" s="171"/>
      <c r="FA104" s="171"/>
      <c r="FB104" s="171"/>
      <c r="FC104" s="171"/>
      <c r="FD104" s="171"/>
      <c r="FE104" s="171"/>
      <c r="FF104" s="171"/>
      <c r="FG104" s="171"/>
      <c r="FH104" s="171"/>
      <c r="FI104" s="171"/>
      <c r="FJ104" s="171"/>
      <c r="FK104" s="171"/>
      <c r="FL104" s="171"/>
      <c r="FM104" s="171"/>
      <c r="FN104" s="171"/>
      <c r="FO104" s="171"/>
      <c r="FP104" s="171"/>
      <c r="FQ104" s="171"/>
      <c r="FR104" s="171"/>
      <c r="FS104" s="171"/>
      <c r="FT104" s="171"/>
      <c r="FU104" s="171"/>
      <c r="FV104" s="171"/>
      <c r="FW104" s="171"/>
      <c r="FX104" s="171"/>
      <c r="FY104" s="171"/>
      <c r="FZ104" s="171"/>
      <c r="GA104" s="171"/>
      <c r="GB104" s="171"/>
      <c r="GC104" s="171"/>
      <c r="GD104" s="171"/>
      <c r="GE104" s="171"/>
      <c r="GF104" s="171"/>
      <c r="GG104" s="171"/>
      <c r="GH104" s="171"/>
      <c r="GI104" s="171"/>
      <c r="GJ104" s="171"/>
      <c r="GK104" s="171"/>
      <c r="GL104" s="171"/>
      <c r="GM104" s="171"/>
      <c r="GN104" s="171"/>
      <c r="GO104" s="171"/>
      <c r="GP104" s="171"/>
      <c r="GQ104" s="171"/>
    </row>
    <row r="105" spans="2:199" hidden="1" outlineLevel="1">
      <c r="B105" s="182" t="s">
        <v>397</v>
      </c>
      <c r="C105" s="158"/>
      <c r="D105" s="171"/>
      <c r="E105" s="172">
        <f t="shared" ref="E105" si="289">E101+E100</f>
        <v>0</v>
      </c>
      <c r="F105" s="172">
        <f t="shared" ref="F105:O105" si="290">F101+F100</f>
        <v>-36008.470840556889</v>
      </c>
      <c r="G105" s="172">
        <f t="shared" si="290"/>
        <v>-15534.542218003999</v>
      </c>
      <c r="H105" s="172">
        <f t="shared" si="290"/>
        <v>-12395.638398460707</v>
      </c>
      <c r="I105" s="172">
        <f t="shared" si="290"/>
        <v>-52428.028042791142</v>
      </c>
      <c r="J105" s="172">
        <f t="shared" si="290"/>
        <v>-49879.06269137749</v>
      </c>
      <c r="K105" s="172">
        <f t="shared" si="290"/>
        <v>-43858.467679368689</v>
      </c>
      <c r="L105" s="172">
        <f t="shared" si="290"/>
        <v>0</v>
      </c>
      <c r="M105" s="172">
        <f t="shared" si="290"/>
        <v>0</v>
      </c>
      <c r="N105" s="172">
        <f t="shared" si="290"/>
        <v>0</v>
      </c>
      <c r="O105" s="172">
        <f t="shared" si="290"/>
        <v>0</v>
      </c>
      <c r="P105" s="172">
        <f t="shared" ref="P105:AC105" si="291">P101+P100</f>
        <v>0</v>
      </c>
      <c r="Q105" s="172">
        <f t="shared" si="291"/>
        <v>0</v>
      </c>
      <c r="R105" s="172">
        <f t="shared" si="291"/>
        <v>0</v>
      </c>
      <c r="S105" s="172">
        <f t="shared" si="291"/>
        <v>0</v>
      </c>
      <c r="T105" s="172">
        <f t="shared" si="291"/>
        <v>0</v>
      </c>
      <c r="U105" s="172">
        <f t="shared" si="291"/>
        <v>0</v>
      </c>
      <c r="V105" s="172">
        <f t="shared" si="291"/>
        <v>0</v>
      </c>
      <c r="W105" s="172">
        <f t="shared" si="291"/>
        <v>0</v>
      </c>
      <c r="X105" s="172">
        <f t="shared" si="291"/>
        <v>0</v>
      </c>
      <c r="Y105" s="172">
        <f t="shared" si="291"/>
        <v>0</v>
      </c>
      <c r="Z105" s="172">
        <f t="shared" si="291"/>
        <v>0</v>
      </c>
      <c r="AA105" s="172">
        <f t="shared" si="291"/>
        <v>0</v>
      </c>
      <c r="AB105" s="172">
        <f t="shared" si="291"/>
        <v>0</v>
      </c>
      <c r="AC105" s="172">
        <f t="shared" si="291"/>
        <v>0</v>
      </c>
      <c r="AD105" s="172"/>
      <c r="AE105" s="172"/>
      <c r="AF105" s="172"/>
      <c r="AG105" s="172"/>
      <c r="AH105" s="172"/>
      <c r="AI105" s="172"/>
      <c r="AJ105" s="172"/>
      <c r="AK105" s="172"/>
      <c r="AL105" s="172"/>
      <c r="AM105" s="172"/>
      <c r="AN105" s="172"/>
      <c r="AO105" s="172"/>
      <c r="AP105" s="172"/>
      <c r="AQ105" s="172"/>
      <c r="AR105" s="172"/>
      <c r="AS105" s="172"/>
      <c r="AT105" s="172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  <c r="BT105" s="172"/>
      <c r="BU105" s="172"/>
      <c r="BV105" s="172"/>
      <c r="BW105" s="172"/>
      <c r="BX105" s="172"/>
      <c r="BY105" s="172"/>
      <c r="BZ105" s="172"/>
      <c r="CA105" s="172"/>
      <c r="CB105" s="172"/>
      <c r="CC105" s="172"/>
      <c r="CD105" s="172"/>
      <c r="CE105" s="172"/>
      <c r="CF105" s="172"/>
      <c r="CG105" s="172"/>
      <c r="CH105" s="172"/>
      <c r="CI105" s="172"/>
      <c r="CJ105" s="172"/>
      <c r="CK105" s="172"/>
      <c r="CL105" s="172"/>
      <c r="CM105" s="172"/>
      <c r="CN105" s="172"/>
      <c r="CO105" s="172"/>
      <c r="CP105" s="172"/>
      <c r="CQ105" s="172"/>
      <c r="CR105" s="172"/>
      <c r="CS105" s="172"/>
      <c r="CT105" s="172"/>
      <c r="CU105" s="172"/>
      <c r="CV105" s="172"/>
      <c r="CW105" s="172"/>
      <c r="CX105" s="172"/>
      <c r="CY105" s="172"/>
      <c r="CZ105" s="172"/>
      <c r="DA105" s="172"/>
      <c r="DB105" s="172"/>
      <c r="DC105" s="172"/>
      <c r="DD105" s="172"/>
      <c r="DE105" s="172"/>
      <c r="DF105" s="172"/>
      <c r="DG105" s="172"/>
      <c r="DH105" s="172"/>
      <c r="DI105" s="172"/>
      <c r="DJ105" s="172"/>
      <c r="DK105" s="172"/>
      <c r="DL105" s="172"/>
      <c r="DM105" s="172"/>
      <c r="DN105" s="172"/>
      <c r="DO105" s="172"/>
      <c r="DP105" s="172"/>
      <c r="DQ105" s="172"/>
      <c r="DR105" s="172"/>
      <c r="DS105" s="172"/>
      <c r="DT105" s="172"/>
      <c r="DU105" s="172"/>
      <c r="DV105" s="172"/>
      <c r="DW105" s="172"/>
      <c r="DX105" s="172"/>
      <c r="DY105" s="172"/>
      <c r="DZ105" s="172"/>
      <c r="EA105" s="172"/>
      <c r="EB105" s="172"/>
      <c r="EC105" s="172"/>
      <c r="ED105" s="172"/>
      <c r="EE105" s="172"/>
      <c r="EF105" s="172"/>
      <c r="EG105" s="172"/>
      <c r="EH105" s="172"/>
      <c r="EI105" s="172"/>
      <c r="EJ105" s="172"/>
      <c r="EK105" s="172"/>
      <c r="EL105" s="172"/>
      <c r="EM105" s="172"/>
      <c r="EN105" s="172"/>
      <c r="EO105" s="172"/>
      <c r="EP105" s="172"/>
      <c r="EQ105" s="172"/>
      <c r="ER105" s="172"/>
      <c r="ES105" s="172"/>
      <c r="ET105" s="172"/>
      <c r="EU105" s="172"/>
      <c r="EV105" s="172"/>
      <c r="EW105" s="172"/>
      <c r="EX105" s="172"/>
      <c r="EY105" s="172"/>
      <c r="EZ105" s="172"/>
      <c r="FA105" s="172"/>
      <c r="FB105" s="172"/>
      <c r="FC105" s="172"/>
      <c r="FD105" s="172"/>
      <c r="FE105" s="172"/>
      <c r="FF105" s="172"/>
      <c r="FG105" s="172"/>
      <c r="FH105" s="172"/>
      <c r="FI105" s="172"/>
      <c r="FJ105" s="172"/>
      <c r="FK105" s="172"/>
      <c r="FL105" s="172"/>
      <c r="FM105" s="172"/>
      <c r="FN105" s="172"/>
      <c r="FO105" s="172"/>
      <c r="FP105" s="172"/>
      <c r="FQ105" s="172"/>
      <c r="FR105" s="172"/>
      <c r="FS105" s="172"/>
      <c r="FT105" s="172"/>
      <c r="FU105" s="172"/>
      <c r="FV105" s="172"/>
      <c r="FW105" s="172"/>
      <c r="FX105" s="172"/>
      <c r="FY105" s="172"/>
      <c r="FZ105" s="172"/>
      <c r="GA105" s="172"/>
      <c r="GB105" s="172"/>
      <c r="GC105" s="172"/>
      <c r="GD105" s="172"/>
      <c r="GE105" s="172"/>
      <c r="GF105" s="172"/>
      <c r="GG105" s="172"/>
      <c r="GH105" s="172"/>
      <c r="GI105" s="172"/>
      <c r="GJ105" s="172"/>
      <c r="GK105" s="172"/>
      <c r="GL105" s="172"/>
      <c r="GM105" s="172"/>
      <c r="GN105" s="172"/>
      <c r="GO105" s="172"/>
      <c r="GP105" s="172"/>
      <c r="GQ105" s="172"/>
    </row>
    <row r="106" spans="2:199" hidden="1" outlineLevel="1">
      <c r="B106" s="182" t="s">
        <v>417</v>
      </c>
      <c r="C106" s="154">
        <v>1</v>
      </c>
      <c r="D106" s="168"/>
      <c r="E106" s="213">
        <f>IF(E$82&gt;=$C84,1+E89,1)</f>
        <v>1</v>
      </c>
      <c r="F106" s="213">
        <f t="shared" ref="F106:O106" si="292">IF(F$82&gt;=$C84,1+F89,1)</f>
        <v>1</v>
      </c>
      <c r="G106" s="213">
        <f t="shared" si="292"/>
        <v>1</v>
      </c>
      <c r="H106" s="213">
        <f t="shared" si="292"/>
        <v>1</v>
      </c>
      <c r="I106" s="213">
        <f t="shared" si="292"/>
        <v>1</v>
      </c>
      <c r="J106" s="213">
        <f t="shared" si="292"/>
        <v>1</v>
      </c>
      <c r="K106" s="213">
        <f t="shared" si="292"/>
        <v>1</v>
      </c>
      <c r="L106" s="213">
        <f t="shared" si="292"/>
        <v>1</v>
      </c>
      <c r="M106" s="213">
        <f t="shared" si="292"/>
        <v>1</v>
      </c>
      <c r="N106" s="213">
        <f t="shared" si="292"/>
        <v>1</v>
      </c>
      <c r="O106" s="213">
        <f t="shared" si="292"/>
        <v>1</v>
      </c>
      <c r="P106" s="213">
        <f t="shared" ref="P106:AC106" si="293">IF(P$82&gt;=$C84,1+P89,1)</f>
        <v>1</v>
      </c>
      <c r="Q106" s="213">
        <f t="shared" si="293"/>
        <v>1</v>
      </c>
      <c r="R106" s="213">
        <f t="shared" si="293"/>
        <v>1</v>
      </c>
      <c r="S106" s="213">
        <f t="shared" si="293"/>
        <v>1</v>
      </c>
      <c r="T106" s="213">
        <f t="shared" si="293"/>
        <v>1</v>
      </c>
      <c r="U106" s="213">
        <f t="shared" si="293"/>
        <v>1</v>
      </c>
      <c r="V106" s="213">
        <f t="shared" si="293"/>
        <v>1</v>
      </c>
      <c r="W106" s="213">
        <f t="shared" si="293"/>
        <v>1</v>
      </c>
      <c r="X106" s="213">
        <f t="shared" si="293"/>
        <v>1</v>
      </c>
      <c r="Y106" s="213">
        <f t="shared" si="293"/>
        <v>1</v>
      </c>
      <c r="Z106" s="213">
        <f t="shared" si="293"/>
        <v>1</v>
      </c>
      <c r="AA106" s="213">
        <f t="shared" si="293"/>
        <v>1</v>
      </c>
      <c r="AB106" s="213">
        <f t="shared" si="293"/>
        <v>1</v>
      </c>
      <c r="AC106" s="213">
        <f t="shared" si="293"/>
        <v>1</v>
      </c>
      <c r="AD106" s="213"/>
      <c r="AE106" s="213"/>
      <c r="AF106" s="213"/>
      <c r="AG106" s="213"/>
      <c r="AH106" s="213"/>
      <c r="AI106" s="213"/>
      <c r="AJ106" s="213"/>
      <c r="AK106" s="213"/>
      <c r="AL106" s="213"/>
      <c r="AM106" s="213"/>
      <c r="AN106" s="213"/>
      <c r="AO106" s="213"/>
      <c r="AP106" s="213"/>
      <c r="AQ106" s="213"/>
      <c r="AR106" s="213"/>
      <c r="AS106" s="213"/>
      <c r="AT106" s="213"/>
      <c r="AU106" s="213"/>
      <c r="AV106" s="213"/>
      <c r="AW106" s="213"/>
      <c r="AX106" s="213"/>
      <c r="AY106" s="213"/>
      <c r="AZ106" s="213"/>
      <c r="BA106" s="213"/>
      <c r="BB106" s="213"/>
      <c r="BC106" s="213"/>
      <c r="BD106" s="213"/>
      <c r="BE106" s="213"/>
      <c r="BF106" s="213"/>
      <c r="BG106" s="213"/>
      <c r="BH106" s="213"/>
      <c r="BI106" s="213"/>
      <c r="BJ106" s="213"/>
      <c r="BK106" s="213"/>
      <c r="BL106" s="213"/>
      <c r="BM106" s="213"/>
      <c r="BN106" s="213"/>
      <c r="BO106" s="213"/>
      <c r="BP106" s="213"/>
      <c r="BQ106" s="213"/>
      <c r="BR106" s="213"/>
      <c r="BS106" s="213"/>
      <c r="BT106" s="213"/>
      <c r="BU106" s="213"/>
      <c r="BV106" s="213"/>
      <c r="BW106" s="213"/>
      <c r="BX106" s="213"/>
      <c r="BY106" s="213"/>
      <c r="BZ106" s="213"/>
      <c r="CA106" s="213"/>
      <c r="CB106" s="213"/>
      <c r="CC106" s="213"/>
      <c r="CD106" s="213"/>
      <c r="CE106" s="213"/>
      <c r="CF106" s="213"/>
      <c r="CG106" s="213"/>
      <c r="CH106" s="213"/>
      <c r="CI106" s="213"/>
      <c r="CJ106" s="213"/>
      <c r="CK106" s="213"/>
      <c r="CL106" s="213"/>
      <c r="CM106" s="213"/>
      <c r="CN106" s="213"/>
      <c r="CO106" s="213"/>
      <c r="CP106" s="213"/>
      <c r="CQ106" s="213"/>
      <c r="CR106" s="213"/>
      <c r="CS106" s="213"/>
      <c r="CT106" s="213"/>
      <c r="CU106" s="213"/>
      <c r="CV106" s="213"/>
      <c r="CW106" s="213"/>
      <c r="CX106" s="213"/>
      <c r="CY106" s="213"/>
      <c r="CZ106" s="213"/>
      <c r="DA106" s="213"/>
      <c r="DB106" s="213"/>
      <c r="DC106" s="213"/>
      <c r="DD106" s="213"/>
      <c r="DE106" s="213"/>
      <c r="DF106" s="213"/>
      <c r="DG106" s="213"/>
      <c r="DH106" s="213"/>
      <c r="DI106" s="213"/>
      <c r="DJ106" s="213"/>
      <c r="DK106" s="213"/>
      <c r="DL106" s="213"/>
      <c r="DM106" s="213"/>
      <c r="DN106" s="213"/>
      <c r="DO106" s="213"/>
      <c r="DP106" s="213"/>
      <c r="DQ106" s="213"/>
      <c r="DR106" s="213"/>
      <c r="DS106" s="213"/>
      <c r="DT106" s="213"/>
      <c r="DU106" s="213"/>
      <c r="DV106" s="213"/>
      <c r="DW106" s="213"/>
      <c r="DX106" s="213"/>
      <c r="DY106" s="213"/>
      <c r="DZ106" s="213"/>
      <c r="EA106" s="213"/>
      <c r="EB106" s="213"/>
      <c r="EC106" s="213"/>
      <c r="ED106" s="213"/>
      <c r="EE106" s="213"/>
      <c r="EF106" s="213"/>
      <c r="EG106" s="213"/>
      <c r="EH106" s="213"/>
      <c r="EI106" s="213"/>
      <c r="EJ106" s="213"/>
      <c r="EK106" s="213"/>
      <c r="EL106" s="213"/>
      <c r="EM106" s="213"/>
      <c r="EN106" s="213"/>
      <c r="EO106" s="213"/>
      <c r="EP106" s="213"/>
      <c r="EQ106" s="213"/>
      <c r="ER106" s="213"/>
      <c r="ES106" s="213"/>
      <c r="ET106" s="213"/>
      <c r="EU106" s="213"/>
      <c r="EV106" s="213"/>
      <c r="EW106" s="213"/>
      <c r="EX106" s="213"/>
      <c r="EY106" s="213"/>
      <c r="EZ106" s="213"/>
      <c r="FA106" s="213"/>
      <c r="FB106" s="213"/>
      <c r="FC106" s="213"/>
      <c r="FD106" s="213"/>
      <c r="FE106" s="213"/>
      <c r="FF106" s="213"/>
      <c r="FG106" s="213"/>
      <c r="FH106" s="213"/>
      <c r="FI106" s="213"/>
      <c r="FJ106" s="213"/>
      <c r="FK106" s="213"/>
      <c r="FL106" s="213"/>
      <c r="FM106" s="213"/>
      <c r="FN106" s="213"/>
      <c r="FO106" s="213"/>
      <c r="FP106" s="213"/>
      <c r="FQ106" s="213"/>
      <c r="FR106" s="213"/>
      <c r="FS106" s="213"/>
      <c r="FT106" s="213"/>
      <c r="FU106" s="213"/>
      <c r="FV106" s="213"/>
      <c r="FW106" s="213"/>
      <c r="FX106" s="213"/>
      <c r="FY106" s="213"/>
      <c r="FZ106" s="213"/>
      <c r="GA106" s="213"/>
      <c r="GB106" s="213"/>
      <c r="GC106" s="213"/>
      <c r="GD106" s="213"/>
      <c r="GE106" s="213"/>
      <c r="GF106" s="213"/>
      <c r="GG106" s="213"/>
      <c r="GH106" s="213"/>
      <c r="GI106" s="213"/>
      <c r="GJ106" s="213"/>
      <c r="GK106" s="213"/>
      <c r="GL106" s="213"/>
      <c r="GM106" s="213"/>
      <c r="GN106" s="213"/>
      <c r="GO106" s="213"/>
      <c r="GP106" s="213"/>
      <c r="GQ106" s="213"/>
    </row>
    <row r="107" spans="2:199" hidden="1" outlineLevel="1">
      <c r="B107" s="182" t="s">
        <v>416</v>
      </c>
      <c r="C107" s="161">
        <v>1</v>
      </c>
      <c r="D107" s="168"/>
      <c r="E107" s="213">
        <f>C107*E106</f>
        <v>1</v>
      </c>
      <c r="F107" s="213">
        <f t="shared" ref="F107:O107" si="294">D107*F106</f>
        <v>0</v>
      </c>
      <c r="G107" s="213">
        <f t="shared" si="294"/>
        <v>1</v>
      </c>
      <c r="H107" s="213">
        <f t="shared" si="294"/>
        <v>0</v>
      </c>
      <c r="I107" s="213">
        <f t="shared" si="294"/>
        <v>1</v>
      </c>
      <c r="J107" s="213">
        <f t="shared" si="294"/>
        <v>0</v>
      </c>
      <c r="K107" s="213">
        <f t="shared" si="294"/>
        <v>1</v>
      </c>
      <c r="L107" s="213">
        <f t="shared" si="294"/>
        <v>0</v>
      </c>
      <c r="M107" s="213">
        <f t="shared" si="294"/>
        <v>1</v>
      </c>
      <c r="N107" s="213">
        <f t="shared" si="294"/>
        <v>0</v>
      </c>
      <c r="O107" s="213">
        <f t="shared" si="294"/>
        <v>1</v>
      </c>
      <c r="P107" s="213">
        <f t="shared" ref="P107" si="295">N107*P106</f>
        <v>0</v>
      </c>
      <c r="Q107" s="213">
        <f t="shared" ref="Q107" si="296">O107*Q106</f>
        <v>1</v>
      </c>
      <c r="R107" s="213">
        <f t="shared" ref="R107" si="297">P107*R106</f>
        <v>0</v>
      </c>
      <c r="S107" s="213">
        <f t="shared" ref="S107" si="298">Q107*S106</f>
        <v>1</v>
      </c>
      <c r="T107" s="213">
        <f t="shared" ref="T107" si="299">R107*T106</f>
        <v>0</v>
      </c>
      <c r="U107" s="213">
        <f t="shared" ref="U107" si="300">S107*U106</f>
        <v>1</v>
      </c>
      <c r="V107" s="213">
        <f t="shared" ref="V107" si="301">T107*V106</f>
        <v>0</v>
      </c>
      <c r="W107" s="213">
        <f t="shared" ref="W107" si="302">U107*W106</f>
        <v>1</v>
      </c>
      <c r="X107" s="213">
        <f t="shared" ref="X107:Y107" si="303">V107*X106</f>
        <v>0</v>
      </c>
      <c r="Y107" s="213">
        <f t="shared" si="303"/>
        <v>1</v>
      </c>
      <c r="Z107" s="213">
        <f t="shared" ref="Z107" si="304">X107*Z106</f>
        <v>0</v>
      </c>
      <c r="AA107" s="213">
        <f t="shared" ref="AA107" si="305">Y107*AA106</f>
        <v>1</v>
      </c>
      <c r="AB107" s="213">
        <f t="shared" ref="AB107" si="306">Z107*AB106</f>
        <v>0</v>
      </c>
      <c r="AC107" s="213">
        <f t="shared" ref="AC107" si="307">AA107*AC106</f>
        <v>1</v>
      </c>
      <c r="AD107" s="213"/>
      <c r="AE107" s="213"/>
      <c r="AF107" s="213"/>
      <c r="AG107" s="213"/>
      <c r="AH107" s="213"/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213"/>
      <c r="AT107" s="213"/>
      <c r="AU107" s="213"/>
      <c r="AV107" s="213"/>
      <c r="AW107" s="213"/>
      <c r="AX107" s="213"/>
      <c r="AY107" s="213"/>
      <c r="AZ107" s="213"/>
      <c r="BA107" s="213"/>
      <c r="BB107" s="213"/>
      <c r="BC107" s="213"/>
      <c r="BD107" s="213"/>
      <c r="BE107" s="213"/>
      <c r="BF107" s="213"/>
      <c r="BG107" s="213"/>
      <c r="BH107" s="213"/>
      <c r="BI107" s="213"/>
      <c r="BJ107" s="213"/>
      <c r="BK107" s="213"/>
      <c r="BL107" s="213"/>
      <c r="BM107" s="213"/>
      <c r="BN107" s="213"/>
      <c r="BO107" s="213"/>
      <c r="BP107" s="213"/>
      <c r="BQ107" s="213"/>
      <c r="BR107" s="213"/>
      <c r="BS107" s="213"/>
      <c r="BT107" s="213"/>
      <c r="BU107" s="213"/>
      <c r="BV107" s="213"/>
      <c r="BW107" s="213"/>
      <c r="BX107" s="213"/>
      <c r="BY107" s="213"/>
      <c r="BZ107" s="213"/>
      <c r="CA107" s="213"/>
      <c r="CB107" s="213"/>
      <c r="CC107" s="213"/>
      <c r="CD107" s="213"/>
      <c r="CE107" s="213"/>
      <c r="CF107" s="213"/>
      <c r="CG107" s="213"/>
      <c r="CH107" s="213"/>
      <c r="CI107" s="213"/>
      <c r="CJ107" s="213"/>
      <c r="CK107" s="213"/>
      <c r="CL107" s="213"/>
      <c r="CM107" s="213"/>
      <c r="CN107" s="213"/>
      <c r="CO107" s="213"/>
      <c r="CP107" s="213"/>
      <c r="CQ107" s="213"/>
      <c r="CR107" s="213"/>
      <c r="CS107" s="213"/>
      <c r="CT107" s="213"/>
      <c r="CU107" s="213"/>
      <c r="CV107" s="213"/>
      <c r="CW107" s="213"/>
      <c r="CX107" s="213"/>
      <c r="CY107" s="213"/>
      <c r="CZ107" s="213"/>
      <c r="DA107" s="213"/>
      <c r="DB107" s="213"/>
      <c r="DC107" s="213"/>
      <c r="DD107" s="213"/>
      <c r="DE107" s="213"/>
      <c r="DF107" s="213"/>
      <c r="DG107" s="213"/>
      <c r="DH107" s="213"/>
      <c r="DI107" s="213"/>
      <c r="DJ107" s="213"/>
      <c r="DK107" s="213"/>
      <c r="DL107" s="213"/>
      <c r="DM107" s="213"/>
      <c r="DN107" s="213"/>
      <c r="DO107" s="213"/>
      <c r="DP107" s="213"/>
      <c r="DQ107" s="213"/>
      <c r="DR107" s="213"/>
      <c r="DS107" s="213"/>
      <c r="DT107" s="213"/>
      <c r="DU107" s="213"/>
      <c r="DV107" s="213"/>
      <c r="DW107" s="213"/>
      <c r="DX107" s="213"/>
      <c r="DY107" s="213"/>
      <c r="DZ107" s="213"/>
      <c r="EA107" s="213"/>
      <c r="EB107" s="213"/>
      <c r="EC107" s="213"/>
      <c r="ED107" s="213"/>
      <c r="EE107" s="213"/>
      <c r="EF107" s="213"/>
      <c r="EG107" s="213"/>
      <c r="EH107" s="213"/>
      <c r="EI107" s="213"/>
      <c r="EJ107" s="213"/>
      <c r="EK107" s="213"/>
      <c r="EL107" s="213"/>
      <c r="EM107" s="213"/>
      <c r="EN107" s="213"/>
      <c r="EO107" s="213"/>
      <c r="EP107" s="213"/>
      <c r="EQ107" s="213"/>
      <c r="ER107" s="213"/>
      <c r="ES107" s="213"/>
      <c r="ET107" s="213"/>
      <c r="EU107" s="213"/>
      <c r="EV107" s="213"/>
      <c r="EW107" s="213"/>
      <c r="EX107" s="213"/>
      <c r="EY107" s="213"/>
      <c r="EZ107" s="213"/>
      <c r="FA107" s="213"/>
      <c r="FB107" s="213"/>
      <c r="FC107" s="213"/>
      <c r="FD107" s="213"/>
      <c r="FE107" s="213"/>
      <c r="FF107" s="213"/>
      <c r="FG107" s="213"/>
      <c r="FH107" s="213"/>
      <c r="FI107" s="213"/>
      <c r="FJ107" s="213"/>
      <c r="FK107" s="213"/>
      <c r="FL107" s="213"/>
      <c r="FM107" s="213"/>
      <c r="FN107" s="213"/>
      <c r="FO107" s="213"/>
      <c r="FP107" s="213"/>
      <c r="FQ107" s="213"/>
      <c r="FR107" s="213"/>
      <c r="FS107" s="213"/>
      <c r="FT107" s="213"/>
      <c r="FU107" s="213"/>
      <c r="FV107" s="213"/>
      <c r="FW107" s="213"/>
      <c r="FX107" s="213"/>
      <c r="FY107" s="213"/>
      <c r="FZ107" s="213"/>
      <c r="GA107" s="213"/>
      <c r="GB107" s="213"/>
      <c r="GC107" s="213"/>
      <c r="GD107" s="213"/>
      <c r="GE107" s="213"/>
      <c r="GF107" s="213"/>
      <c r="GG107" s="213"/>
      <c r="GH107" s="213"/>
      <c r="GI107" s="213"/>
      <c r="GJ107" s="213"/>
      <c r="GK107" s="213"/>
      <c r="GL107" s="213"/>
      <c r="GM107" s="213"/>
      <c r="GN107" s="213"/>
      <c r="GO107" s="213"/>
      <c r="GP107" s="213"/>
      <c r="GQ107" s="213"/>
    </row>
    <row r="108" spans="2:199" hidden="1" outlineLevel="1">
      <c r="B108" s="182" t="s">
        <v>415</v>
      </c>
      <c r="C108" s="161">
        <v>1</v>
      </c>
      <c r="D108" s="168"/>
      <c r="E108" s="213">
        <f>IF(E$82&gt;$C87,(1+E89)*C108,1)</f>
        <v>1</v>
      </c>
      <c r="F108" s="213">
        <f t="shared" ref="F108:O108" si="308">IF(F$82&gt;$C87,(1+F89)*D108,1)</f>
        <v>1</v>
      </c>
      <c r="G108" s="213">
        <f t="shared" si="308"/>
        <v>1</v>
      </c>
      <c r="H108" s="213">
        <f t="shared" si="308"/>
        <v>1</v>
      </c>
      <c r="I108" s="213">
        <f t="shared" si="308"/>
        <v>1</v>
      </c>
      <c r="J108" s="213">
        <f t="shared" si="308"/>
        <v>1</v>
      </c>
      <c r="K108" s="213">
        <f t="shared" si="308"/>
        <v>1</v>
      </c>
      <c r="L108" s="213">
        <f t="shared" si="308"/>
        <v>1</v>
      </c>
      <c r="M108" s="213">
        <f t="shared" si="308"/>
        <v>1</v>
      </c>
      <c r="N108" s="213">
        <f t="shared" si="308"/>
        <v>1</v>
      </c>
      <c r="O108" s="213">
        <f t="shared" si="308"/>
        <v>1</v>
      </c>
      <c r="P108" s="213">
        <f t="shared" ref="P108" si="309">IF(P$82&gt;$C87,(1+P89)*N108,1)</f>
        <v>1</v>
      </c>
      <c r="Q108" s="213">
        <f t="shared" ref="Q108" si="310">IF(Q$82&gt;$C87,(1+Q89)*O108,1)</f>
        <v>1</v>
      </c>
      <c r="R108" s="213">
        <f t="shared" ref="R108" si="311">IF(R$82&gt;$C87,(1+R89)*P108,1)</f>
        <v>1</v>
      </c>
      <c r="S108" s="213">
        <f t="shared" ref="S108" si="312">IF(S$82&gt;$C87,(1+S89)*Q108,1)</f>
        <v>1</v>
      </c>
      <c r="T108" s="213">
        <f t="shared" ref="T108" si="313">IF(T$82&gt;$C87,(1+T89)*R108,1)</f>
        <v>1</v>
      </c>
      <c r="U108" s="213">
        <f t="shared" ref="U108" si="314">IF(U$82&gt;$C87,(1+U89)*S108,1)</f>
        <v>1</v>
      </c>
      <c r="V108" s="213">
        <f t="shared" ref="V108" si="315">IF(V$82&gt;$C87,(1+V89)*T108,1)</f>
        <v>1</v>
      </c>
      <c r="W108" s="213">
        <f t="shared" ref="W108" si="316">IF(W$82&gt;$C87,(1+W89)*U108,1)</f>
        <v>1</v>
      </c>
      <c r="X108" s="213">
        <f t="shared" ref="X108:Y108" si="317">IF(X$82&gt;$C87,(1+X89)*V108,1)</f>
        <v>1</v>
      </c>
      <c r="Y108" s="213">
        <f t="shared" si="317"/>
        <v>1</v>
      </c>
      <c r="Z108" s="213">
        <f t="shared" ref="Z108" si="318">IF(Z$82&gt;$C87,(1+Z89)*X108,1)</f>
        <v>1</v>
      </c>
      <c r="AA108" s="213">
        <f t="shared" ref="AA108" si="319">IF(AA$82&gt;$C87,(1+AA89)*Y108,1)</f>
        <v>1</v>
      </c>
      <c r="AB108" s="213">
        <f t="shared" ref="AB108" si="320">IF(AB$82&gt;$C87,(1+AB89)*Z108,1)</f>
        <v>1</v>
      </c>
      <c r="AC108" s="213">
        <f t="shared" ref="AC108" si="321">IF(AC$82&gt;$C87,(1+AC89)*AA108,1)</f>
        <v>1</v>
      </c>
      <c r="AD108" s="213"/>
      <c r="AE108" s="213"/>
      <c r="AF108" s="213"/>
      <c r="AG108" s="213"/>
      <c r="AH108" s="213"/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213"/>
      <c r="AT108" s="213"/>
      <c r="AU108" s="213"/>
      <c r="AV108" s="213"/>
      <c r="AW108" s="213"/>
      <c r="AX108" s="213"/>
      <c r="AY108" s="213"/>
      <c r="AZ108" s="213"/>
      <c r="BA108" s="213"/>
      <c r="BB108" s="213"/>
      <c r="BC108" s="213"/>
      <c r="BD108" s="213"/>
      <c r="BE108" s="213"/>
      <c r="BF108" s="213"/>
      <c r="BG108" s="213"/>
      <c r="BH108" s="213"/>
      <c r="BI108" s="213"/>
      <c r="BJ108" s="213"/>
      <c r="BK108" s="213"/>
      <c r="BL108" s="213"/>
      <c r="BM108" s="213"/>
      <c r="BN108" s="213"/>
      <c r="BO108" s="213"/>
      <c r="BP108" s="213"/>
      <c r="BQ108" s="213"/>
      <c r="BR108" s="213"/>
      <c r="BS108" s="213"/>
      <c r="BT108" s="213"/>
      <c r="BU108" s="213"/>
      <c r="BV108" s="213"/>
      <c r="BW108" s="213"/>
      <c r="BX108" s="213"/>
      <c r="BY108" s="213"/>
      <c r="BZ108" s="213"/>
      <c r="CA108" s="213"/>
      <c r="CB108" s="213"/>
      <c r="CC108" s="213"/>
      <c r="CD108" s="213"/>
      <c r="CE108" s="213"/>
      <c r="CF108" s="213"/>
      <c r="CG108" s="213"/>
      <c r="CH108" s="213"/>
      <c r="CI108" s="213"/>
      <c r="CJ108" s="213"/>
      <c r="CK108" s="213"/>
      <c r="CL108" s="213"/>
      <c r="CM108" s="213"/>
      <c r="CN108" s="213"/>
      <c r="CO108" s="213"/>
      <c r="CP108" s="213"/>
      <c r="CQ108" s="213"/>
      <c r="CR108" s="213"/>
      <c r="CS108" s="213"/>
      <c r="CT108" s="213"/>
      <c r="CU108" s="213"/>
      <c r="CV108" s="213"/>
      <c r="CW108" s="213"/>
      <c r="CX108" s="213"/>
      <c r="CY108" s="213"/>
      <c r="CZ108" s="213"/>
      <c r="DA108" s="213"/>
      <c r="DB108" s="213"/>
      <c r="DC108" s="213"/>
      <c r="DD108" s="213"/>
      <c r="DE108" s="213"/>
      <c r="DF108" s="213"/>
      <c r="DG108" s="213"/>
      <c r="DH108" s="213"/>
      <c r="DI108" s="213"/>
      <c r="DJ108" s="213"/>
      <c r="DK108" s="213"/>
      <c r="DL108" s="213"/>
      <c r="DM108" s="213"/>
      <c r="DN108" s="213"/>
      <c r="DO108" s="213"/>
      <c r="DP108" s="213"/>
      <c r="DQ108" s="213"/>
      <c r="DR108" s="213"/>
      <c r="DS108" s="213"/>
      <c r="DT108" s="213"/>
      <c r="DU108" s="213"/>
      <c r="DV108" s="213"/>
      <c r="DW108" s="213"/>
      <c r="DX108" s="213"/>
      <c r="DY108" s="213"/>
      <c r="DZ108" s="213"/>
      <c r="EA108" s="213"/>
      <c r="EB108" s="213"/>
      <c r="EC108" s="213"/>
      <c r="ED108" s="213"/>
      <c r="EE108" s="213"/>
      <c r="EF108" s="213"/>
      <c r="EG108" s="213"/>
      <c r="EH108" s="213"/>
      <c r="EI108" s="213"/>
      <c r="EJ108" s="213"/>
      <c r="EK108" s="213"/>
      <c r="EL108" s="213"/>
      <c r="EM108" s="213"/>
      <c r="EN108" s="213"/>
      <c r="EO108" s="213"/>
      <c r="EP108" s="213"/>
      <c r="EQ108" s="213"/>
      <c r="ER108" s="213"/>
      <c r="ES108" s="213"/>
      <c r="ET108" s="213"/>
      <c r="EU108" s="213"/>
      <c r="EV108" s="213"/>
      <c r="EW108" s="213"/>
      <c r="EX108" s="213"/>
      <c r="EY108" s="213"/>
      <c r="EZ108" s="213"/>
      <c r="FA108" s="213"/>
      <c r="FB108" s="213"/>
      <c r="FC108" s="213"/>
      <c r="FD108" s="213"/>
      <c r="FE108" s="213"/>
      <c r="FF108" s="213"/>
      <c r="FG108" s="213"/>
      <c r="FH108" s="213"/>
      <c r="FI108" s="213"/>
      <c r="FJ108" s="213"/>
      <c r="FK108" s="213"/>
      <c r="FL108" s="213"/>
      <c r="FM108" s="213"/>
      <c r="FN108" s="213"/>
      <c r="FO108" s="213"/>
      <c r="FP108" s="213"/>
      <c r="FQ108" s="213"/>
      <c r="FR108" s="213"/>
      <c r="FS108" s="213"/>
      <c r="FT108" s="213"/>
      <c r="FU108" s="213"/>
      <c r="FV108" s="213"/>
      <c r="FW108" s="213"/>
      <c r="FX108" s="213"/>
      <c r="FY108" s="213"/>
      <c r="FZ108" s="213"/>
      <c r="GA108" s="213"/>
      <c r="GB108" s="213"/>
      <c r="GC108" s="213"/>
      <c r="GD108" s="213"/>
      <c r="GE108" s="213"/>
      <c r="GF108" s="213"/>
      <c r="GG108" s="213"/>
      <c r="GH108" s="213"/>
      <c r="GI108" s="213"/>
      <c r="GJ108" s="213"/>
      <c r="GK108" s="213"/>
      <c r="GL108" s="213"/>
      <c r="GM108" s="213"/>
      <c r="GN108" s="213"/>
      <c r="GO108" s="213"/>
      <c r="GP108" s="213"/>
      <c r="GQ108" s="213"/>
    </row>
    <row r="109" spans="2:199" hidden="1" outlineLevel="1">
      <c r="B109" s="182" t="s">
        <v>414</v>
      </c>
      <c r="D109" s="167"/>
      <c r="E109" s="162">
        <f>SUM(E96:E100)</f>
        <v>139419.50220649535</v>
      </c>
      <c r="F109" s="162">
        <f t="shared" ref="F109:O109" si="322">SUM(F96:F100)</f>
        <v>120560</v>
      </c>
      <c r="G109" s="162">
        <f t="shared" si="322"/>
        <v>120560</v>
      </c>
      <c r="H109" s="162">
        <f t="shared" si="322"/>
        <v>120559.99999999999</v>
      </c>
      <c r="I109" s="162">
        <f t="shared" si="322"/>
        <v>120560</v>
      </c>
      <c r="J109" s="162">
        <f t="shared" si="322"/>
        <v>80377.351999999999</v>
      </c>
      <c r="K109" s="162">
        <f t="shared" si="322"/>
        <v>40194.703999999998</v>
      </c>
      <c r="L109" s="162">
        <f t="shared" si="322"/>
        <v>0</v>
      </c>
      <c r="M109" s="162">
        <f t="shared" si="322"/>
        <v>0</v>
      </c>
      <c r="N109" s="162">
        <f t="shared" si="322"/>
        <v>0</v>
      </c>
      <c r="O109" s="162">
        <f t="shared" si="322"/>
        <v>0</v>
      </c>
      <c r="P109" s="162">
        <f t="shared" ref="P109:AC109" si="323">SUM(P96:P100)</f>
        <v>0</v>
      </c>
      <c r="Q109" s="162">
        <f t="shared" si="323"/>
        <v>0</v>
      </c>
      <c r="R109" s="162">
        <f t="shared" si="323"/>
        <v>0</v>
      </c>
      <c r="S109" s="162">
        <f t="shared" si="323"/>
        <v>0</v>
      </c>
      <c r="T109" s="162">
        <f t="shared" si="323"/>
        <v>0</v>
      </c>
      <c r="U109" s="162">
        <f t="shared" si="323"/>
        <v>0</v>
      </c>
      <c r="V109" s="162">
        <f t="shared" si="323"/>
        <v>0</v>
      </c>
      <c r="W109" s="162">
        <f t="shared" si="323"/>
        <v>0</v>
      </c>
      <c r="X109" s="162">
        <f t="shared" si="323"/>
        <v>0</v>
      </c>
      <c r="Y109" s="162">
        <f t="shared" si="323"/>
        <v>0</v>
      </c>
      <c r="Z109" s="162">
        <f t="shared" si="323"/>
        <v>0</v>
      </c>
      <c r="AA109" s="162">
        <f t="shared" si="323"/>
        <v>0</v>
      </c>
      <c r="AB109" s="162">
        <f t="shared" si="323"/>
        <v>0</v>
      </c>
      <c r="AC109" s="162">
        <f t="shared" si="323"/>
        <v>0</v>
      </c>
      <c r="AD109" s="162"/>
      <c r="AE109" s="162"/>
      <c r="AF109" s="162"/>
      <c r="AG109" s="162"/>
      <c r="AH109" s="162"/>
      <c r="AI109" s="162"/>
      <c r="AJ109" s="162"/>
      <c r="AK109" s="162"/>
      <c r="AL109" s="162"/>
      <c r="AM109" s="162"/>
      <c r="AN109" s="162"/>
      <c r="AO109" s="162"/>
      <c r="AP109" s="162"/>
      <c r="AQ109" s="162"/>
      <c r="AR109" s="162"/>
      <c r="AS109" s="162"/>
      <c r="AT109" s="162"/>
      <c r="AU109" s="162"/>
      <c r="AV109" s="162"/>
      <c r="AW109" s="162"/>
      <c r="AX109" s="162"/>
      <c r="AY109" s="162"/>
      <c r="AZ109" s="162"/>
      <c r="BA109" s="162"/>
      <c r="BB109" s="162"/>
      <c r="BC109" s="162"/>
      <c r="BD109" s="162"/>
      <c r="BE109" s="162"/>
      <c r="BF109" s="162"/>
      <c r="BG109" s="162"/>
      <c r="BH109" s="162"/>
      <c r="BI109" s="162"/>
      <c r="BJ109" s="162"/>
      <c r="BK109" s="162"/>
      <c r="BL109" s="162"/>
      <c r="BM109" s="162"/>
      <c r="BN109" s="162"/>
      <c r="BO109" s="162"/>
      <c r="BP109" s="162"/>
      <c r="BQ109" s="162"/>
      <c r="BR109" s="162"/>
      <c r="BS109" s="162"/>
      <c r="BT109" s="162"/>
      <c r="BU109" s="162"/>
      <c r="BV109" s="162"/>
      <c r="BW109" s="162"/>
      <c r="BX109" s="162"/>
      <c r="BY109" s="162"/>
      <c r="BZ109" s="162"/>
      <c r="CA109" s="162"/>
      <c r="CB109" s="162"/>
      <c r="CC109" s="162"/>
      <c r="CD109" s="162"/>
      <c r="CE109" s="162"/>
      <c r="CF109" s="162"/>
      <c r="CG109" s="162"/>
      <c r="CH109" s="162"/>
      <c r="CI109" s="162"/>
      <c r="CJ109" s="162"/>
      <c r="CK109" s="162"/>
      <c r="CL109" s="162"/>
      <c r="CM109" s="162"/>
      <c r="CN109" s="162"/>
      <c r="CO109" s="162"/>
      <c r="CP109" s="162"/>
      <c r="CQ109" s="162"/>
      <c r="CR109" s="162"/>
      <c r="CS109" s="162"/>
      <c r="CT109" s="162"/>
      <c r="CU109" s="162"/>
      <c r="CV109" s="162"/>
      <c r="CW109" s="162"/>
      <c r="CX109" s="162"/>
      <c r="CY109" s="162"/>
      <c r="CZ109" s="162"/>
      <c r="DA109" s="162"/>
      <c r="DB109" s="162"/>
      <c r="DC109" s="162"/>
      <c r="DD109" s="162"/>
      <c r="DE109" s="162"/>
      <c r="DF109" s="162"/>
      <c r="DG109" s="162"/>
      <c r="DH109" s="162"/>
      <c r="DI109" s="162"/>
      <c r="DJ109" s="162"/>
      <c r="DK109" s="162"/>
      <c r="DL109" s="162"/>
      <c r="DM109" s="162"/>
      <c r="DN109" s="162"/>
      <c r="DO109" s="162"/>
      <c r="DP109" s="162"/>
      <c r="DQ109" s="162"/>
      <c r="DR109" s="162"/>
      <c r="DS109" s="162"/>
      <c r="DT109" s="162"/>
      <c r="DU109" s="162"/>
      <c r="DV109" s="162"/>
      <c r="DW109" s="162"/>
      <c r="DX109" s="162"/>
      <c r="DY109" s="162"/>
      <c r="DZ109" s="162"/>
      <c r="EA109" s="162"/>
      <c r="EB109" s="162"/>
      <c r="EC109" s="162"/>
      <c r="ED109" s="162"/>
      <c r="EE109" s="162"/>
      <c r="EF109" s="162"/>
      <c r="EG109" s="162"/>
      <c r="EH109" s="162"/>
      <c r="EI109" s="162"/>
      <c r="EJ109" s="162"/>
      <c r="EK109" s="162"/>
      <c r="EL109" s="162"/>
      <c r="EM109" s="162"/>
      <c r="EN109" s="162"/>
      <c r="EO109" s="162"/>
      <c r="EP109" s="162"/>
      <c r="EQ109" s="162"/>
      <c r="ER109" s="162"/>
      <c r="ES109" s="162"/>
      <c r="ET109" s="162"/>
      <c r="EU109" s="162"/>
      <c r="EV109" s="162"/>
      <c r="EW109" s="162"/>
      <c r="EX109" s="162"/>
      <c r="EY109" s="162"/>
      <c r="EZ109" s="162"/>
      <c r="FA109" s="162"/>
      <c r="FB109" s="162"/>
      <c r="FC109" s="162"/>
      <c r="FD109" s="162"/>
      <c r="FE109" s="162"/>
      <c r="FF109" s="162"/>
      <c r="FG109" s="162"/>
      <c r="FH109" s="162"/>
      <c r="FI109" s="162"/>
      <c r="FJ109" s="162"/>
      <c r="FK109" s="162"/>
      <c r="FL109" s="162"/>
      <c r="FM109" s="162"/>
      <c r="FN109" s="162"/>
      <c r="FO109" s="162"/>
      <c r="FP109" s="162"/>
      <c r="FQ109" s="162"/>
      <c r="FR109" s="162"/>
      <c r="FS109" s="162"/>
      <c r="FT109" s="162"/>
      <c r="FU109" s="162"/>
      <c r="FV109" s="162"/>
      <c r="FW109" s="162"/>
      <c r="FX109" s="162"/>
      <c r="FY109" s="162"/>
      <c r="FZ109" s="162"/>
      <c r="GA109" s="162"/>
      <c r="GB109" s="162"/>
      <c r="GC109" s="162"/>
      <c r="GD109" s="162"/>
      <c r="GE109" s="162"/>
      <c r="GF109" s="162"/>
      <c r="GG109" s="162"/>
      <c r="GH109" s="162"/>
      <c r="GI109" s="162"/>
      <c r="GJ109" s="162"/>
      <c r="GK109" s="162"/>
      <c r="GL109" s="162"/>
      <c r="GM109" s="162"/>
      <c r="GN109" s="162"/>
      <c r="GO109" s="162"/>
      <c r="GP109" s="162"/>
      <c r="GQ109" s="162"/>
    </row>
    <row r="110" spans="2:199" hidden="1" outlineLevel="1" collapsed="1"/>
    <row r="111" spans="2:199" collapsed="1"/>
    <row r="112" spans="2:199">
      <c r="B112" s="299" t="s">
        <v>571</v>
      </c>
      <c r="C112" s="299"/>
      <c r="D112" s="299"/>
      <c r="E112" s="176">
        <f>C114</f>
        <v>41061</v>
      </c>
      <c r="F112" s="176">
        <f>EDATE(E112,1)</f>
        <v>41091</v>
      </c>
      <c r="G112" s="176">
        <f t="shared" ref="G112:BR112" si="324">EDATE(F112,1)</f>
        <v>41122</v>
      </c>
      <c r="H112" s="176">
        <f t="shared" si="324"/>
        <v>41153</v>
      </c>
      <c r="I112" s="176">
        <f t="shared" si="324"/>
        <v>41183</v>
      </c>
      <c r="J112" s="176">
        <f t="shared" si="324"/>
        <v>41214</v>
      </c>
      <c r="K112" s="176">
        <f t="shared" si="324"/>
        <v>41244</v>
      </c>
      <c r="L112" s="176">
        <f t="shared" si="324"/>
        <v>41275</v>
      </c>
      <c r="M112" s="176">
        <f t="shared" si="324"/>
        <v>41306</v>
      </c>
      <c r="N112" s="176">
        <f t="shared" si="324"/>
        <v>41334</v>
      </c>
      <c r="O112" s="176">
        <f t="shared" si="324"/>
        <v>41365</v>
      </c>
      <c r="P112" s="176">
        <f t="shared" si="324"/>
        <v>41395</v>
      </c>
      <c r="Q112" s="176">
        <f t="shared" si="324"/>
        <v>41426</v>
      </c>
      <c r="R112" s="176">
        <f t="shared" si="324"/>
        <v>41456</v>
      </c>
      <c r="S112" s="176">
        <f t="shared" si="324"/>
        <v>41487</v>
      </c>
      <c r="T112" s="176">
        <f t="shared" si="324"/>
        <v>41518</v>
      </c>
      <c r="U112" s="176">
        <f t="shared" si="324"/>
        <v>41548</v>
      </c>
      <c r="V112" s="176">
        <f t="shared" si="324"/>
        <v>41579</v>
      </c>
      <c r="W112" s="176">
        <f t="shared" si="324"/>
        <v>41609</v>
      </c>
      <c r="X112" s="176">
        <f t="shared" si="324"/>
        <v>41640</v>
      </c>
      <c r="Y112" s="176">
        <f t="shared" si="324"/>
        <v>41671</v>
      </c>
      <c r="Z112" s="176">
        <f t="shared" si="324"/>
        <v>41699</v>
      </c>
      <c r="AA112" s="176">
        <f t="shared" si="324"/>
        <v>41730</v>
      </c>
      <c r="AB112" s="176">
        <f t="shared" si="324"/>
        <v>41760</v>
      </c>
      <c r="AC112" s="176">
        <f t="shared" si="324"/>
        <v>41791</v>
      </c>
      <c r="AD112" s="176">
        <f t="shared" si="324"/>
        <v>41821</v>
      </c>
      <c r="AE112" s="176">
        <f t="shared" si="324"/>
        <v>41852</v>
      </c>
      <c r="AF112" s="176">
        <f t="shared" si="324"/>
        <v>41883</v>
      </c>
      <c r="AG112" s="176">
        <f t="shared" si="324"/>
        <v>41913</v>
      </c>
      <c r="AH112" s="176">
        <f t="shared" si="324"/>
        <v>41944</v>
      </c>
      <c r="AI112" s="176">
        <f t="shared" si="324"/>
        <v>41974</v>
      </c>
      <c r="AJ112" s="176">
        <f t="shared" si="324"/>
        <v>42005</v>
      </c>
      <c r="AK112" s="176">
        <f t="shared" si="324"/>
        <v>42036</v>
      </c>
      <c r="AL112" s="176">
        <f t="shared" si="324"/>
        <v>42064</v>
      </c>
      <c r="AM112" s="176">
        <f t="shared" si="324"/>
        <v>42095</v>
      </c>
      <c r="AN112" s="176">
        <f t="shared" si="324"/>
        <v>42125</v>
      </c>
      <c r="AO112" s="176">
        <f t="shared" si="324"/>
        <v>42156</v>
      </c>
      <c r="AP112" s="176">
        <f t="shared" si="324"/>
        <v>42186</v>
      </c>
      <c r="AQ112" s="176">
        <f t="shared" si="324"/>
        <v>42217</v>
      </c>
      <c r="AR112" s="176">
        <f t="shared" si="324"/>
        <v>42248</v>
      </c>
      <c r="AS112" s="176">
        <f t="shared" si="324"/>
        <v>42278</v>
      </c>
      <c r="AT112" s="176">
        <f t="shared" si="324"/>
        <v>42309</v>
      </c>
      <c r="AU112" s="176">
        <f t="shared" si="324"/>
        <v>42339</v>
      </c>
      <c r="AV112" s="176">
        <f t="shared" si="324"/>
        <v>42370</v>
      </c>
      <c r="AW112" s="176">
        <f t="shared" si="324"/>
        <v>42401</v>
      </c>
      <c r="AX112" s="176">
        <f t="shared" si="324"/>
        <v>42430</v>
      </c>
      <c r="AY112" s="176">
        <f t="shared" si="324"/>
        <v>42461</v>
      </c>
      <c r="AZ112" s="176">
        <f t="shared" si="324"/>
        <v>42491</v>
      </c>
      <c r="BA112" s="176">
        <f t="shared" si="324"/>
        <v>42522</v>
      </c>
      <c r="BB112" s="176">
        <f t="shared" si="324"/>
        <v>42552</v>
      </c>
      <c r="BC112" s="176">
        <f t="shared" si="324"/>
        <v>42583</v>
      </c>
      <c r="BD112" s="176">
        <f t="shared" si="324"/>
        <v>42614</v>
      </c>
      <c r="BE112" s="176">
        <f t="shared" si="324"/>
        <v>42644</v>
      </c>
      <c r="BF112" s="176">
        <f t="shared" si="324"/>
        <v>42675</v>
      </c>
      <c r="BG112" s="176">
        <f t="shared" si="324"/>
        <v>42705</v>
      </c>
      <c r="BH112" s="176">
        <f t="shared" si="324"/>
        <v>42736</v>
      </c>
      <c r="BI112" s="176">
        <f t="shared" si="324"/>
        <v>42767</v>
      </c>
      <c r="BJ112" s="176">
        <f t="shared" si="324"/>
        <v>42795</v>
      </c>
      <c r="BK112" s="176">
        <f t="shared" si="324"/>
        <v>42826</v>
      </c>
      <c r="BL112" s="176">
        <f t="shared" si="324"/>
        <v>42856</v>
      </c>
      <c r="BM112" s="176">
        <f t="shared" si="324"/>
        <v>42887</v>
      </c>
      <c r="BN112" s="176">
        <f t="shared" si="324"/>
        <v>42917</v>
      </c>
      <c r="BO112" s="176">
        <f t="shared" si="324"/>
        <v>42948</v>
      </c>
      <c r="BP112" s="176">
        <f t="shared" si="324"/>
        <v>42979</v>
      </c>
      <c r="BQ112" s="176">
        <f t="shared" si="324"/>
        <v>43009</v>
      </c>
      <c r="BR112" s="176">
        <f t="shared" si="324"/>
        <v>43040</v>
      </c>
      <c r="BS112" s="176">
        <f t="shared" ref="BS112:ED112" si="325">EDATE(BR112,1)</f>
        <v>43070</v>
      </c>
      <c r="BT112" s="176">
        <f t="shared" si="325"/>
        <v>43101</v>
      </c>
      <c r="BU112" s="176">
        <f t="shared" si="325"/>
        <v>43132</v>
      </c>
      <c r="BV112" s="176">
        <f t="shared" si="325"/>
        <v>43160</v>
      </c>
      <c r="BW112" s="176">
        <f t="shared" si="325"/>
        <v>43191</v>
      </c>
      <c r="BX112" s="176">
        <f t="shared" si="325"/>
        <v>43221</v>
      </c>
      <c r="BY112" s="176">
        <f t="shared" si="325"/>
        <v>43252</v>
      </c>
      <c r="BZ112" s="176">
        <f t="shared" si="325"/>
        <v>43282</v>
      </c>
      <c r="CA112" s="176">
        <f t="shared" si="325"/>
        <v>43313</v>
      </c>
      <c r="CB112" s="176">
        <f t="shared" si="325"/>
        <v>43344</v>
      </c>
      <c r="CC112" s="176">
        <f t="shared" si="325"/>
        <v>43374</v>
      </c>
      <c r="CD112" s="176">
        <f t="shared" si="325"/>
        <v>43405</v>
      </c>
      <c r="CE112" s="176">
        <f t="shared" si="325"/>
        <v>43435</v>
      </c>
      <c r="CF112" s="176">
        <f t="shared" si="325"/>
        <v>43466</v>
      </c>
      <c r="CG112" s="176">
        <f t="shared" si="325"/>
        <v>43497</v>
      </c>
      <c r="CH112" s="176">
        <f t="shared" si="325"/>
        <v>43525</v>
      </c>
      <c r="CI112" s="176">
        <f t="shared" si="325"/>
        <v>43556</v>
      </c>
      <c r="CJ112" s="176">
        <f t="shared" si="325"/>
        <v>43586</v>
      </c>
      <c r="CK112" s="176">
        <f t="shared" si="325"/>
        <v>43617</v>
      </c>
      <c r="CL112" s="176">
        <f t="shared" si="325"/>
        <v>43647</v>
      </c>
      <c r="CM112" s="176">
        <f t="shared" si="325"/>
        <v>43678</v>
      </c>
      <c r="CN112" s="176">
        <f t="shared" si="325"/>
        <v>43709</v>
      </c>
      <c r="CO112" s="176">
        <f t="shared" si="325"/>
        <v>43739</v>
      </c>
      <c r="CP112" s="176">
        <f t="shared" si="325"/>
        <v>43770</v>
      </c>
      <c r="CQ112" s="176">
        <f t="shared" si="325"/>
        <v>43800</v>
      </c>
      <c r="CR112" s="176">
        <f t="shared" si="325"/>
        <v>43831</v>
      </c>
      <c r="CS112" s="176">
        <f t="shared" si="325"/>
        <v>43862</v>
      </c>
      <c r="CT112" s="176">
        <f t="shared" si="325"/>
        <v>43891</v>
      </c>
      <c r="CU112" s="176">
        <f t="shared" si="325"/>
        <v>43922</v>
      </c>
      <c r="CV112" s="176">
        <f t="shared" si="325"/>
        <v>43952</v>
      </c>
      <c r="CW112" s="176">
        <f t="shared" si="325"/>
        <v>43983</v>
      </c>
      <c r="CX112" s="176">
        <f t="shared" si="325"/>
        <v>44013</v>
      </c>
      <c r="CY112" s="176">
        <f t="shared" si="325"/>
        <v>44044</v>
      </c>
      <c r="CZ112" s="176">
        <f t="shared" si="325"/>
        <v>44075</v>
      </c>
      <c r="DA112" s="176">
        <f t="shared" si="325"/>
        <v>44105</v>
      </c>
      <c r="DB112" s="176">
        <f t="shared" si="325"/>
        <v>44136</v>
      </c>
      <c r="DC112" s="176">
        <f t="shared" si="325"/>
        <v>44166</v>
      </c>
      <c r="DD112" s="176">
        <f t="shared" si="325"/>
        <v>44197</v>
      </c>
      <c r="DE112" s="176">
        <f t="shared" si="325"/>
        <v>44228</v>
      </c>
      <c r="DF112" s="176">
        <f t="shared" si="325"/>
        <v>44256</v>
      </c>
      <c r="DG112" s="176">
        <f t="shared" si="325"/>
        <v>44287</v>
      </c>
      <c r="DH112" s="176">
        <f t="shared" si="325"/>
        <v>44317</v>
      </c>
      <c r="DI112" s="176">
        <f t="shared" si="325"/>
        <v>44348</v>
      </c>
      <c r="DJ112" s="176">
        <f t="shared" si="325"/>
        <v>44378</v>
      </c>
      <c r="DK112" s="176">
        <f t="shared" si="325"/>
        <v>44409</v>
      </c>
      <c r="DL112" s="176">
        <f t="shared" si="325"/>
        <v>44440</v>
      </c>
      <c r="DM112" s="176">
        <f t="shared" si="325"/>
        <v>44470</v>
      </c>
      <c r="DN112" s="176">
        <f t="shared" si="325"/>
        <v>44501</v>
      </c>
      <c r="DO112" s="176">
        <f t="shared" si="325"/>
        <v>44531</v>
      </c>
      <c r="DP112" s="176">
        <f t="shared" si="325"/>
        <v>44562</v>
      </c>
      <c r="DQ112" s="176">
        <f t="shared" si="325"/>
        <v>44593</v>
      </c>
      <c r="DR112" s="176">
        <f t="shared" si="325"/>
        <v>44621</v>
      </c>
      <c r="DS112" s="176">
        <f t="shared" si="325"/>
        <v>44652</v>
      </c>
      <c r="DT112" s="176">
        <f t="shared" si="325"/>
        <v>44682</v>
      </c>
      <c r="DU112" s="176">
        <f t="shared" si="325"/>
        <v>44713</v>
      </c>
      <c r="DV112" s="176">
        <f t="shared" si="325"/>
        <v>44743</v>
      </c>
      <c r="DW112" s="176">
        <f t="shared" si="325"/>
        <v>44774</v>
      </c>
      <c r="DX112" s="176">
        <f t="shared" si="325"/>
        <v>44805</v>
      </c>
      <c r="DY112" s="176">
        <f t="shared" si="325"/>
        <v>44835</v>
      </c>
      <c r="DZ112" s="176">
        <f t="shared" si="325"/>
        <v>44866</v>
      </c>
      <c r="EA112" s="176">
        <f t="shared" si="325"/>
        <v>44896</v>
      </c>
      <c r="EB112" s="176">
        <f t="shared" si="325"/>
        <v>44927</v>
      </c>
      <c r="EC112" s="176">
        <f t="shared" si="325"/>
        <v>44958</v>
      </c>
      <c r="ED112" s="176">
        <f t="shared" si="325"/>
        <v>44986</v>
      </c>
      <c r="EE112" s="176">
        <f t="shared" ref="EE112:GP112" si="326">EDATE(ED112,1)</f>
        <v>45017</v>
      </c>
      <c r="EF112" s="176">
        <f t="shared" si="326"/>
        <v>45047</v>
      </c>
      <c r="EG112" s="176">
        <f t="shared" si="326"/>
        <v>45078</v>
      </c>
      <c r="EH112" s="176">
        <f t="shared" si="326"/>
        <v>45108</v>
      </c>
      <c r="EI112" s="176">
        <f t="shared" si="326"/>
        <v>45139</v>
      </c>
      <c r="EJ112" s="176">
        <f t="shared" si="326"/>
        <v>45170</v>
      </c>
      <c r="EK112" s="176">
        <f t="shared" si="326"/>
        <v>45200</v>
      </c>
      <c r="EL112" s="176">
        <f t="shared" si="326"/>
        <v>45231</v>
      </c>
      <c r="EM112" s="176">
        <f t="shared" si="326"/>
        <v>45261</v>
      </c>
      <c r="EN112" s="176">
        <f t="shared" si="326"/>
        <v>45292</v>
      </c>
      <c r="EO112" s="176">
        <f t="shared" si="326"/>
        <v>45323</v>
      </c>
      <c r="EP112" s="176">
        <f t="shared" si="326"/>
        <v>45352</v>
      </c>
      <c r="EQ112" s="176">
        <f t="shared" si="326"/>
        <v>45383</v>
      </c>
      <c r="ER112" s="176">
        <f t="shared" si="326"/>
        <v>45413</v>
      </c>
      <c r="ES112" s="176">
        <f t="shared" si="326"/>
        <v>45444</v>
      </c>
      <c r="ET112" s="176">
        <f t="shared" si="326"/>
        <v>45474</v>
      </c>
      <c r="EU112" s="176">
        <f t="shared" si="326"/>
        <v>45505</v>
      </c>
      <c r="EV112" s="176">
        <f t="shared" si="326"/>
        <v>45536</v>
      </c>
      <c r="EW112" s="176">
        <f t="shared" si="326"/>
        <v>45566</v>
      </c>
      <c r="EX112" s="176">
        <f t="shared" si="326"/>
        <v>45597</v>
      </c>
      <c r="EY112" s="176">
        <f t="shared" si="326"/>
        <v>45627</v>
      </c>
      <c r="EZ112" s="176">
        <f t="shared" si="326"/>
        <v>45658</v>
      </c>
      <c r="FA112" s="176">
        <f t="shared" si="326"/>
        <v>45689</v>
      </c>
      <c r="FB112" s="176">
        <f t="shared" si="326"/>
        <v>45717</v>
      </c>
      <c r="FC112" s="176">
        <f t="shared" si="326"/>
        <v>45748</v>
      </c>
      <c r="FD112" s="176">
        <f t="shared" si="326"/>
        <v>45778</v>
      </c>
      <c r="FE112" s="176">
        <f t="shared" si="326"/>
        <v>45809</v>
      </c>
      <c r="FF112" s="176">
        <f t="shared" si="326"/>
        <v>45839</v>
      </c>
      <c r="FG112" s="176">
        <f t="shared" si="326"/>
        <v>45870</v>
      </c>
      <c r="FH112" s="176">
        <f t="shared" si="326"/>
        <v>45901</v>
      </c>
      <c r="FI112" s="176">
        <f t="shared" si="326"/>
        <v>45931</v>
      </c>
      <c r="FJ112" s="176">
        <f t="shared" si="326"/>
        <v>45962</v>
      </c>
      <c r="FK112" s="176">
        <f t="shared" si="326"/>
        <v>45992</v>
      </c>
      <c r="FL112" s="176">
        <f t="shared" si="326"/>
        <v>46023</v>
      </c>
      <c r="FM112" s="176">
        <f t="shared" si="326"/>
        <v>46054</v>
      </c>
      <c r="FN112" s="176">
        <f t="shared" si="326"/>
        <v>46082</v>
      </c>
      <c r="FO112" s="176">
        <f t="shared" si="326"/>
        <v>46113</v>
      </c>
      <c r="FP112" s="176">
        <f t="shared" si="326"/>
        <v>46143</v>
      </c>
      <c r="FQ112" s="176">
        <f t="shared" si="326"/>
        <v>46174</v>
      </c>
      <c r="FR112" s="176">
        <f t="shared" si="326"/>
        <v>46204</v>
      </c>
      <c r="FS112" s="176">
        <f t="shared" si="326"/>
        <v>46235</v>
      </c>
      <c r="FT112" s="176">
        <f t="shared" si="326"/>
        <v>46266</v>
      </c>
      <c r="FU112" s="176">
        <f t="shared" si="326"/>
        <v>46296</v>
      </c>
      <c r="FV112" s="176">
        <f t="shared" si="326"/>
        <v>46327</v>
      </c>
      <c r="FW112" s="176">
        <f t="shared" si="326"/>
        <v>46357</v>
      </c>
      <c r="FX112" s="176">
        <f t="shared" si="326"/>
        <v>46388</v>
      </c>
      <c r="FY112" s="176">
        <f t="shared" si="326"/>
        <v>46419</v>
      </c>
      <c r="FZ112" s="176">
        <f t="shared" si="326"/>
        <v>46447</v>
      </c>
      <c r="GA112" s="176">
        <f t="shared" si="326"/>
        <v>46478</v>
      </c>
      <c r="GB112" s="176">
        <f t="shared" si="326"/>
        <v>46508</v>
      </c>
      <c r="GC112" s="176">
        <f t="shared" si="326"/>
        <v>46539</v>
      </c>
      <c r="GD112" s="176">
        <f t="shared" si="326"/>
        <v>46569</v>
      </c>
      <c r="GE112" s="176">
        <f t="shared" si="326"/>
        <v>46600</v>
      </c>
      <c r="GF112" s="176">
        <f t="shared" si="326"/>
        <v>46631</v>
      </c>
      <c r="GG112" s="176">
        <f t="shared" si="326"/>
        <v>46661</v>
      </c>
      <c r="GH112" s="176">
        <f t="shared" si="326"/>
        <v>46692</v>
      </c>
      <c r="GI112" s="176">
        <f t="shared" si="326"/>
        <v>46722</v>
      </c>
      <c r="GJ112" s="176">
        <f t="shared" si="326"/>
        <v>46753</v>
      </c>
      <c r="GK112" s="176">
        <f t="shared" si="326"/>
        <v>46784</v>
      </c>
      <c r="GL112" s="176">
        <f t="shared" si="326"/>
        <v>46813</v>
      </c>
      <c r="GM112" s="176">
        <f t="shared" si="326"/>
        <v>46844</v>
      </c>
      <c r="GN112" s="176">
        <f t="shared" si="326"/>
        <v>46874</v>
      </c>
      <c r="GO112" s="176">
        <f t="shared" si="326"/>
        <v>46905</v>
      </c>
      <c r="GP112" s="176">
        <f t="shared" si="326"/>
        <v>46935</v>
      </c>
      <c r="GQ112" s="176">
        <f t="shared" ref="GQ112" si="327">EDATE(GP112,1)</f>
        <v>46966</v>
      </c>
    </row>
    <row r="113" spans="2:199">
      <c r="B113" s="173"/>
      <c r="C113" s="173"/>
      <c r="E113" s="425">
        <f>YEAR(E112)</f>
        <v>2012</v>
      </c>
      <c r="F113" s="425">
        <f t="shared" ref="F113:BQ113" si="328">YEAR(F112)</f>
        <v>2012</v>
      </c>
      <c r="G113" s="425">
        <f t="shared" si="328"/>
        <v>2012</v>
      </c>
      <c r="H113" s="425">
        <f t="shared" si="328"/>
        <v>2012</v>
      </c>
      <c r="I113" s="425">
        <f t="shared" si="328"/>
        <v>2012</v>
      </c>
      <c r="J113" s="425">
        <f t="shared" si="328"/>
        <v>2012</v>
      </c>
      <c r="K113" s="425">
        <f t="shared" si="328"/>
        <v>2012</v>
      </c>
      <c r="L113" s="425">
        <f t="shared" si="328"/>
        <v>2013</v>
      </c>
      <c r="M113" s="425">
        <f t="shared" si="328"/>
        <v>2013</v>
      </c>
      <c r="N113" s="425">
        <f t="shared" si="328"/>
        <v>2013</v>
      </c>
      <c r="O113" s="425">
        <f t="shared" si="328"/>
        <v>2013</v>
      </c>
      <c r="P113" s="425">
        <f t="shared" si="328"/>
        <v>2013</v>
      </c>
      <c r="Q113" s="425">
        <f t="shared" si="328"/>
        <v>2013</v>
      </c>
      <c r="R113" s="425">
        <f t="shared" si="328"/>
        <v>2013</v>
      </c>
      <c r="S113" s="425">
        <f t="shared" si="328"/>
        <v>2013</v>
      </c>
      <c r="T113" s="425">
        <f t="shared" si="328"/>
        <v>2013</v>
      </c>
      <c r="U113" s="425">
        <f t="shared" si="328"/>
        <v>2013</v>
      </c>
      <c r="V113" s="425">
        <f t="shared" si="328"/>
        <v>2013</v>
      </c>
      <c r="W113" s="425">
        <f t="shared" si="328"/>
        <v>2013</v>
      </c>
      <c r="X113" s="425">
        <f t="shared" si="328"/>
        <v>2014</v>
      </c>
      <c r="Y113" s="425">
        <f t="shared" si="328"/>
        <v>2014</v>
      </c>
      <c r="Z113" s="425">
        <f t="shared" si="328"/>
        <v>2014</v>
      </c>
      <c r="AA113" s="425">
        <f t="shared" si="328"/>
        <v>2014</v>
      </c>
      <c r="AB113" s="425">
        <f t="shared" si="328"/>
        <v>2014</v>
      </c>
      <c r="AC113" s="425">
        <f t="shared" si="328"/>
        <v>2014</v>
      </c>
      <c r="AD113" s="425">
        <f t="shared" si="328"/>
        <v>2014</v>
      </c>
      <c r="AE113" s="425">
        <f t="shared" si="328"/>
        <v>2014</v>
      </c>
      <c r="AF113" s="425">
        <f t="shared" si="328"/>
        <v>2014</v>
      </c>
      <c r="AG113" s="425">
        <f t="shared" si="328"/>
        <v>2014</v>
      </c>
      <c r="AH113" s="425">
        <f t="shared" si="328"/>
        <v>2014</v>
      </c>
      <c r="AI113" s="425">
        <f t="shared" si="328"/>
        <v>2014</v>
      </c>
      <c r="AJ113" s="425">
        <f t="shared" si="328"/>
        <v>2015</v>
      </c>
      <c r="AK113" s="425">
        <f t="shared" si="328"/>
        <v>2015</v>
      </c>
      <c r="AL113" s="425">
        <f t="shared" si="328"/>
        <v>2015</v>
      </c>
      <c r="AM113" s="425">
        <f t="shared" si="328"/>
        <v>2015</v>
      </c>
      <c r="AN113" s="425">
        <f t="shared" si="328"/>
        <v>2015</v>
      </c>
      <c r="AO113" s="425">
        <f t="shared" si="328"/>
        <v>2015</v>
      </c>
      <c r="AP113" s="425">
        <f t="shared" si="328"/>
        <v>2015</v>
      </c>
      <c r="AQ113" s="425">
        <f t="shared" si="328"/>
        <v>2015</v>
      </c>
      <c r="AR113" s="425">
        <f t="shared" si="328"/>
        <v>2015</v>
      </c>
      <c r="AS113" s="425">
        <f t="shared" si="328"/>
        <v>2015</v>
      </c>
      <c r="AT113" s="425">
        <f t="shared" si="328"/>
        <v>2015</v>
      </c>
      <c r="AU113" s="425">
        <f t="shared" si="328"/>
        <v>2015</v>
      </c>
      <c r="AV113" s="425">
        <f t="shared" si="328"/>
        <v>2016</v>
      </c>
      <c r="AW113" s="425">
        <f t="shared" si="328"/>
        <v>2016</v>
      </c>
      <c r="AX113" s="425">
        <f t="shared" si="328"/>
        <v>2016</v>
      </c>
      <c r="AY113" s="425">
        <f t="shared" si="328"/>
        <v>2016</v>
      </c>
      <c r="AZ113" s="425">
        <f t="shared" si="328"/>
        <v>2016</v>
      </c>
      <c r="BA113" s="425">
        <f t="shared" si="328"/>
        <v>2016</v>
      </c>
      <c r="BB113" s="425">
        <f t="shared" si="328"/>
        <v>2016</v>
      </c>
      <c r="BC113" s="425">
        <f t="shared" si="328"/>
        <v>2016</v>
      </c>
      <c r="BD113" s="425">
        <f t="shared" si="328"/>
        <v>2016</v>
      </c>
      <c r="BE113" s="425">
        <f t="shared" si="328"/>
        <v>2016</v>
      </c>
      <c r="BF113" s="425">
        <f t="shared" si="328"/>
        <v>2016</v>
      </c>
      <c r="BG113" s="425">
        <f t="shared" si="328"/>
        <v>2016</v>
      </c>
      <c r="BH113" s="425">
        <f t="shared" si="328"/>
        <v>2017</v>
      </c>
      <c r="BI113" s="425">
        <f t="shared" si="328"/>
        <v>2017</v>
      </c>
      <c r="BJ113" s="425">
        <f t="shared" si="328"/>
        <v>2017</v>
      </c>
      <c r="BK113" s="425">
        <f t="shared" si="328"/>
        <v>2017</v>
      </c>
      <c r="BL113" s="425">
        <f t="shared" si="328"/>
        <v>2017</v>
      </c>
      <c r="BM113" s="425">
        <f t="shared" si="328"/>
        <v>2017</v>
      </c>
      <c r="BN113" s="425">
        <f t="shared" si="328"/>
        <v>2017</v>
      </c>
      <c r="BO113" s="425">
        <f t="shared" si="328"/>
        <v>2017</v>
      </c>
      <c r="BP113" s="425">
        <f t="shared" si="328"/>
        <v>2017</v>
      </c>
      <c r="BQ113" s="425">
        <f t="shared" si="328"/>
        <v>2017</v>
      </c>
      <c r="BR113" s="425">
        <f t="shared" ref="BR113:EC113" si="329">YEAR(BR112)</f>
        <v>2017</v>
      </c>
      <c r="BS113" s="425">
        <f t="shared" si="329"/>
        <v>2017</v>
      </c>
      <c r="BT113" s="425">
        <f t="shared" si="329"/>
        <v>2018</v>
      </c>
      <c r="BU113" s="425">
        <f t="shared" si="329"/>
        <v>2018</v>
      </c>
      <c r="BV113" s="425">
        <f t="shared" si="329"/>
        <v>2018</v>
      </c>
      <c r="BW113" s="425">
        <f t="shared" si="329"/>
        <v>2018</v>
      </c>
      <c r="BX113" s="425">
        <f t="shared" si="329"/>
        <v>2018</v>
      </c>
      <c r="BY113" s="425">
        <f t="shared" si="329"/>
        <v>2018</v>
      </c>
      <c r="BZ113" s="425">
        <f t="shared" si="329"/>
        <v>2018</v>
      </c>
      <c r="CA113" s="425">
        <f t="shared" si="329"/>
        <v>2018</v>
      </c>
      <c r="CB113" s="425">
        <f t="shared" si="329"/>
        <v>2018</v>
      </c>
      <c r="CC113" s="425">
        <f t="shared" si="329"/>
        <v>2018</v>
      </c>
      <c r="CD113" s="425">
        <f t="shared" si="329"/>
        <v>2018</v>
      </c>
      <c r="CE113" s="425">
        <f t="shared" si="329"/>
        <v>2018</v>
      </c>
      <c r="CF113" s="425">
        <f t="shared" si="329"/>
        <v>2019</v>
      </c>
      <c r="CG113" s="425">
        <f t="shared" si="329"/>
        <v>2019</v>
      </c>
      <c r="CH113" s="425">
        <f t="shared" si="329"/>
        <v>2019</v>
      </c>
      <c r="CI113" s="425">
        <f t="shared" si="329"/>
        <v>2019</v>
      </c>
      <c r="CJ113" s="425">
        <f t="shared" si="329"/>
        <v>2019</v>
      </c>
      <c r="CK113" s="425">
        <f t="shared" si="329"/>
        <v>2019</v>
      </c>
      <c r="CL113" s="425">
        <f t="shared" si="329"/>
        <v>2019</v>
      </c>
      <c r="CM113" s="425">
        <f t="shared" si="329"/>
        <v>2019</v>
      </c>
      <c r="CN113" s="425">
        <f t="shared" si="329"/>
        <v>2019</v>
      </c>
      <c r="CO113" s="425">
        <f t="shared" si="329"/>
        <v>2019</v>
      </c>
      <c r="CP113" s="425">
        <f t="shared" si="329"/>
        <v>2019</v>
      </c>
      <c r="CQ113" s="425">
        <f t="shared" si="329"/>
        <v>2019</v>
      </c>
      <c r="CR113" s="425">
        <f t="shared" si="329"/>
        <v>2020</v>
      </c>
      <c r="CS113" s="425">
        <f t="shared" si="329"/>
        <v>2020</v>
      </c>
      <c r="CT113" s="425">
        <f t="shared" si="329"/>
        <v>2020</v>
      </c>
      <c r="CU113" s="425">
        <f t="shared" si="329"/>
        <v>2020</v>
      </c>
      <c r="CV113" s="425">
        <f t="shared" si="329"/>
        <v>2020</v>
      </c>
      <c r="CW113" s="425">
        <f t="shared" si="329"/>
        <v>2020</v>
      </c>
      <c r="CX113" s="425">
        <f t="shared" si="329"/>
        <v>2020</v>
      </c>
      <c r="CY113" s="425">
        <f t="shared" si="329"/>
        <v>2020</v>
      </c>
      <c r="CZ113" s="425">
        <f t="shared" si="329"/>
        <v>2020</v>
      </c>
      <c r="DA113" s="425">
        <f t="shared" si="329"/>
        <v>2020</v>
      </c>
      <c r="DB113" s="425">
        <f t="shared" si="329"/>
        <v>2020</v>
      </c>
      <c r="DC113" s="425">
        <f t="shared" si="329"/>
        <v>2020</v>
      </c>
      <c r="DD113" s="425">
        <f t="shared" si="329"/>
        <v>2021</v>
      </c>
      <c r="DE113" s="425">
        <f t="shared" si="329"/>
        <v>2021</v>
      </c>
      <c r="DF113" s="425">
        <f t="shared" si="329"/>
        <v>2021</v>
      </c>
      <c r="DG113" s="425">
        <f t="shared" si="329"/>
        <v>2021</v>
      </c>
      <c r="DH113" s="425">
        <f t="shared" si="329"/>
        <v>2021</v>
      </c>
      <c r="DI113" s="425">
        <f t="shared" si="329"/>
        <v>2021</v>
      </c>
      <c r="DJ113" s="425">
        <f t="shared" si="329"/>
        <v>2021</v>
      </c>
      <c r="DK113" s="425">
        <f t="shared" si="329"/>
        <v>2021</v>
      </c>
      <c r="DL113" s="425">
        <f t="shared" si="329"/>
        <v>2021</v>
      </c>
      <c r="DM113" s="425">
        <f t="shared" si="329"/>
        <v>2021</v>
      </c>
      <c r="DN113" s="425">
        <f t="shared" si="329"/>
        <v>2021</v>
      </c>
      <c r="DO113" s="425">
        <f t="shared" si="329"/>
        <v>2021</v>
      </c>
      <c r="DP113" s="425">
        <f t="shared" si="329"/>
        <v>2022</v>
      </c>
      <c r="DQ113" s="425">
        <f t="shared" si="329"/>
        <v>2022</v>
      </c>
      <c r="DR113" s="425">
        <f t="shared" si="329"/>
        <v>2022</v>
      </c>
      <c r="DS113" s="425">
        <f t="shared" si="329"/>
        <v>2022</v>
      </c>
      <c r="DT113" s="425">
        <f t="shared" si="329"/>
        <v>2022</v>
      </c>
      <c r="DU113" s="425">
        <f t="shared" si="329"/>
        <v>2022</v>
      </c>
      <c r="DV113" s="425">
        <f t="shared" si="329"/>
        <v>2022</v>
      </c>
      <c r="DW113" s="425">
        <f t="shared" si="329"/>
        <v>2022</v>
      </c>
      <c r="DX113" s="425">
        <f t="shared" si="329"/>
        <v>2022</v>
      </c>
      <c r="DY113" s="425">
        <f t="shared" si="329"/>
        <v>2022</v>
      </c>
      <c r="DZ113" s="425">
        <f t="shared" si="329"/>
        <v>2022</v>
      </c>
      <c r="EA113" s="425">
        <f t="shared" si="329"/>
        <v>2022</v>
      </c>
      <c r="EB113" s="425">
        <f t="shared" si="329"/>
        <v>2023</v>
      </c>
      <c r="EC113" s="425">
        <f t="shared" si="329"/>
        <v>2023</v>
      </c>
      <c r="ED113" s="425">
        <f t="shared" ref="ED113:GO113" si="330">YEAR(ED112)</f>
        <v>2023</v>
      </c>
      <c r="EE113" s="425">
        <f t="shared" si="330"/>
        <v>2023</v>
      </c>
      <c r="EF113" s="425">
        <f t="shared" si="330"/>
        <v>2023</v>
      </c>
      <c r="EG113" s="425">
        <f t="shared" si="330"/>
        <v>2023</v>
      </c>
      <c r="EH113" s="425">
        <f t="shared" si="330"/>
        <v>2023</v>
      </c>
      <c r="EI113" s="425">
        <f t="shared" si="330"/>
        <v>2023</v>
      </c>
      <c r="EJ113" s="425">
        <f t="shared" si="330"/>
        <v>2023</v>
      </c>
      <c r="EK113" s="425">
        <f t="shared" si="330"/>
        <v>2023</v>
      </c>
      <c r="EL113" s="425">
        <f t="shared" si="330"/>
        <v>2023</v>
      </c>
      <c r="EM113" s="425">
        <f t="shared" si="330"/>
        <v>2023</v>
      </c>
      <c r="EN113" s="425">
        <f t="shared" si="330"/>
        <v>2024</v>
      </c>
      <c r="EO113" s="425">
        <f t="shared" si="330"/>
        <v>2024</v>
      </c>
      <c r="EP113" s="425">
        <f t="shared" si="330"/>
        <v>2024</v>
      </c>
      <c r="EQ113" s="425">
        <f t="shared" si="330"/>
        <v>2024</v>
      </c>
      <c r="ER113" s="425">
        <f t="shared" si="330"/>
        <v>2024</v>
      </c>
      <c r="ES113" s="425">
        <f t="shared" si="330"/>
        <v>2024</v>
      </c>
      <c r="ET113" s="425">
        <f t="shared" si="330"/>
        <v>2024</v>
      </c>
      <c r="EU113" s="425">
        <f t="shared" si="330"/>
        <v>2024</v>
      </c>
      <c r="EV113" s="425">
        <f t="shared" si="330"/>
        <v>2024</v>
      </c>
      <c r="EW113" s="425">
        <f t="shared" si="330"/>
        <v>2024</v>
      </c>
      <c r="EX113" s="425">
        <f t="shared" si="330"/>
        <v>2024</v>
      </c>
      <c r="EY113" s="425">
        <f t="shared" si="330"/>
        <v>2024</v>
      </c>
      <c r="EZ113" s="425">
        <f t="shared" si="330"/>
        <v>2025</v>
      </c>
      <c r="FA113" s="425">
        <f t="shared" si="330"/>
        <v>2025</v>
      </c>
      <c r="FB113" s="425">
        <f t="shared" si="330"/>
        <v>2025</v>
      </c>
      <c r="FC113" s="425">
        <f t="shared" si="330"/>
        <v>2025</v>
      </c>
      <c r="FD113" s="425">
        <f t="shared" si="330"/>
        <v>2025</v>
      </c>
      <c r="FE113" s="425">
        <f t="shared" si="330"/>
        <v>2025</v>
      </c>
      <c r="FF113" s="425">
        <f t="shared" si="330"/>
        <v>2025</v>
      </c>
      <c r="FG113" s="425">
        <f t="shared" si="330"/>
        <v>2025</v>
      </c>
      <c r="FH113" s="425">
        <f t="shared" si="330"/>
        <v>2025</v>
      </c>
      <c r="FI113" s="425">
        <f t="shared" si="330"/>
        <v>2025</v>
      </c>
      <c r="FJ113" s="425">
        <f t="shared" si="330"/>
        <v>2025</v>
      </c>
      <c r="FK113" s="425">
        <f t="shared" si="330"/>
        <v>2025</v>
      </c>
      <c r="FL113" s="425">
        <f t="shared" si="330"/>
        <v>2026</v>
      </c>
      <c r="FM113" s="425">
        <f t="shared" si="330"/>
        <v>2026</v>
      </c>
      <c r="FN113" s="425">
        <f t="shared" si="330"/>
        <v>2026</v>
      </c>
      <c r="FO113" s="425">
        <f t="shared" si="330"/>
        <v>2026</v>
      </c>
      <c r="FP113" s="425">
        <f t="shared" si="330"/>
        <v>2026</v>
      </c>
      <c r="FQ113" s="425">
        <f t="shared" si="330"/>
        <v>2026</v>
      </c>
      <c r="FR113" s="425">
        <f t="shared" si="330"/>
        <v>2026</v>
      </c>
      <c r="FS113" s="425">
        <f t="shared" si="330"/>
        <v>2026</v>
      </c>
      <c r="FT113" s="425">
        <f t="shared" si="330"/>
        <v>2026</v>
      </c>
      <c r="FU113" s="425">
        <f t="shared" si="330"/>
        <v>2026</v>
      </c>
      <c r="FV113" s="425">
        <f t="shared" si="330"/>
        <v>2026</v>
      </c>
      <c r="FW113" s="425">
        <f t="shared" si="330"/>
        <v>2026</v>
      </c>
      <c r="FX113" s="425">
        <f t="shared" si="330"/>
        <v>2027</v>
      </c>
      <c r="FY113" s="425">
        <f t="shared" si="330"/>
        <v>2027</v>
      </c>
      <c r="FZ113" s="425">
        <f t="shared" si="330"/>
        <v>2027</v>
      </c>
      <c r="GA113" s="425">
        <f t="shared" si="330"/>
        <v>2027</v>
      </c>
      <c r="GB113" s="425">
        <f t="shared" si="330"/>
        <v>2027</v>
      </c>
      <c r="GC113" s="425">
        <f t="shared" si="330"/>
        <v>2027</v>
      </c>
      <c r="GD113" s="425">
        <f t="shared" si="330"/>
        <v>2027</v>
      </c>
      <c r="GE113" s="425">
        <f t="shared" si="330"/>
        <v>2027</v>
      </c>
      <c r="GF113" s="425">
        <f t="shared" si="330"/>
        <v>2027</v>
      </c>
      <c r="GG113" s="425">
        <f t="shared" si="330"/>
        <v>2027</v>
      </c>
      <c r="GH113" s="425">
        <f t="shared" si="330"/>
        <v>2027</v>
      </c>
      <c r="GI113" s="425">
        <f t="shared" si="330"/>
        <v>2027</v>
      </c>
      <c r="GJ113" s="425">
        <f t="shared" si="330"/>
        <v>2028</v>
      </c>
      <c r="GK113" s="425">
        <f t="shared" si="330"/>
        <v>2028</v>
      </c>
      <c r="GL113" s="425">
        <f t="shared" si="330"/>
        <v>2028</v>
      </c>
      <c r="GM113" s="425">
        <f t="shared" si="330"/>
        <v>2028</v>
      </c>
      <c r="GN113" s="425">
        <f t="shared" si="330"/>
        <v>2028</v>
      </c>
      <c r="GO113" s="425">
        <f t="shared" si="330"/>
        <v>2028</v>
      </c>
      <c r="GP113" s="425">
        <f t="shared" ref="GP113:GQ113" si="331">YEAR(GP112)</f>
        <v>2028</v>
      </c>
      <c r="GQ113" s="425">
        <f t="shared" si="331"/>
        <v>2028</v>
      </c>
    </row>
    <row r="114" spans="2:199" outlineLevel="1">
      <c r="B114" s="181" t="s">
        <v>410</v>
      </c>
      <c r="C114" s="205">
        <v>41061</v>
      </c>
    </row>
    <row r="115" spans="2:199" outlineLevel="1">
      <c r="B115" s="182" t="s">
        <v>398</v>
      </c>
      <c r="C115" s="206">
        <f>DATE(YEAR(C114)+C118,MONTH(C114),DAY(C114))</f>
        <v>42887</v>
      </c>
    </row>
    <row r="116" spans="2:199" outlineLevel="1">
      <c r="B116" s="182" t="s">
        <v>402</v>
      </c>
      <c r="C116" s="206">
        <v>41244</v>
      </c>
    </row>
    <row r="117" spans="2:199" outlineLevel="1">
      <c r="B117" s="182" t="s">
        <v>399</v>
      </c>
      <c r="C117" s="206">
        <v>42522</v>
      </c>
      <c r="D117" s="301" t="s">
        <v>468</v>
      </c>
      <c r="E117" s="303"/>
      <c r="F117" s="303"/>
      <c r="G117" s="303"/>
      <c r="H117" s="303"/>
      <c r="I117" s="303"/>
      <c r="J117" s="303"/>
      <c r="K117" s="303"/>
      <c r="L117" s="303"/>
      <c r="M117" s="303"/>
      <c r="N117" s="303"/>
      <c r="O117" s="303"/>
      <c r="P117" s="303"/>
      <c r="Q117" s="303"/>
      <c r="R117" s="303"/>
      <c r="S117" s="303"/>
      <c r="T117" s="303"/>
      <c r="U117" s="303"/>
      <c r="V117" s="303"/>
      <c r="W117" s="303"/>
      <c r="X117" s="303"/>
      <c r="Y117" s="303"/>
      <c r="Z117" s="303"/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0">
        <v>0.5</v>
      </c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0">
        <v>0.5</v>
      </c>
      <c r="BN117" s="303"/>
      <c r="BO117" s="303"/>
      <c r="BP117" s="303"/>
      <c r="BQ117" s="303"/>
      <c r="BR117" s="303"/>
      <c r="BS117" s="303"/>
      <c r="BT117" s="303"/>
      <c r="BU117" s="303"/>
      <c r="BV117" s="303"/>
      <c r="BW117" s="303"/>
      <c r="BX117" s="303"/>
      <c r="BY117" s="303"/>
      <c r="BZ117" s="303"/>
      <c r="CA117" s="303"/>
      <c r="CB117" s="303"/>
      <c r="CC117" s="303"/>
      <c r="CD117" s="303"/>
      <c r="CE117" s="303"/>
      <c r="CF117" s="303"/>
      <c r="CG117" s="303"/>
      <c r="CH117" s="303"/>
      <c r="CI117" s="303"/>
      <c r="CJ117" s="303"/>
      <c r="CK117" s="303"/>
      <c r="CL117" s="303"/>
      <c r="CM117" s="303"/>
      <c r="CN117" s="303"/>
      <c r="CO117" s="303"/>
      <c r="CP117" s="303"/>
      <c r="CQ117" s="303"/>
      <c r="CR117" s="303"/>
      <c r="CS117" s="303"/>
      <c r="CT117" s="303"/>
      <c r="CU117" s="303"/>
      <c r="CV117" s="303"/>
      <c r="CW117" s="303"/>
      <c r="CX117" s="303"/>
      <c r="CY117" s="303"/>
      <c r="CZ117" s="303"/>
      <c r="DA117" s="303"/>
      <c r="DB117" s="303"/>
      <c r="DC117" s="303"/>
      <c r="DD117" s="303"/>
      <c r="DE117" s="303"/>
      <c r="DF117" s="303"/>
      <c r="DG117" s="303"/>
      <c r="DH117" s="303"/>
      <c r="DI117" s="303"/>
      <c r="DJ117" s="303"/>
      <c r="DK117" s="303"/>
      <c r="DL117" s="303"/>
      <c r="DM117" s="303"/>
      <c r="DN117" s="303"/>
      <c r="DO117" s="303"/>
      <c r="DP117" s="303"/>
      <c r="DQ117" s="303"/>
      <c r="DR117" s="303"/>
      <c r="DS117" s="303"/>
      <c r="DT117" s="303"/>
      <c r="DU117" s="303"/>
      <c r="DV117" s="303"/>
      <c r="DW117" s="303"/>
      <c r="DX117" s="303"/>
      <c r="DY117" s="303"/>
      <c r="DZ117" s="303"/>
      <c r="EA117" s="303"/>
      <c r="EB117" s="303"/>
      <c r="EC117" s="303"/>
      <c r="ED117" s="303"/>
      <c r="EE117" s="303"/>
      <c r="EF117" s="303"/>
      <c r="EG117" s="303"/>
      <c r="EH117" s="303"/>
      <c r="EI117" s="303"/>
      <c r="EJ117" s="303"/>
      <c r="EK117" s="303"/>
      <c r="EL117" s="303"/>
      <c r="EM117" s="303"/>
      <c r="EN117" s="303"/>
      <c r="EO117" s="303"/>
      <c r="EP117" s="303"/>
      <c r="EQ117" s="303"/>
      <c r="ER117" s="303"/>
      <c r="ES117" s="303"/>
      <c r="ET117" s="303"/>
      <c r="EU117" s="303"/>
      <c r="EV117" s="303"/>
      <c r="EW117" s="303"/>
      <c r="EX117" s="303"/>
      <c r="EY117" s="303"/>
      <c r="EZ117" s="303"/>
      <c r="FA117" s="303"/>
      <c r="FB117" s="303"/>
      <c r="FC117" s="303"/>
      <c r="FD117" s="303"/>
      <c r="FE117" s="303"/>
      <c r="FF117" s="303"/>
      <c r="FG117" s="303"/>
      <c r="FH117" s="303"/>
      <c r="FI117" s="303"/>
      <c r="FJ117" s="303"/>
      <c r="FK117" s="303"/>
      <c r="FL117" s="303"/>
      <c r="FM117" s="303"/>
      <c r="FN117" s="303"/>
      <c r="FO117" s="303"/>
      <c r="FP117" s="303"/>
      <c r="FQ117" s="303"/>
      <c r="FR117" s="303"/>
      <c r="FS117" s="303"/>
      <c r="FT117" s="303"/>
      <c r="FU117" s="303"/>
      <c r="FV117" s="303"/>
      <c r="FW117" s="303"/>
      <c r="FX117" s="303"/>
      <c r="FY117" s="303"/>
      <c r="FZ117" s="303"/>
      <c r="GA117" s="303"/>
      <c r="GB117" s="303"/>
      <c r="GC117" s="303"/>
      <c r="GD117" s="303"/>
      <c r="GE117" s="303"/>
      <c r="GF117" s="303"/>
      <c r="GG117" s="303"/>
      <c r="GH117" s="303"/>
      <c r="GI117" s="303"/>
      <c r="GJ117" s="303"/>
      <c r="GK117" s="303"/>
      <c r="GL117" s="303"/>
      <c r="GM117" s="303"/>
      <c r="GN117" s="303"/>
      <c r="GO117" s="303"/>
      <c r="GP117" s="303"/>
      <c r="GQ117" s="303"/>
    </row>
    <row r="118" spans="2:199" outlineLevel="1">
      <c r="B118" s="182" t="s">
        <v>400</v>
      </c>
      <c r="C118" s="207">
        <v>5</v>
      </c>
    </row>
    <row r="119" spans="2:199" outlineLevel="1">
      <c r="B119" s="182" t="s">
        <v>467</v>
      </c>
      <c r="C119" s="207" t="s">
        <v>465</v>
      </c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  <c r="AB119" s="170"/>
      <c r="AC119" s="170"/>
      <c r="AD119" s="170"/>
      <c r="AE119" s="170"/>
      <c r="AF119" s="170"/>
      <c r="AG119" s="170"/>
      <c r="AH119" s="170"/>
      <c r="AI119" s="170"/>
      <c r="AJ119" s="170"/>
      <c r="AK119" s="170"/>
      <c r="AL119" s="170"/>
      <c r="AM119" s="170"/>
      <c r="AN119" s="170"/>
      <c r="AO119" s="170"/>
      <c r="AP119" s="170"/>
      <c r="AQ119" s="170"/>
      <c r="AR119" s="170"/>
      <c r="AS119" s="170"/>
      <c r="AT119" s="170"/>
      <c r="AU119" s="170"/>
      <c r="AV119" s="170"/>
      <c r="AW119" s="170"/>
      <c r="AX119" s="170"/>
      <c r="AY119" s="170"/>
      <c r="AZ119" s="170"/>
      <c r="BA119" s="170"/>
      <c r="BB119" s="170"/>
      <c r="BC119" s="170"/>
      <c r="BD119" s="170"/>
      <c r="BE119" s="170"/>
      <c r="BF119" s="170"/>
      <c r="BG119" s="170"/>
      <c r="BH119" s="170"/>
      <c r="BI119" s="170"/>
      <c r="BJ119" s="170"/>
      <c r="BK119" s="170"/>
      <c r="BL119" s="170"/>
      <c r="BM119" s="170"/>
      <c r="BN119" s="170"/>
      <c r="BO119" s="170"/>
      <c r="BP119" s="170"/>
      <c r="BQ119" s="170"/>
      <c r="BR119" s="170"/>
      <c r="BS119" s="170"/>
      <c r="BT119" s="170"/>
      <c r="BU119" s="170"/>
      <c r="BV119" s="170"/>
      <c r="BW119" s="170"/>
      <c r="BX119" s="170"/>
      <c r="BY119" s="170"/>
      <c r="BZ119" s="170"/>
      <c r="CA119" s="170"/>
      <c r="CB119" s="170"/>
      <c r="CC119" s="170"/>
      <c r="CD119" s="170"/>
      <c r="CE119" s="170"/>
      <c r="CF119" s="170"/>
      <c r="CG119" s="170"/>
      <c r="CH119" s="170"/>
      <c r="CI119" s="170"/>
      <c r="CJ119" s="170"/>
      <c r="CK119" s="170"/>
      <c r="CL119" s="170"/>
      <c r="CM119" s="170"/>
      <c r="CN119" s="170"/>
      <c r="CO119" s="170"/>
      <c r="CP119" s="170"/>
      <c r="CQ119" s="170"/>
      <c r="CR119" s="170"/>
      <c r="CS119" s="170"/>
      <c r="CT119" s="170"/>
      <c r="CU119" s="170"/>
      <c r="CV119" s="170"/>
      <c r="CW119" s="170"/>
      <c r="CX119" s="170"/>
      <c r="CY119" s="170"/>
      <c r="CZ119" s="170"/>
      <c r="DA119" s="170"/>
      <c r="DB119" s="170"/>
      <c r="DC119" s="170"/>
      <c r="DD119" s="170"/>
      <c r="DE119" s="170"/>
      <c r="DF119" s="170"/>
      <c r="DG119" s="170"/>
      <c r="DH119" s="170"/>
      <c r="DI119" s="170"/>
      <c r="DJ119" s="170"/>
      <c r="DK119" s="170"/>
      <c r="DL119" s="170"/>
      <c r="DM119" s="170"/>
      <c r="DN119" s="170"/>
      <c r="DO119" s="170"/>
      <c r="DP119" s="170"/>
      <c r="DQ119" s="170"/>
      <c r="DR119" s="170"/>
      <c r="DS119" s="170"/>
      <c r="DT119" s="170"/>
      <c r="DU119" s="170"/>
      <c r="DV119" s="170"/>
      <c r="DW119" s="170"/>
      <c r="DX119" s="170"/>
      <c r="DY119" s="170"/>
      <c r="DZ119" s="170"/>
      <c r="EA119" s="170"/>
      <c r="EB119" s="170"/>
      <c r="EC119" s="170"/>
      <c r="ED119" s="170"/>
      <c r="EE119" s="170"/>
      <c r="EF119" s="170"/>
      <c r="EG119" s="170"/>
      <c r="EH119" s="170"/>
      <c r="EI119" s="170"/>
      <c r="EJ119" s="170"/>
      <c r="EK119" s="170"/>
      <c r="EL119" s="170"/>
      <c r="EM119" s="170"/>
      <c r="EN119" s="170"/>
      <c r="EO119" s="170"/>
      <c r="EP119" s="170"/>
      <c r="EQ119" s="170"/>
      <c r="ER119" s="170"/>
      <c r="ES119" s="170"/>
      <c r="ET119" s="170"/>
      <c r="EU119" s="170"/>
      <c r="EV119" s="170"/>
      <c r="EW119" s="170"/>
      <c r="EX119" s="170"/>
      <c r="EY119" s="170"/>
      <c r="EZ119" s="170"/>
      <c r="FA119" s="170"/>
      <c r="FB119" s="170"/>
      <c r="FC119" s="170"/>
      <c r="FD119" s="170"/>
      <c r="FE119" s="170"/>
      <c r="FF119" s="170"/>
      <c r="FG119" s="170"/>
      <c r="FH119" s="170"/>
      <c r="FI119" s="170"/>
      <c r="FJ119" s="170"/>
      <c r="FK119" s="170"/>
      <c r="FL119" s="170"/>
      <c r="FM119" s="170"/>
      <c r="FN119" s="170"/>
      <c r="FO119" s="170"/>
      <c r="FP119" s="170"/>
      <c r="FQ119" s="170"/>
      <c r="FR119" s="170"/>
      <c r="FS119" s="170"/>
      <c r="FT119" s="170"/>
      <c r="FU119" s="170"/>
      <c r="FV119" s="170"/>
      <c r="FW119" s="170"/>
      <c r="FX119" s="170"/>
      <c r="FY119" s="170"/>
      <c r="FZ119" s="170"/>
      <c r="GA119" s="170"/>
      <c r="GB119" s="170"/>
      <c r="GC119" s="170"/>
      <c r="GD119" s="170"/>
      <c r="GE119" s="170"/>
      <c r="GF119" s="170"/>
      <c r="GG119" s="170"/>
      <c r="GH119" s="170"/>
      <c r="GI119" s="170"/>
      <c r="GJ119" s="170"/>
      <c r="GK119" s="170"/>
      <c r="GL119" s="170"/>
      <c r="GM119" s="170"/>
      <c r="GN119" s="170"/>
      <c r="GO119" s="170"/>
      <c r="GP119" s="170"/>
      <c r="GQ119" s="170"/>
    </row>
    <row r="120" spans="2:199" outlineLevel="1">
      <c r="B120" s="182" t="s">
        <v>403</v>
      </c>
      <c r="C120" s="152">
        <v>1.15E-2</v>
      </c>
      <c r="D120" s="170"/>
      <c r="E120" s="170">
        <f>(1+VLOOKUP(EOMONTH(E112,0),Macroeconomics!$B$67:$R$380,Macroeconomics!$C$66,0))*(1+$C120)^(1/12)-1</f>
        <v>7.3230834290647362E-3</v>
      </c>
      <c r="F120" s="170">
        <f>(1+VLOOKUP(EOMONTH(F112,0),Macroeconomics!$B$67:$R$380,Macroeconomics!$C$66,0))*(1+$C120)^(1/12)-1</f>
        <v>7.885931895110998E-3</v>
      </c>
      <c r="G120" s="170">
        <f>(1+VLOOKUP(EOMONTH(G112,0),Macroeconomics!$B$67:$R$380,Macroeconomics!$C$66,0))*(1+$C120)^(1/12)-1</f>
        <v>8.0797274128716623E-3</v>
      </c>
      <c r="H120" s="170">
        <f>(1+VLOOKUP(EOMONTH(H112,0),Macroeconomics!$B$67:$R$380,Macroeconomics!$C$66,0))*(1+$C120)^(1/12)-1</f>
        <v>6.8249760220528977E-3</v>
      </c>
      <c r="I120" s="170">
        <f>(1+VLOOKUP(EOMONTH(I112,0),Macroeconomics!$B$67:$R$380,Macroeconomics!$C$66,0))*(1+$C120)^(1/12)-1</f>
        <v>7.7658930517883196E-3</v>
      </c>
      <c r="J120" s="170">
        <f>(1+VLOOKUP(EOMONTH(J112,0),Macroeconomics!$B$67:$R$380,Macroeconomics!$C$66,0))*(1+$C120)^(1/12)-1</f>
        <v>7.1385173868008245E-3</v>
      </c>
      <c r="K120" s="170">
        <f>(1+VLOOKUP(EOMONTH(K112,0),Macroeconomics!$B$67:$R$380,Macroeconomics!$C$66,0))*(1+$C120)^(1/12)-1</f>
        <v>7.1385173868010465E-3</v>
      </c>
      <c r="L120" s="170">
        <f>(1+VLOOKUP(EOMONTH(L112,0),Macroeconomics!$B$67:$R$380,Macroeconomics!$C$66,0))*(1+$C120)^(1/12)-1</f>
        <v>7.7658930517883196E-3</v>
      </c>
      <c r="M120" s="170">
        <f>(1+VLOOKUP(EOMONTH(M112,0),Macroeconomics!$B$67:$R$380,Macroeconomics!$C$66,0))*(1+$C120)^(1/12)-1</f>
        <v>6.511532261916031E-3</v>
      </c>
      <c r="N120" s="170">
        <f>(1+VLOOKUP(EOMONTH(N112,0),Macroeconomics!$B$67:$R$380,Macroeconomics!$C$66,0))*(1+$C120)^(1/12)-1</f>
        <v>7.1385173868010465E-3</v>
      </c>
      <c r="O120" s="170">
        <f>(1+VLOOKUP(EOMONTH(O112,0),Macroeconomics!$B$67:$R$380,Macroeconomics!$C$66,0))*(1+$C120)^(1/12)-1</f>
        <v>7.7658930517883196E-3</v>
      </c>
      <c r="P120" s="170">
        <f>(1+VLOOKUP(EOMONTH(P112,0),Macroeconomics!$B$67:$R$380,Macroeconomics!$C$66,0))*(1+$C120)^(1/12)-1</f>
        <v>7.4521563865728169E-3</v>
      </c>
      <c r="Q120" s="170">
        <f>(1+VLOOKUP(EOMONTH(Q112,0),Macroeconomics!$B$67:$R$380,Macroeconomics!$C$66,0))*(1+$C120)^(1/12)-1</f>
        <v>7.1385173868008245E-3</v>
      </c>
      <c r="R120" s="170">
        <f>(1+VLOOKUP(EOMONTH(R112,0),Macroeconomics!$B$67:$R$380,Macroeconomics!$C$66,0))*(1+$C120)^(1/12)-1</f>
        <v>8.0797274128718843E-3</v>
      </c>
      <c r="S120" s="170">
        <f>(1+VLOOKUP(EOMONTH(S112,0),Macroeconomics!$B$67:$R$380,Macroeconomics!$C$66,0))*(1+$C120)^(1/12)-1</f>
        <v>7.7658930517880975E-3</v>
      </c>
      <c r="T120" s="170">
        <f>(1+VLOOKUP(EOMONTH(T112,0),Macroeconomics!$B$67:$R$380,Macroeconomics!$C$66,0))*(1+$C120)^(1/12)-1</f>
        <v>7.6460119592209885E-3</v>
      </c>
      <c r="U120" s="170">
        <f>(1+VLOOKUP(EOMONTH(U112,0),Macroeconomics!$B$67:$R$380,Macroeconomics!$C$66,0))*(1+$C120)^(1/12)-1</f>
        <v>8.9174645192116042E-3</v>
      </c>
      <c r="V120" s="170">
        <f>(1+VLOOKUP(EOMONTH(V112,0),Macroeconomics!$B$67:$R$380,Macroeconomics!$C$66,0))*(1+$C120)^(1/12)-1</f>
        <v>8.0757117637804132E-3</v>
      </c>
      <c r="W120" s="170">
        <f>(1+VLOOKUP(EOMONTH(W112,0),Macroeconomics!$B$67:$R$380,Macroeconomics!$C$66,0))*(1+$C120)^(1/12)-1</f>
        <v>8.6091854596563877E-3</v>
      </c>
      <c r="X120" s="170">
        <f>(1+VLOOKUP(EOMONTH(X112,0),Macroeconomics!$B$67:$R$380,Macroeconomics!$C$66,0))*(1+$C120)^(1/12)-1</f>
        <v>8.9784293024524064E-3</v>
      </c>
      <c r="Y120" s="170">
        <f>(1+VLOOKUP(EOMONTH(Y112,0),Macroeconomics!$B$67:$R$380,Macroeconomics!$C$66,0))*(1+$C120)^(1/12)-1</f>
        <v>8.2400767353969506E-3</v>
      </c>
      <c r="Z120" s="170">
        <f>(1+VLOOKUP(EOMONTH(Z112,0),Macroeconomics!$B$67:$R$380,Macroeconomics!$C$66,0))*(1+$C120)^(1/12)-1</f>
        <v>7.8711030802136595E-3</v>
      </c>
      <c r="AA120" s="170">
        <f>(1+VLOOKUP(EOMONTH(AA112,0),Macroeconomics!$B$67:$R$380,Macroeconomics!$C$66,0))*(1+$C120)^(1/12)-1</f>
        <v>8.2400767353969506E-3</v>
      </c>
      <c r="AB120" s="170">
        <f>(1+VLOOKUP(EOMONTH(AB112,0),Macroeconomics!$B$67:$R$380,Macroeconomics!$C$66,0))*(1+$C120)^(1/12)-1</f>
        <v>8.6091854596563877E-3</v>
      </c>
      <c r="AC120" s="170">
        <f>(1+VLOOKUP(EOMONTH(AC112,0),Macroeconomics!$B$67:$R$380,Macroeconomics!$C$66,0))*(1+$C120)^(1/12)-1</f>
        <v>8.2400767353969506E-3</v>
      </c>
      <c r="AD120" s="170">
        <f>(1+VLOOKUP(EOMONTH(AD112,0),Macroeconomics!$B$67:$R$380,Macroeconomics!$C$66,0))*(1+$C120)^(1/12)-1</f>
        <v>9.3478083132596534E-3</v>
      </c>
      <c r="AE120" s="170">
        <f>(1+VLOOKUP(EOMONTH(AE112,0),Macroeconomics!$B$67:$R$380,Macroeconomics!$C$66,0))*(1+$C120)^(1/12)-1</f>
        <v>8.6091854596563877E-3</v>
      </c>
      <c r="AF120" s="170">
        <f>(1+VLOOKUP(EOMONTH(AF112,0),Macroeconomics!$B$67:$R$380,Macroeconomics!$C$66,0))*(1+$C120)^(1/12)-1</f>
        <v>8.9784293024524064E-3</v>
      </c>
      <c r="AG120" s="170">
        <f>(1+VLOOKUP(EOMONTH(AG112,0),Macroeconomics!$B$67:$R$380,Macroeconomics!$C$66,0))*(1+$C120)^(1/12)-1</f>
        <v>9.3478083132596534E-3</v>
      </c>
      <c r="AH120" s="170">
        <f>(1+VLOOKUP(EOMONTH(AH112,0),Macroeconomics!$B$67:$R$380,Macroeconomics!$C$66,0))*(1+$C120)^(1/12)-1</f>
        <v>8.2400767353969506E-3</v>
      </c>
      <c r="AI120" s="170">
        <f>(1+VLOOKUP(EOMONTH(AI112,0),Macroeconomics!$B$67:$R$380,Macroeconomics!$C$66,0))*(1+$C120)^(1/12)-1</f>
        <v>8.9784293024521844E-3</v>
      </c>
      <c r="AJ120" s="170">
        <f>(1+VLOOKUP(EOMONTH(AJ112,0),Macroeconomics!$B$67:$R$380,Macroeconomics!$C$66,0))*(1+$C120)^(1/12)-1</f>
        <v>8.6091854596563877E-3</v>
      </c>
      <c r="AK120" s="170">
        <f>(1+VLOOKUP(EOMONTH(AK112,0),Macroeconomics!$B$67:$R$380,Macroeconomics!$C$66,0))*(1+$C120)^(1/12)-1</f>
        <v>7.5022644446611775E-3</v>
      </c>
      <c r="AL120" s="170">
        <f>(1+VLOOKUP(EOMONTH(AL112,0),Macroeconomics!$B$67:$R$380,Macroeconomics!$C$66,0))*(1+$C120)^(1/12)-1</f>
        <v>8.9784293024524064E-3</v>
      </c>
      <c r="AM120" s="170">
        <f>(1+VLOOKUP(EOMONTH(AM112,0),Macroeconomics!$B$67:$R$380,Macroeconomics!$C$66,0))*(1+$C120)^(1/12)-1</f>
        <v>8.2400767353969506E-3</v>
      </c>
      <c r="AN120" s="170">
        <f>(1+VLOOKUP(EOMONTH(AN112,0),Macroeconomics!$B$67:$R$380,Macroeconomics!$C$66,0))*(1+$C120)^(1/12)-1</f>
        <v>8.2400767353971727E-3</v>
      </c>
      <c r="AO120" s="170">
        <f>(1+VLOOKUP(EOMONTH(AO112,0),Macroeconomics!$B$67:$R$380,Macroeconomics!$C$66,0))*(1+$C120)^(1/12)-1</f>
        <v>8.6091854596563877E-3</v>
      </c>
      <c r="AP120" s="170">
        <f>(1+VLOOKUP(EOMONTH(AP112,0),Macroeconomics!$B$67:$R$380,Macroeconomics!$C$66,0))*(1+$C120)^(1/12)-1</f>
        <v>9.3478083132596534E-3</v>
      </c>
      <c r="AQ120" s="170">
        <f>(1+VLOOKUP(EOMONTH(AQ112,0),Macroeconomics!$B$67:$R$380,Macroeconomics!$C$66,0))*(1+$C120)^(1/12)-1</f>
        <v>8.6091854596563877E-3</v>
      </c>
      <c r="AR120" s="170">
        <f>(1+VLOOKUP(EOMONTH(AR112,0),Macroeconomics!$B$67:$R$380,Macroeconomics!$C$66,0))*(1+$C120)^(1/12)-1</f>
        <v>8.6091854596563877E-3</v>
      </c>
      <c r="AS120" s="170">
        <f>(1+VLOOKUP(EOMONTH(AS112,0),Macroeconomics!$B$67:$R$380,Macroeconomics!$C$66,0))*(1+$C120)^(1/12)-1</f>
        <v>8.6091854596563877E-3</v>
      </c>
      <c r="AT120" s="170">
        <f>(1+VLOOKUP(EOMONTH(AT112,0),Macroeconomics!$B$67:$R$380,Macroeconomics!$C$66,0))*(1+$C120)^(1/12)-1</f>
        <v>8.2400767353969506E-3</v>
      </c>
      <c r="AU120" s="170">
        <f>(1+VLOOKUP(EOMONTH(AU112,0),Macroeconomics!$B$67:$R$380,Macroeconomics!$C$66,0))*(1+$C120)^(1/12)-1</f>
        <v>8.9784293024521844E-3</v>
      </c>
      <c r="AV120" s="170">
        <f>(1+VLOOKUP(EOMONTH(AV112,0),Macroeconomics!$B$67:$R$380,Macroeconomics!$C$66,0))*(1+$C120)^(1/12)-1</f>
        <v>8.6824799969542621E-3</v>
      </c>
      <c r="AW120" s="170">
        <f>(1+VLOOKUP(EOMONTH(AW112,0),Macroeconomics!$B$67:$R$380,Macroeconomics!$C$66,0))*(1+$C120)^(1/12)-1</f>
        <v>8.6824799969542621E-3</v>
      </c>
      <c r="AX120" s="170">
        <f>(1+VLOOKUP(EOMONTH(AX112,0),Macroeconomics!$B$67:$R$380,Macroeconomics!$C$66,0))*(1+$C120)^(1/12)-1</f>
        <v>8.6824799969542621E-3</v>
      </c>
      <c r="AY120" s="170">
        <f>(1+VLOOKUP(EOMONTH(AY112,0),Macroeconomics!$B$67:$R$380,Macroeconomics!$C$66,0))*(1+$C120)^(1/12)-1</f>
        <v>8.6824799969542621E-3</v>
      </c>
      <c r="AZ120" s="170">
        <f>(1+VLOOKUP(EOMONTH(AZ112,0),Macroeconomics!$B$67:$R$380,Macroeconomics!$C$66,0))*(1+$C120)^(1/12)-1</f>
        <v>8.6824799969542621E-3</v>
      </c>
      <c r="BA120" s="170">
        <f>(1+VLOOKUP(EOMONTH(BA112,0),Macroeconomics!$B$67:$R$380,Macroeconomics!$C$66,0))*(1+$C120)^(1/12)-1</f>
        <v>8.6824799969542621E-3</v>
      </c>
      <c r="BB120" s="170">
        <f>(1+VLOOKUP(EOMONTH(BB112,0),Macroeconomics!$B$67:$R$380,Macroeconomics!$C$66,0))*(1+$C120)^(1/12)-1</f>
        <v>8.6824799969542621E-3</v>
      </c>
      <c r="BC120" s="170">
        <f>(1+VLOOKUP(EOMONTH(BC112,0),Macroeconomics!$B$67:$R$380,Macroeconomics!$C$66,0))*(1+$C120)^(1/12)-1</f>
        <v>8.6824799969542621E-3</v>
      </c>
      <c r="BD120" s="170">
        <f>(1+VLOOKUP(EOMONTH(BD112,0),Macroeconomics!$B$67:$R$380,Macroeconomics!$C$66,0))*(1+$C120)^(1/12)-1</f>
        <v>8.6824799969542621E-3</v>
      </c>
      <c r="BE120" s="170">
        <f>(1+VLOOKUP(EOMONTH(BE112,0),Macroeconomics!$B$67:$R$380,Macroeconomics!$C$66,0))*(1+$C120)^(1/12)-1</f>
        <v>8.6824799969542621E-3</v>
      </c>
      <c r="BF120" s="170">
        <f>(1+VLOOKUP(EOMONTH(BF112,0),Macroeconomics!$B$67:$R$380,Macroeconomics!$C$66,0))*(1+$C120)^(1/12)-1</f>
        <v>8.6824799969542621E-3</v>
      </c>
      <c r="BG120" s="170">
        <f>(1+VLOOKUP(EOMONTH(BG112,0),Macroeconomics!$B$67:$R$380,Macroeconomics!$C$66,0))*(1+$C120)^(1/12)-1</f>
        <v>8.6824799969542621E-3</v>
      </c>
      <c r="BH120" s="170">
        <f>(1+VLOOKUP(EOMONTH(BH112,0),Macroeconomics!$B$67:$R$380,Macroeconomics!$C$66,0))*(1+$C120)^(1/12)-1</f>
        <v>8.6824799969542621E-3</v>
      </c>
      <c r="BI120" s="170">
        <f>(1+VLOOKUP(EOMONTH(BI112,0),Macroeconomics!$B$67:$R$380,Macroeconomics!$C$66,0))*(1+$C120)^(1/12)-1</f>
        <v>8.6824799969542621E-3</v>
      </c>
      <c r="BJ120" s="170">
        <f>(1+VLOOKUP(EOMONTH(BJ112,0),Macroeconomics!$B$67:$R$380,Macroeconomics!$C$66,0))*(1+$C120)^(1/12)-1</f>
        <v>8.6824799969542621E-3</v>
      </c>
      <c r="BK120" s="170">
        <f>(1+VLOOKUP(EOMONTH(BK112,0),Macroeconomics!$B$67:$R$380,Macroeconomics!$C$66,0))*(1+$C120)^(1/12)-1</f>
        <v>8.6824799969542621E-3</v>
      </c>
      <c r="BL120" s="170">
        <f>(1+VLOOKUP(EOMONTH(BL112,0),Macroeconomics!$B$67:$R$380,Macroeconomics!$C$66,0))*(1+$C120)^(1/12)-1</f>
        <v>8.6824799969542621E-3</v>
      </c>
      <c r="BM120" s="170">
        <f>(1+VLOOKUP(EOMONTH(BM112,0),Macroeconomics!$B$67:$R$380,Macroeconomics!$C$66,0))*(1+$C120)^(1/12)-1</f>
        <v>8.6824799969542621E-3</v>
      </c>
      <c r="BN120" s="170">
        <f>(1+VLOOKUP(EOMONTH(BN112,0),Macroeconomics!$B$67:$R$380,Macroeconomics!$C$66,0))*(1+$C120)^(1/12)-1</f>
        <v>8.6824799969542621E-3</v>
      </c>
      <c r="BO120" s="170">
        <f>(1+VLOOKUP(EOMONTH(BO112,0),Macroeconomics!$B$67:$R$380,Macroeconomics!$C$66,0))*(1+$C120)^(1/12)-1</f>
        <v>8.6824799969542621E-3</v>
      </c>
      <c r="BP120" s="170">
        <f>(1+VLOOKUP(EOMONTH(BP112,0),Macroeconomics!$B$67:$R$380,Macroeconomics!$C$66,0))*(1+$C120)^(1/12)-1</f>
        <v>8.6824799969542621E-3</v>
      </c>
      <c r="BQ120" s="170">
        <f>(1+VLOOKUP(EOMONTH(BQ112,0),Macroeconomics!$B$67:$R$380,Macroeconomics!$C$66,0))*(1+$C120)^(1/12)-1</f>
        <v>8.6824799969542621E-3</v>
      </c>
      <c r="BR120" s="170">
        <f>(1+VLOOKUP(EOMONTH(BR112,0),Macroeconomics!$B$67:$R$380,Macroeconomics!$C$66,0))*(1+$C120)^(1/12)-1</f>
        <v>8.6824799969542621E-3</v>
      </c>
      <c r="BS120" s="170">
        <f>(1+VLOOKUP(EOMONTH(BS112,0),Macroeconomics!$B$67:$R$380,Macroeconomics!$C$66,0))*(1+$C120)^(1/12)-1</f>
        <v>8.6824799969542621E-3</v>
      </c>
      <c r="BT120" s="170">
        <f>(1+VLOOKUP(EOMONTH(BT112,0),Macroeconomics!$B$67:$R$380,Macroeconomics!$C$66,0))*(1+$C120)^(1/12)-1</f>
        <v>8.4983465758896592E-3</v>
      </c>
      <c r="BU120" s="170">
        <f>(1+VLOOKUP(EOMONTH(BU112,0),Macroeconomics!$B$67:$R$380,Macroeconomics!$C$66,0))*(1+$C120)^(1/12)-1</f>
        <v>8.4983465758896592E-3</v>
      </c>
      <c r="BV120" s="170">
        <f>(1+VLOOKUP(EOMONTH(BV112,0),Macroeconomics!$B$67:$R$380,Macroeconomics!$C$66,0))*(1+$C120)^(1/12)-1</f>
        <v>8.4983465758896592E-3</v>
      </c>
      <c r="BW120" s="170">
        <f>(1+VLOOKUP(EOMONTH(BW112,0),Macroeconomics!$B$67:$R$380,Macroeconomics!$C$66,0))*(1+$C120)^(1/12)-1</f>
        <v>8.4983465758896592E-3</v>
      </c>
      <c r="BX120" s="170">
        <f>(1+VLOOKUP(EOMONTH(BX112,0),Macroeconomics!$B$67:$R$380,Macroeconomics!$C$66,0))*(1+$C120)^(1/12)-1</f>
        <v>8.4983465758896592E-3</v>
      </c>
      <c r="BY120" s="170">
        <f>(1+VLOOKUP(EOMONTH(BY112,0),Macroeconomics!$B$67:$R$380,Macroeconomics!$C$66,0))*(1+$C120)^(1/12)-1</f>
        <v>8.4983465758896592E-3</v>
      </c>
      <c r="BZ120" s="170">
        <f>(1+VLOOKUP(EOMONTH(BZ112,0),Macroeconomics!$B$67:$R$380,Macroeconomics!$C$66,0))*(1+$C120)^(1/12)-1</f>
        <v>8.4983465758896592E-3</v>
      </c>
      <c r="CA120" s="170">
        <f>(1+VLOOKUP(EOMONTH(CA112,0),Macroeconomics!$B$67:$R$380,Macroeconomics!$C$66,0))*(1+$C120)^(1/12)-1</f>
        <v>8.4983465758896592E-3</v>
      </c>
      <c r="CB120" s="170">
        <f>(1+VLOOKUP(EOMONTH(CB112,0),Macroeconomics!$B$67:$R$380,Macroeconomics!$C$66,0))*(1+$C120)^(1/12)-1</f>
        <v>8.4983465758896592E-3</v>
      </c>
      <c r="CC120" s="170">
        <f>(1+VLOOKUP(EOMONTH(CC112,0),Macroeconomics!$B$67:$R$380,Macroeconomics!$C$66,0))*(1+$C120)^(1/12)-1</f>
        <v>8.4983465758896592E-3</v>
      </c>
      <c r="CD120" s="170">
        <f>(1+VLOOKUP(EOMONTH(CD112,0),Macroeconomics!$B$67:$R$380,Macroeconomics!$C$66,0))*(1+$C120)^(1/12)-1</f>
        <v>8.4983465758896592E-3</v>
      </c>
      <c r="CE120" s="170">
        <f>(1+VLOOKUP(EOMONTH(CE112,0),Macroeconomics!$B$67:$R$380,Macroeconomics!$C$66,0))*(1+$C120)^(1/12)-1</f>
        <v>8.4983465758896592E-3</v>
      </c>
      <c r="CF120" s="170">
        <f>(1+VLOOKUP(EOMONTH(CF112,0),Macroeconomics!$B$67:$R$380,Macroeconomics!$C$66,0))*(1+$C120)^(1/12)-1</f>
        <v>8.4906663191905984E-3</v>
      </c>
      <c r="CG120" s="170">
        <f>(1+VLOOKUP(EOMONTH(CG112,0),Macroeconomics!$B$67:$R$380,Macroeconomics!$C$66,0))*(1+$C120)^(1/12)-1</f>
        <v>8.4906663191905984E-3</v>
      </c>
      <c r="CH120" s="170">
        <f>(1+VLOOKUP(EOMONTH(CH112,0),Macroeconomics!$B$67:$R$380,Macroeconomics!$C$66,0))*(1+$C120)^(1/12)-1</f>
        <v>8.4906663191905984E-3</v>
      </c>
      <c r="CI120" s="170">
        <f>(1+VLOOKUP(EOMONTH(CI112,0),Macroeconomics!$B$67:$R$380,Macroeconomics!$C$66,0))*(1+$C120)^(1/12)-1</f>
        <v>8.4906663191905984E-3</v>
      </c>
      <c r="CJ120" s="170">
        <f>(1+VLOOKUP(EOMONTH(CJ112,0),Macroeconomics!$B$67:$R$380,Macroeconomics!$C$66,0))*(1+$C120)^(1/12)-1</f>
        <v>8.4906663191905984E-3</v>
      </c>
      <c r="CK120" s="170">
        <f>(1+VLOOKUP(EOMONTH(CK112,0),Macroeconomics!$B$67:$R$380,Macroeconomics!$C$66,0))*(1+$C120)^(1/12)-1</f>
        <v>8.4906663191905984E-3</v>
      </c>
      <c r="CL120" s="170">
        <f>(1+VLOOKUP(EOMONTH(CL112,0),Macroeconomics!$B$67:$R$380,Macroeconomics!$C$66,0))*(1+$C120)^(1/12)-1</f>
        <v>8.4906663191905984E-3</v>
      </c>
      <c r="CM120" s="170">
        <f>(1+VLOOKUP(EOMONTH(CM112,0),Macroeconomics!$B$67:$R$380,Macroeconomics!$C$66,0))*(1+$C120)^(1/12)-1</f>
        <v>8.4906663191905984E-3</v>
      </c>
      <c r="CN120" s="170">
        <f>(1+VLOOKUP(EOMONTH(CN112,0),Macroeconomics!$B$67:$R$380,Macroeconomics!$C$66,0))*(1+$C120)^(1/12)-1</f>
        <v>8.4906663191905984E-3</v>
      </c>
      <c r="CO120" s="170">
        <f>(1+VLOOKUP(EOMONTH(CO112,0),Macroeconomics!$B$67:$R$380,Macroeconomics!$C$66,0))*(1+$C120)^(1/12)-1</f>
        <v>8.4906663191905984E-3</v>
      </c>
      <c r="CP120" s="170">
        <f>(1+VLOOKUP(EOMONTH(CP112,0),Macroeconomics!$B$67:$R$380,Macroeconomics!$C$66,0))*(1+$C120)^(1/12)-1</f>
        <v>8.4906663191905984E-3</v>
      </c>
      <c r="CQ120" s="170">
        <f>(1+VLOOKUP(EOMONTH(CQ112,0),Macroeconomics!$B$67:$R$380,Macroeconomics!$C$66,0))*(1+$C120)^(1/12)-1</f>
        <v>8.4906663191905984E-3</v>
      </c>
      <c r="CR120" s="170">
        <f>(1+VLOOKUP(EOMONTH(CR112,0),Macroeconomics!$B$67:$R$380,Macroeconomics!$C$66,0))*(1+$C120)^(1/12)-1</f>
        <v>8.4906663191905984E-3</v>
      </c>
      <c r="CS120" s="170">
        <f>(1+VLOOKUP(EOMONTH(CS112,0),Macroeconomics!$B$67:$R$380,Macroeconomics!$C$66,0))*(1+$C120)^(1/12)-1</f>
        <v>8.4906663191905984E-3</v>
      </c>
      <c r="CT120" s="170">
        <f>(1+VLOOKUP(EOMONTH(CT112,0),Macroeconomics!$B$67:$R$380,Macroeconomics!$C$66,0))*(1+$C120)^(1/12)-1</f>
        <v>8.4906663191905984E-3</v>
      </c>
      <c r="CU120" s="170">
        <f>(1+VLOOKUP(EOMONTH(CU112,0),Macroeconomics!$B$67:$R$380,Macroeconomics!$C$66,0))*(1+$C120)^(1/12)-1</f>
        <v>8.4906663191905984E-3</v>
      </c>
      <c r="CV120" s="170">
        <f>(1+VLOOKUP(EOMONTH(CV112,0),Macroeconomics!$B$67:$R$380,Macroeconomics!$C$66,0))*(1+$C120)^(1/12)-1</f>
        <v>8.4906663191905984E-3</v>
      </c>
      <c r="CW120" s="170">
        <f>(1+VLOOKUP(EOMONTH(CW112,0),Macroeconomics!$B$67:$R$380,Macroeconomics!$C$66,0))*(1+$C120)^(1/12)-1</f>
        <v>8.4906663191905984E-3</v>
      </c>
      <c r="CX120" s="170">
        <f>(1+VLOOKUP(EOMONTH(CX112,0),Macroeconomics!$B$67:$R$380,Macroeconomics!$C$66,0))*(1+$C120)^(1/12)-1</f>
        <v>8.4906663191905984E-3</v>
      </c>
      <c r="CY120" s="170">
        <f>(1+VLOOKUP(EOMONTH(CY112,0),Macroeconomics!$B$67:$R$380,Macroeconomics!$C$66,0))*(1+$C120)^(1/12)-1</f>
        <v>8.4906663191905984E-3</v>
      </c>
      <c r="CZ120" s="170">
        <f>(1+VLOOKUP(EOMONTH(CZ112,0),Macroeconomics!$B$67:$R$380,Macroeconomics!$C$66,0))*(1+$C120)^(1/12)-1</f>
        <v>8.4906663191905984E-3</v>
      </c>
      <c r="DA120" s="170">
        <f>(1+VLOOKUP(EOMONTH(DA112,0),Macroeconomics!$B$67:$R$380,Macroeconomics!$C$66,0))*(1+$C120)^(1/12)-1</f>
        <v>8.4906663191905984E-3</v>
      </c>
      <c r="DB120" s="170">
        <f>(1+VLOOKUP(EOMONTH(DB112,0),Macroeconomics!$B$67:$R$380,Macroeconomics!$C$66,0))*(1+$C120)^(1/12)-1</f>
        <v>8.4906663191905984E-3</v>
      </c>
      <c r="DC120" s="170">
        <f>(1+VLOOKUP(EOMONTH(DC112,0),Macroeconomics!$B$67:$R$380,Macroeconomics!$C$66,0))*(1+$C120)^(1/12)-1</f>
        <v>8.4906663191905984E-3</v>
      </c>
      <c r="DD120" s="170">
        <f>(1+VLOOKUP(EOMONTH(DD112,0),Macroeconomics!$B$67:$R$380,Macroeconomics!$C$66,0))*(1+$C120)^(1/12)-1</f>
        <v>8.4906663191905984E-3</v>
      </c>
      <c r="DE120" s="170">
        <f>(1+VLOOKUP(EOMONTH(DE112,0),Macroeconomics!$B$67:$R$380,Macroeconomics!$C$66,0))*(1+$C120)^(1/12)-1</f>
        <v>8.4906663191905984E-3</v>
      </c>
      <c r="DF120" s="170">
        <f>(1+VLOOKUP(EOMONTH(DF112,0),Macroeconomics!$B$67:$R$380,Macroeconomics!$C$66,0))*(1+$C120)^(1/12)-1</f>
        <v>8.4906663191905984E-3</v>
      </c>
      <c r="DG120" s="170">
        <f>(1+VLOOKUP(EOMONTH(DG112,0),Macroeconomics!$B$67:$R$380,Macroeconomics!$C$66,0))*(1+$C120)^(1/12)-1</f>
        <v>8.4906663191905984E-3</v>
      </c>
      <c r="DH120" s="170">
        <f>(1+VLOOKUP(EOMONTH(DH112,0),Macroeconomics!$B$67:$R$380,Macroeconomics!$C$66,0))*(1+$C120)^(1/12)-1</f>
        <v>8.4906663191905984E-3</v>
      </c>
      <c r="DI120" s="170">
        <f>(1+VLOOKUP(EOMONTH(DI112,0),Macroeconomics!$B$67:$R$380,Macroeconomics!$C$66,0))*(1+$C120)^(1/12)-1</f>
        <v>8.4906663191905984E-3</v>
      </c>
      <c r="DJ120" s="170">
        <f>(1+VLOOKUP(EOMONTH(DJ112,0),Macroeconomics!$B$67:$R$380,Macroeconomics!$C$66,0))*(1+$C120)^(1/12)-1</f>
        <v>8.4906663191905984E-3</v>
      </c>
      <c r="DK120" s="170">
        <f>(1+VLOOKUP(EOMONTH(DK112,0),Macroeconomics!$B$67:$R$380,Macroeconomics!$C$66,0))*(1+$C120)^(1/12)-1</f>
        <v>8.4906663191905984E-3</v>
      </c>
      <c r="DL120" s="170">
        <f>(1+VLOOKUP(EOMONTH(DL112,0),Macroeconomics!$B$67:$R$380,Macroeconomics!$C$66,0))*(1+$C120)^(1/12)-1</f>
        <v>8.4906663191905984E-3</v>
      </c>
      <c r="DM120" s="170">
        <f>(1+VLOOKUP(EOMONTH(DM112,0),Macroeconomics!$B$67:$R$380,Macroeconomics!$C$66,0))*(1+$C120)^(1/12)-1</f>
        <v>8.4906663191905984E-3</v>
      </c>
      <c r="DN120" s="170">
        <f>(1+VLOOKUP(EOMONTH(DN112,0),Macroeconomics!$B$67:$R$380,Macroeconomics!$C$66,0))*(1+$C120)^(1/12)-1</f>
        <v>8.4906663191905984E-3</v>
      </c>
      <c r="DO120" s="170">
        <f>(1+VLOOKUP(EOMONTH(DO112,0),Macroeconomics!$B$67:$R$380,Macroeconomics!$C$66,0))*(1+$C120)^(1/12)-1</f>
        <v>8.4906663191905984E-3</v>
      </c>
      <c r="DP120" s="170">
        <f>(1+VLOOKUP(EOMONTH(DP112,0),Macroeconomics!$B$67:$R$380,Macroeconomics!$C$66,0))*(1+$C120)^(1/12)-1</f>
        <v>8.3061468665017735E-3</v>
      </c>
      <c r="DQ120" s="170">
        <f>(1+VLOOKUP(EOMONTH(DQ112,0),Macroeconomics!$B$67:$R$380,Macroeconomics!$C$66,0))*(1+$C120)^(1/12)-1</f>
        <v>8.3061468665017735E-3</v>
      </c>
      <c r="DR120" s="170">
        <f>(1+VLOOKUP(EOMONTH(DR112,0),Macroeconomics!$B$67:$R$380,Macroeconomics!$C$66,0))*(1+$C120)^(1/12)-1</f>
        <v>8.3061468665017735E-3</v>
      </c>
      <c r="DS120" s="170">
        <f>(1+VLOOKUP(EOMONTH(DS112,0),Macroeconomics!$B$67:$R$380,Macroeconomics!$C$66,0))*(1+$C120)^(1/12)-1</f>
        <v>8.3061468665017735E-3</v>
      </c>
      <c r="DT120" s="170">
        <f>(1+VLOOKUP(EOMONTH(DT112,0),Macroeconomics!$B$67:$R$380,Macroeconomics!$C$66,0))*(1+$C120)^(1/12)-1</f>
        <v>8.3061468665017735E-3</v>
      </c>
      <c r="DU120" s="170">
        <f>(1+VLOOKUP(EOMONTH(DU112,0),Macroeconomics!$B$67:$R$380,Macroeconomics!$C$66,0))*(1+$C120)^(1/12)-1</f>
        <v>8.3061468665017735E-3</v>
      </c>
      <c r="DV120" s="170">
        <f>(1+VLOOKUP(EOMONTH(DV112,0),Macroeconomics!$B$67:$R$380,Macroeconomics!$C$66,0))*(1+$C120)^(1/12)-1</f>
        <v>8.3061468665017735E-3</v>
      </c>
      <c r="DW120" s="170">
        <f>(1+VLOOKUP(EOMONTH(DW112,0),Macroeconomics!$B$67:$R$380,Macroeconomics!$C$66,0))*(1+$C120)^(1/12)-1</f>
        <v>8.3061468665017735E-3</v>
      </c>
      <c r="DX120" s="170">
        <f>(1+VLOOKUP(EOMONTH(DX112,0),Macroeconomics!$B$67:$R$380,Macroeconomics!$C$66,0))*(1+$C120)^(1/12)-1</f>
        <v>8.3061468665017735E-3</v>
      </c>
      <c r="DY120" s="170">
        <f>(1+VLOOKUP(EOMONTH(DY112,0),Macroeconomics!$B$67:$R$380,Macroeconomics!$C$66,0))*(1+$C120)^(1/12)-1</f>
        <v>8.3061468665017735E-3</v>
      </c>
      <c r="DZ120" s="170">
        <f>(1+VLOOKUP(EOMONTH(DZ112,0),Macroeconomics!$B$67:$R$380,Macroeconomics!$C$66,0))*(1+$C120)^(1/12)-1</f>
        <v>8.3061468665017735E-3</v>
      </c>
      <c r="EA120" s="170">
        <f>(1+VLOOKUP(EOMONTH(EA112,0),Macroeconomics!$B$67:$R$380,Macroeconomics!$C$66,0))*(1+$C120)^(1/12)-1</f>
        <v>8.3061468665017735E-3</v>
      </c>
      <c r="EB120" s="170">
        <f>(1+VLOOKUP(EOMONTH(EB112,0),Macroeconomics!$B$67:$R$380,Macroeconomics!$C$66,0))*(1+$C120)^(1/12)-1</f>
        <v>8.3061468665017735E-3</v>
      </c>
      <c r="EC120" s="170">
        <f>(1+VLOOKUP(EOMONTH(EC112,0),Macroeconomics!$B$67:$R$380,Macroeconomics!$C$66,0))*(1+$C120)^(1/12)-1</f>
        <v>8.3061468665017735E-3</v>
      </c>
      <c r="ED120" s="170">
        <f>(1+VLOOKUP(EOMONTH(ED112,0),Macroeconomics!$B$67:$R$380,Macroeconomics!$C$66,0))*(1+$C120)^(1/12)-1</f>
        <v>8.3061468665017735E-3</v>
      </c>
      <c r="EE120" s="170">
        <f>(1+VLOOKUP(EOMONTH(EE112,0),Macroeconomics!$B$67:$R$380,Macroeconomics!$C$66,0))*(1+$C120)^(1/12)-1</f>
        <v>8.3061468665017735E-3</v>
      </c>
      <c r="EF120" s="170">
        <f>(1+VLOOKUP(EOMONTH(EF112,0),Macroeconomics!$B$67:$R$380,Macroeconomics!$C$66,0))*(1+$C120)^(1/12)-1</f>
        <v>8.3061468665017735E-3</v>
      </c>
      <c r="EG120" s="170">
        <f>(1+VLOOKUP(EOMONTH(EG112,0),Macroeconomics!$B$67:$R$380,Macroeconomics!$C$66,0))*(1+$C120)^(1/12)-1</f>
        <v>8.3061468665017735E-3</v>
      </c>
      <c r="EH120" s="170">
        <f>(1+VLOOKUP(EOMONTH(EH112,0),Macroeconomics!$B$67:$R$380,Macroeconomics!$C$66,0))*(1+$C120)^(1/12)-1</f>
        <v>8.3061468665017735E-3</v>
      </c>
      <c r="EI120" s="170">
        <f>(1+VLOOKUP(EOMONTH(EI112,0),Macroeconomics!$B$67:$R$380,Macroeconomics!$C$66,0))*(1+$C120)^(1/12)-1</f>
        <v>8.3061468665017735E-3</v>
      </c>
      <c r="EJ120" s="170">
        <f>(1+VLOOKUP(EOMONTH(EJ112,0),Macroeconomics!$B$67:$R$380,Macroeconomics!$C$66,0))*(1+$C120)^(1/12)-1</f>
        <v>8.3061468665017735E-3</v>
      </c>
      <c r="EK120" s="170">
        <f>(1+VLOOKUP(EOMONTH(EK112,0),Macroeconomics!$B$67:$R$380,Macroeconomics!$C$66,0))*(1+$C120)^(1/12)-1</f>
        <v>8.3061468665017735E-3</v>
      </c>
      <c r="EL120" s="170">
        <f>(1+VLOOKUP(EOMONTH(EL112,0),Macroeconomics!$B$67:$R$380,Macroeconomics!$C$66,0))*(1+$C120)^(1/12)-1</f>
        <v>8.3061468665017735E-3</v>
      </c>
      <c r="EM120" s="170">
        <f>(1+VLOOKUP(EOMONTH(EM112,0),Macroeconomics!$B$67:$R$380,Macroeconomics!$C$66,0))*(1+$C120)^(1/12)-1</f>
        <v>8.3061468665017735E-3</v>
      </c>
      <c r="EN120" s="170">
        <f>(1+VLOOKUP(EOMONTH(EN112,0),Macroeconomics!$B$67:$R$380,Macroeconomics!$C$66,0))*(1+$C120)^(1/12)-1</f>
        <v>8.3061468665017735E-3</v>
      </c>
      <c r="EO120" s="170">
        <f>(1+VLOOKUP(EOMONTH(EO112,0),Macroeconomics!$B$67:$R$380,Macroeconomics!$C$66,0))*(1+$C120)^(1/12)-1</f>
        <v>8.3061468665017735E-3</v>
      </c>
      <c r="EP120" s="170">
        <f>(1+VLOOKUP(EOMONTH(EP112,0),Macroeconomics!$B$67:$R$380,Macroeconomics!$C$66,0))*(1+$C120)^(1/12)-1</f>
        <v>8.3061468665017735E-3</v>
      </c>
      <c r="EQ120" s="170">
        <f>(1+VLOOKUP(EOMONTH(EQ112,0),Macroeconomics!$B$67:$R$380,Macroeconomics!$C$66,0))*(1+$C120)^(1/12)-1</f>
        <v>8.3061468665017735E-3</v>
      </c>
      <c r="ER120" s="170">
        <f>(1+VLOOKUP(EOMONTH(ER112,0),Macroeconomics!$B$67:$R$380,Macroeconomics!$C$66,0))*(1+$C120)^(1/12)-1</f>
        <v>8.3061468665017735E-3</v>
      </c>
      <c r="ES120" s="170">
        <f>(1+VLOOKUP(EOMONTH(ES112,0),Macroeconomics!$B$67:$R$380,Macroeconomics!$C$66,0))*(1+$C120)^(1/12)-1</f>
        <v>8.3061468665017735E-3</v>
      </c>
      <c r="ET120" s="170">
        <f>(1+VLOOKUP(EOMONTH(ET112,0),Macroeconomics!$B$67:$R$380,Macroeconomics!$C$66,0))*(1+$C120)^(1/12)-1</f>
        <v>8.3061468665017735E-3</v>
      </c>
      <c r="EU120" s="170">
        <f>(1+VLOOKUP(EOMONTH(EU112,0),Macroeconomics!$B$67:$R$380,Macroeconomics!$C$66,0))*(1+$C120)^(1/12)-1</f>
        <v>8.3061468665017735E-3</v>
      </c>
      <c r="EV120" s="170">
        <f>(1+VLOOKUP(EOMONTH(EV112,0),Macroeconomics!$B$67:$R$380,Macroeconomics!$C$66,0))*(1+$C120)^(1/12)-1</f>
        <v>8.3061468665017735E-3</v>
      </c>
      <c r="EW120" s="170">
        <f>(1+VLOOKUP(EOMONTH(EW112,0),Macroeconomics!$B$67:$R$380,Macroeconomics!$C$66,0))*(1+$C120)^(1/12)-1</f>
        <v>8.3061468665017735E-3</v>
      </c>
      <c r="EX120" s="170">
        <f>(1+VLOOKUP(EOMONTH(EX112,0),Macroeconomics!$B$67:$R$380,Macroeconomics!$C$66,0))*(1+$C120)^(1/12)-1</f>
        <v>8.3061468665017735E-3</v>
      </c>
      <c r="EY120" s="170">
        <f>(1+VLOOKUP(EOMONTH(EY112,0),Macroeconomics!$B$67:$R$380,Macroeconomics!$C$66,0))*(1+$C120)^(1/12)-1</f>
        <v>8.3061468665017735E-3</v>
      </c>
      <c r="EZ120" s="170">
        <f>(1+VLOOKUP(EOMONTH(EZ112,0),Macroeconomics!$B$67:$R$380,Macroeconomics!$C$66,0))*(1+$C120)^(1/12)-1</f>
        <v>8.3061468665017735E-3</v>
      </c>
      <c r="FA120" s="170">
        <f>(1+VLOOKUP(EOMONTH(FA112,0),Macroeconomics!$B$67:$R$380,Macroeconomics!$C$66,0))*(1+$C120)^(1/12)-1</f>
        <v>8.3061468665017735E-3</v>
      </c>
      <c r="FB120" s="170">
        <f>(1+VLOOKUP(EOMONTH(FB112,0),Macroeconomics!$B$67:$R$380,Macroeconomics!$C$66,0))*(1+$C120)^(1/12)-1</f>
        <v>8.3061468665017735E-3</v>
      </c>
      <c r="FC120" s="170">
        <f>(1+VLOOKUP(EOMONTH(FC112,0),Macroeconomics!$B$67:$R$380,Macroeconomics!$C$66,0))*(1+$C120)^(1/12)-1</f>
        <v>8.3061468665017735E-3</v>
      </c>
      <c r="FD120" s="170">
        <f>(1+VLOOKUP(EOMONTH(FD112,0),Macroeconomics!$B$67:$R$380,Macroeconomics!$C$66,0))*(1+$C120)^(1/12)-1</f>
        <v>8.3061468665017735E-3</v>
      </c>
      <c r="FE120" s="170">
        <f>(1+VLOOKUP(EOMONTH(FE112,0),Macroeconomics!$B$67:$R$380,Macroeconomics!$C$66,0))*(1+$C120)^(1/12)-1</f>
        <v>8.3061468665017735E-3</v>
      </c>
      <c r="FF120" s="170">
        <f>(1+VLOOKUP(EOMONTH(FF112,0),Macroeconomics!$B$67:$R$380,Macroeconomics!$C$66,0))*(1+$C120)^(1/12)-1</f>
        <v>8.3061468665017735E-3</v>
      </c>
      <c r="FG120" s="170">
        <f>(1+VLOOKUP(EOMONTH(FG112,0),Macroeconomics!$B$67:$R$380,Macroeconomics!$C$66,0))*(1+$C120)^(1/12)-1</f>
        <v>8.3061468665017735E-3</v>
      </c>
      <c r="FH120" s="170">
        <f>(1+VLOOKUP(EOMONTH(FH112,0),Macroeconomics!$B$67:$R$380,Macroeconomics!$C$66,0))*(1+$C120)^(1/12)-1</f>
        <v>8.3061468665017735E-3</v>
      </c>
      <c r="FI120" s="170">
        <f>(1+VLOOKUP(EOMONTH(FI112,0),Macroeconomics!$B$67:$R$380,Macroeconomics!$C$66,0))*(1+$C120)^(1/12)-1</f>
        <v>8.3061468665017735E-3</v>
      </c>
      <c r="FJ120" s="170">
        <f>(1+VLOOKUP(EOMONTH(FJ112,0),Macroeconomics!$B$67:$R$380,Macroeconomics!$C$66,0))*(1+$C120)^(1/12)-1</f>
        <v>8.3061468665017735E-3</v>
      </c>
      <c r="FK120" s="170">
        <f>(1+VLOOKUP(EOMONTH(FK112,0),Macroeconomics!$B$67:$R$380,Macroeconomics!$C$66,0))*(1+$C120)^(1/12)-1</f>
        <v>8.3061468665017735E-3</v>
      </c>
      <c r="FL120" s="170">
        <f>(1+VLOOKUP(EOMONTH(FL112,0),Macroeconomics!$B$67:$R$380,Macroeconomics!$C$66,0))*(1+$C120)^(1/12)-1</f>
        <v>8.3061468665017735E-3</v>
      </c>
      <c r="FM120" s="170">
        <f>(1+VLOOKUP(EOMONTH(FM112,0),Macroeconomics!$B$67:$R$380,Macroeconomics!$C$66,0))*(1+$C120)^(1/12)-1</f>
        <v>8.3061468665017735E-3</v>
      </c>
      <c r="FN120" s="170">
        <f>(1+VLOOKUP(EOMONTH(FN112,0),Macroeconomics!$B$67:$R$380,Macroeconomics!$C$66,0))*(1+$C120)^(1/12)-1</f>
        <v>8.3061468665017735E-3</v>
      </c>
      <c r="FO120" s="170">
        <f>(1+VLOOKUP(EOMONTH(FO112,0),Macroeconomics!$B$67:$R$380,Macroeconomics!$C$66,0))*(1+$C120)^(1/12)-1</f>
        <v>8.3061468665017735E-3</v>
      </c>
      <c r="FP120" s="170">
        <f>(1+VLOOKUP(EOMONTH(FP112,0),Macroeconomics!$B$67:$R$380,Macroeconomics!$C$66,0))*(1+$C120)^(1/12)-1</f>
        <v>8.3061468665017735E-3</v>
      </c>
      <c r="FQ120" s="170">
        <f>(1+VLOOKUP(EOMONTH(FQ112,0),Macroeconomics!$B$67:$R$380,Macroeconomics!$C$66,0))*(1+$C120)^(1/12)-1</f>
        <v>8.3061468665017735E-3</v>
      </c>
      <c r="FR120" s="170">
        <f>(1+VLOOKUP(EOMONTH(FR112,0),Macroeconomics!$B$67:$R$380,Macroeconomics!$C$66,0))*(1+$C120)^(1/12)-1</f>
        <v>8.3061468665017735E-3</v>
      </c>
      <c r="FS120" s="170">
        <f>(1+VLOOKUP(EOMONTH(FS112,0),Macroeconomics!$B$67:$R$380,Macroeconomics!$C$66,0))*(1+$C120)^(1/12)-1</f>
        <v>8.3061468665017735E-3</v>
      </c>
      <c r="FT120" s="170">
        <f>(1+VLOOKUP(EOMONTH(FT112,0),Macroeconomics!$B$67:$R$380,Macroeconomics!$C$66,0))*(1+$C120)^(1/12)-1</f>
        <v>8.3061468665017735E-3</v>
      </c>
      <c r="FU120" s="170">
        <f>(1+VLOOKUP(EOMONTH(FU112,0),Macroeconomics!$B$67:$R$380,Macroeconomics!$C$66,0))*(1+$C120)^(1/12)-1</f>
        <v>8.3061468665017735E-3</v>
      </c>
      <c r="FV120" s="170">
        <f>(1+VLOOKUP(EOMONTH(FV112,0),Macroeconomics!$B$67:$R$380,Macroeconomics!$C$66,0))*(1+$C120)^(1/12)-1</f>
        <v>8.3061468665017735E-3</v>
      </c>
      <c r="FW120" s="170">
        <f>(1+VLOOKUP(EOMONTH(FW112,0),Macroeconomics!$B$67:$R$380,Macroeconomics!$C$66,0))*(1+$C120)^(1/12)-1</f>
        <v>8.3061468665017735E-3</v>
      </c>
      <c r="FX120" s="170">
        <f>(1+VLOOKUP(EOMONTH(FX112,0),Macroeconomics!$B$67:$R$380,Macroeconomics!$C$66,0))*(1+$C120)^(1/12)-1</f>
        <v>8.1135433095136378E-3</v>
      </c>
      <c r="FY120" s="170">
        <f>(1+VLOOKUP(EOMONTH(FY112,0),Macroeconomics!$B$67:$R$380,Macroeconomics!$C$66,0))*(1+$C120)^(1/12)-1</f>
        <v>8.1135433095136378E-3</v>
      </c>
      <c r="FZ120" s="170">
        <f>(1+VLOOKUP(EOMONTH(FZ112,0),Macroeconomics!$B$67:$R$380,Macroeconomics!$C$66,0))*(1+$C120)^(1/12)-1</f>
        <v>8.1135433095136378E-3</v>
      </c>
      <c r="GA120" s="170">
        <f>(1+VLOOKUP(EOMONTH(GA112,0),Macroeconomics!$B$67:$R$380,Macroeconomics!$C$66,0))*(1+$C120)^(1/12)-1</f>
        <v>8.1135433095136378E-3</v>
      </c>
      <c r="GB120" s="170">
        <f>(1+VLOOKUP(EOMONTH(GB112,0),Macroeconomics!$B$67:$R$380,Macroeconomics!$C$66,0))*(1+$C120)^(1/12)-1</f>
        <v>8.1135433095136378E-3</v>
      </c>
      <c r="GC120" s="170">
        <f>(1+VLOOKUP(EOMONTH(GC112,0),Macroeconomics!$B$67:$R$380,Macroeconomics!$C$66,0))*(1+$C120)^(1/12)-1</f>
        <v>8.1135433095136378E-3</v>
      </c>
      <c r="GD120" s="170">
        <f>(1+VLOOKUP(EOMONTH(GD112,0),Macroeconomics!$B$67:$R$380,Macroeconomics!$C$66,0))*(1+$C120)^(1/12)-1</f>
        <v>8.1135433095136378E-3</v>
      </c>
      <c r="GE120" s="170">
        <f>(1+VLOOKUP(EOMONTH(GE112,0),Macroeconomics!$B$67:$R$380,Macroeconomics!$C$66,0))*(1+$C120)^(1/12)-1</f>
        <v>8.1135433095136378E-3</v>
      </c>
      <c r="GF120" s="170">
        <f>(1+VLOOKUP(EOMONTH(GF112,0),Macroeconomics!$B$67:$R$380,Macroeconomics!$C$66,0))*(1+$C120)^(1/12)-1</f>
        <v>8.1135433095136378E-3</v>
      </c>
      <c r="GG120" s="170">
        <f>(1+VLOOKUP(EOMONTH(GG112,0),Macroeconomics!$B$67:$R$380,Macroeconomics!$C$66,0))*(1+$C120)^(1/12)-1</f>
        <v>8.1135433095136378E-3</v>
      </c>
      <c r="GH120" s="170">
        <f>(1+VLOOKUP(EOMONTH(GH112,0),Macroeconomics!$B$67:$R$380,Macroeconomics!$C$66,0))*(1+$C120)^(1/12)-1</f>
        <v>8.1135433095136378E-3</v>
      </c>
      <c r="GI120" s="170">
        <f>(1+VLOOKUP(EOMONTH(GI112,0),Macroeconomics!$B$67:$R$380,Macroeconomics!$C$66,0))*(1+$C120)^(1/12)-1</f>
        <v>8.1135433095136378E-3</v>
      </c>
      <c r="GJ120" s="170">
        <f>(1+VLOOKUP(EOMONTH(GJ112,0),Macroeconomics!$B$67:$R$380,Macroeconomics!$C$66,0))*(1+$C120)^(1/12)-1</f>
        <v>8.1135433095136378E-3</v>
      </c>
      <c r="GK120" s="170">
        <f>(1+VLOOKUP(EOMONTH(GK112,0),Macroeconomics!$B$67:$R$380,Macroeconomics!$C$66,0))*(1+$C120)^(1/12)-1</f>
        <v>8.1135433095136378E-3</v>
      </c>
      <c r="GL120" s="170">
        <f>(1+VLOOKUP(EOMONTH(GL112,0),Macroeconomics!$B$67:$R$380,Macroeconomics!$C$66,0))*(1+$C120)^(1/12)-1</f>
        <v>8.1135433095136378E-3</v>
      </c>
      <c r="GM120" s="170">
        <f>(1+VLOOKUP(EOMONTH(GM112,0),Macroeconomics!$B$67:$R$380,Macroeconomics!$C$66,0))*(1+$C120)^(1/12)-1</f>
        <v>8.1135433095136378E-3</v>
      </c>
      <c r="GN120" s="170">
        <f>(1+VLOOKUP(EOMONTH(GN112,0),Macroeconomics!$B$67:$R$380,Macroeconomics!$C$66,0))*(1+$C120)^(1/12)-1</f>
        <v>8.1135433095136378E-3</v>
      </c>
      <c r="GO120" s="170">
        <f>(1+VLOOKUP(EOMONTH(GO112,0),Macroeconomics!$B$67:$R$380,Macroeconomics!$C$66,0))*(1+$C120)^(1/12)-1</f>
        <v>8.1135433095136378E-3</v>
      </c>
      <c r="GP120" s="170">
        <f>(1+VLOOKUP(EOMONTH(GP112,0),Macroeconomics!$B$67:$R$380,Macroeconomics!$C$66,0))*(1+$C120)^(1/12)-1</f>
        <v>8.1135433095136378E-3</v>
      </c>
      <c r="GQ120" s="170">
        <f>(1+VLOOKUP(EOMONTH(GQ112,0),Macroeconomics!$B$67:$R$380,Macroeconomics!$C$66,0))*(1+$C120)^(1/12)-1</f>
        <v>8.1135433095136378E-3</v>
      </c>
    </row>
    <row r="121" spans="2:199" outlineLevel="1">
      <c r="B121" s="161" t="s">
        <v>413</v>
      </c>
      <c r="C121" s="163">
        <v>12</v>
      </c>
    </row>
    <row r="122" spans="2:199" outlineLevel="1">
      <c r="B122" s="182" t="s">
        <v>409</v>
      </c>
      <c r="C122" s="131">
        <v>1</v>
      </c>
      <c r="D122" s="182" t="s">
        <v>404</v>
      </c>
      <c r="E122" s="160">
        <f>IF(OR(E112&lt;=$C114,E112&gt;$C115),0,IF(AND(E112&lt;=$C116,$C122=1,MOD(MONTH(E112)-MONTH($C114),6)=0),1,IF(AND(MOD(MONTH(E112)-MONTH($C114),$C121)=0,E112&gt;=$C116),1,0)))</f>
        <v>0</v>
      </c>
      <c r="F122" s="160">
        <f t="shared" ref="F122:P122" si="332">IF(OR(F112&lt;=$C114,F112&gt;$C115),0,IF(AND(F112&lt;=$C116,$C122=1,MOD(MONTH(F112)-MONTH($C114),6)=0),1,IF(AND(MOD(MONTH(F112)-MONTH($C114),$C121)=0,F112&gt;=$C116),1,0)))</f>
        <v>0</v>
      </c>
      <c r="G122" s="160">
        <f t="shared" si="332"/>
        <v>0</v>
      </c>
      <c r="H122" s="160">
        <f t="shared" si="332"/>
        <v>0</v>
      </c>
      <c r="I122" s="160">
        <f t="shared" si="332"/>
        <v>0</v>
      </c>
      <c r="J122" s="160">
        <f t="shared" si="332"/>
        <v>0</v>
      </c>
      <c r="K122" s="160">
        <f t="shared" si="332"/>
        <v>1</v>
      </c>
      <c r="L122" s="160">
        <f t="shared" si="332"/>
        <v>0</v>
      </c>
      <c r="M122" s="160">
        <f t="shared" si="332"/>
        <v>0</v>
      </c>
      <c r="N122" s="160">
        <f t="shared" si="332"/>
        <v>0</v>
      </c>
      <c r="O122" s="160">
        <f t="shared" si="332"/>
        <v>0</v>
      </c>
      <c r="P122" s="160">
        <f t="shared" si="332"/>
        <v>0</v>
      </c>
      <c r="Q122" s="160">
        <f t="shared" ref="Q122" si="333">IF(OR(Q112&lt;=$C114,Q112&gt;$C115),0,IF(AND(Q112&lt;=$C116,$C122=1,MOD(MONTH(Q112)-MONTH($C114),6)=0),1,IF(AND(MOD(MONTH(Q112)-MONTH($C114),$C121)=0,Q112&gt;=$C116),1,0)))</f>
        <v>1</v>
      </c>
      <c r="R122" s="160">
        <f t="shared" ref="R122" si="334">IF(OR(R112&lt;=$C114,R112&gt;$C115),0,IF(AND(R112&lt;=$C116,$C122=1,MOD(MONTH(R112)-MONTH($C114),6)=0),1,IF(AND(MOD(MONTH(R112)-MONTH($C114),$C121)=0,R112&gt;=$C116),1,0)))</f>
        <v>0</v>
      </c>
      <c r="S122" s="160">
        <f t="shared" ref="S122" si="335">IF(OR(S112&lt;=$C114,S112&gt;$C115),0,IF(AND(S112&lt;=$C116,$C122=1,MOD(MONTH(S112)-MONTH($C114),6)=0),1,IF(AND(MOD(MONTH(S112)-MONTH($C114),$C121)=0,S112&gt;=$C116),1,0)))</f>
        <v>0</v>
      </c>
      <c r="T122" s="160">
        <f t="shared" ref="T122" si="336">IF(OR(T112&lt;=$C114,T112&gt;$C115),0,IF(AND(T112&lt;=$C116,$C122=1,MOD(MONTH(T112)-MONTH($C114),6)=0),1,IF(AND(MOD(MONTH(T112)-MONTH($C114),$C121)=0,T112&gt;=$C116),1,0)))</f>
        <v>0</v>
      </c>
      <c r="U122" s="160">
        <f t="shared" ref="U122" si="337">IF(OR(U112&lt;=$C114,U112&gt;$C115),0,IF(AND(U112&lt;=$C116,$C122=1,MOD(MONTH(U112)-MONTH($C114),6)=0),1,IF(AND(MOD(MONTH(U112)-MONTH($C114),$C121)=0,U112&gt;=$C116),1,0)))</f>
        <v>0</v>
      </c>
      <c r="V122" s="160">
        <f t="shared" ref="V122" si="338">IF(OR(V112&lt;=$C114,V112&gt;$C115),0,IF(AND(V112&lt;=$C116,$C122=1,MOD(MONTH(V112)-MONTH($C114),6)=0),1,IF(AND(MOD(MONTH(V112)-MONTH($C114),$C121)=0,V112&gt;=$C116),1,0)))</f>
        <v>0</v>
      </c>
      <c r="W122" s="160">
        <f t="shared" ref="W122" si="339">IF(OR(W112&lt;=$C114,W112&gt;$C115),0,IF(AND(W112&lt;=$C116,$C122=1,MOD(MONTH(W112)-MONTH($C114),6)=0),1,IF(AND(MOD(MONTH(W112)-MONTH($C114),$C121)=0,W112&gt;=$C116),1,0)))</f>
        <v>0</v>
      </c>
      <c r="X122" s="160">
        <f t="shared" ref="X122" si="340">IF(OR(X112&lt;=$C114,X112&gt;$C115),0,IF(AND(X112&lt;=$C116,$C122=1,MOD(MONTH(X112)-MONTH($C114),6)=0),1,IF(AND(MOD(MONTH(X112)-MONTH($C114),$C121)=0,X112&gt;=$C116),1,0)))</f>
        <v>0</v>
      </c>
      <c r="Y122" s="160">
        <f t="shared" ref="Y122" si="341">IF(OR(Y112&lt;=$C114,Y112&gt;$C115),0,IF(AND(Y112&lt;=$C116,$C122=1,MOD(MONTH(Y112)-MONTH($C114),6)=0),1,IF(AND(MOD(MONTH(Y112)-MONTH($C114),$C121)=0,Y112&gt;=$C116),1,0)))</f>
        <v>0</v>
      </c>
      <c r="Z122" s="160">
        <f t="shared" ref="Z122:AA122" si="342">IF(OR(Z112&lt;=$C114,Z112&gt;$C115),0,IF(AND(Z112&lt;=$C116,$C122=1,MOD(MONTH(Z112)-MONTH($C114),6)=0),1,IF(AND(MOD(MONTH(Z112)-MONTH($C114),$C121)=0,Z112&gt;=$C116),1,0)))</f>
        <v>0</v>
      </c>
      <c r="AA122" s="160">
        <f t="shared" si="342"/>
        <v>0</v>
      </c>
      <c r="AB122" s="160">
        <f t="shared" ref="AB122" si="343">IF(OR(AB112&lt;=$C114,AB112&gt;$C115),0,IF(AND(AB112&lt;=$C116,$C122=1,MOD(MONTH(AB112)-MONTH($C114),6)=0),1,IF(AND(MOD(MONTH(AB112)-MONTH($C114),$C121)=0,AB112&gt;=$C116),1,0)))</f>
        <v>0</v>
      </c>
      <c r="AC122" s="160">
        <f t="shared" ref="AC122" si="344">IF(OR(AC112&lt;=$C114,AC112&gt;$C115),0,IF(AND(AC112&lt;=$C116,$C122=1,MOD(MONTH(AC112)-MONTH($C114),6)=0),1,IF(AND(MOD(MONTH(AC112)-MONTH($C114),$C121)=0,AC112&gt;=$C116),1,0)))</f>
        <v>1</v>
      </c>
      <c r="AD122" s="160">
        <f t="shared" ref="AD122" si="345">IF(OR(AD112&lt;=$C114,AD112&gt;$C115),0,IF(AND(AD112&lt;=$C116,$C122=1,MOD(MONTH(AD112)-MONTH($C114),6)=0),1,IF(AND(MOD(MONTH(AD112)-MONTH($C114),$C121)=0,AD112&gt;=$C116),1,0)))</f>
        <v>0</v>
      </c>
      <c r="AE122" s="160">
        <f t="shared" ref="AE122" si="346">IF(OR(AE112&lt;=$C114,AE112&gt;$C115),0,IF(AND(AE112&lt;=$C116,$C122=1,MOD(MONTH(AE112)-MONTH($C114),6)=0),1,IF(AND(MOD(MONTH(AE112)-MONTH($C114),$C121)=0,AE112&gt;=$C116),1,0)))</f>
        <v>0</v>
      </c>
      <c r="AF122" s="160">
        <f t="shared" ref="AF122" si="347">IF(OR(AF112&lt;=$C114,AF112&gt;$C115),0,IF(AND(AF112&lt;=$C116,$C122=1,MOD(MONTH(AF112)-MONTH($C114),6)=0),1,IF(AND(MOD(MONTH(AF112)-MONTH($C114),$C121)=0,AF112&gt;=$C116),1,0)))</f>
        <v>0</v>
      </c>
      <c r="AG122" s="160">
        <f t="shared" ref="AG122" si="348">IF(OR(AG112&lt;=$C114,AG112&gt;$C115),0,IF(AND(AG112&lt;=$C116,$C122=1,MOD(MONTH(AG112)-MONTH($C114),6)=0),1,IF(AND(MOD(MONTH(AG112)-MONTH($C114),$C121)=0,AG112&gt;=$C116),1,0)))</f>
        <v>0</v>
      </c>
      <c r="AH122" s="160">
        <f t="shared" ref="AH122" si="349">IF(OR(AH112&lt;=$C114,AH112&gt;$C115),0,IF(AND(AH112&lt;=$C116,$C122=1,MOD(MONTH(AH112)-MONTH($C114),6)=0),1,IF(AND(MOD(MONTH(AH112)-MONTH($C114),$C121)=0,AH112&gt;=$C116),1,0)))</f>
        <v>0</v>
      </c>
      <c r="AI122" s="160">
        <f t="shared" ref="AI122" si="350">IF(OR(AI112&lt;=$C114,AI112&gt;$C115),0,IF(AND(AI112&lt;=$C116,$C122=1,MOD(MONTH(AI112)-MONTH($C114),6)=0),1,IF(AND(MOD(MONTH(AI112)-MONTH($C114),$C121)=0,AI112&gt;=$C116),1,0)))</f>
        <v>0</v>
      </c>
      <c r="AJ122" s="160">
        <f t="shared" ref="AJ122" si="351">IF(OR(AJ112&lt;=$C114,AJ112&gt;$C115),0,IF(AND(AJ112&lt;=$C116,$C122=1,MOD(MONTH(AJ112)-MONTH($C114),6)=0),1,IF(AND(MOD(MONTH(AJ112)-MONTH($C114),$C121)=0,AJ112&gt;=$C116),1,0)))</f>
        <v>0</v>
      </c>
      <c r="AK122" s="160">
        <f t="shared" ref="AK122:AL122" si="352">IF(OR(AK112&lt;=$C114,AK112&gt;$C115),0,IF(AND(AK112&lt;=$C116,$C122=1,MOD(MONTH(AK112)-MONTH($C114),6)=0),1,IF(AND(MOD(MONTH(AK112)-MONTH($C114),$C121)=0,AK112&gt;=$C116),1,0)))</f>
        <v>0</v>
      </c>
      <c r="AL122" s="160">
        <f t="shared" si="352"/>
        <v>0</v>
      </c>
      <c r="AM122" s="160">
        <f t="shared" ref="AM122" si="353">IF(OR(AM112&lt;=$C114,AM112&gt;$C115),0,IF(AND(AM112&lt;=$C116,$C122=1,MOD(MONTH(AM112)-MONTH($C114),6)=0),1,IF(AND(MOD(MONTH(AM112)-MONTH($C114),$C121)=0,AM112&gt;=$C116),1,0)))</f>
        <v>0</v>
      </c>
      <c r="AN122" s="160">
        <f t="shared" ref="AN122" si="354">IF(OR(AN112&lt;=$C114,AN112&gt;$C115),0,IF(AND(AN112&lt;=$C116,$C122=1,MOD(MONTH(AN112)-MONTH($C114),6)=0),1,IF(AND(MOD(MONTH(AN112)-MONTH($C114),$C121)=0,AN112&gt;=$C116),1,0)))</f>
        <v>0</v>
      </c>
      <c r="AO122" s="160">
        <f t="shared" ref="AO122" si="355">IF(OR(AO112&lt;=$C114,AO112&gt;$C115),0,IF(AND(AO112&lt;=$C116,$C122=1,MOD(MONTH(AO112)-MONTH($C114),6)=0),1,IF(AND(MOD(MONTH(AO112)-MONTH($C114),$C121)=0,AO112&gt;=$C116),1,0)))</f>
        <v>1</v>
      </c>
      <c r="AP122" s="160">
        <f t="shared" ref="AP122" si="356">IF(OR(AP112&lt;=$C114,AP112&gt;$C115),0,IF(AND(AP112&lt;=$C116,$C122=1,MOD(MONTH(AP112)-MONTH($C114),6)=0),1,IF(AND(MOD(MONTH(AP112)-MONTH($C114),$C121)=0,AP112&gt;=$C116),1,0)))</f>
        <v>0</v>
      </c>
      <c r="AQ122" s="160">
        <f t="shared" ref="AQ122" si="357">IF(OR(AQ112&lt;=$C114,AQ112&gt;$C115),0,IF(AND(AQ112&lt;=$C116,$C122=1,MOD(MONTH(AQ112)-MONTH($C114),6)=0),1,IF(AND(MOD(MONTH(AQ112)-MONTH($C114),$C121)=0,AQ112&gt;=$C116),1,0)))</f>
        <v>0</v>
      </c>
      <c r="AR122" s="160">
        <f t="shared" ref="AR122" si="358">IF(OR(AR112&lt;=$C114,AR112&gt;$C115),0,IF(AND(AR112&lt;=$C116,$C122=1,MOD(MONTH(AR112)-MONTH($C114),6)=0),1,IF(AND(MOD(MONTH(AR112)-MONTH($C114),$C121)=0,AR112&gt;=$C116),1,0)))</f>
        <v>0</v>
      </c>
      <c r="AS122" s="160">
        <f t="shared" ref="AS122" si="359">IF(OR(AS112&lt;=$C114,AS112&gt;$C115),0,IF(AND(AS112&lt;=$C116,$C122=1,MOD(MONTH(AS112)-MONTH($C114),6)=0),1,IF(AND(MOD(MONTH(AS112)-MONTH($C114),$C121)=0,AS112&gt;=$C116),1,0)))</f>
        <v>0</v>
      </c>
      <c r="AT122" s="160">
        <f t="shared" ref="AT122" si="360">IF(OR(AT112&lt;=$C114,AT112&gt;$C115),0,IF(AND(AT112&lt;=$C116,$C122=1,MOD(MONTH(AT112)-MONTH($C114),6)=0),1,IF(AND(MOD(MONTH(AT112)-MONTH($C114),$C121)=0,AT112&gt;=$C116),1,0)))</f>
        <v>0</v>
      </c>
      <c r="AU122" s="160">
        <f t="shared" ref="AU122" si="361">IF(OR(AU112&lt;=$C114,AU112&gt;$C115),0,IF(AND(AU112&lt;=$C116,$C122=1,MOD(MONTH(AU112)-MONTH($C114),6)=0),1,IF(AND(MOD(MONTH(AU112)-MONTH($C114),$C121)=0,AU112&gt;=$C116),1,0)))</f>
        <v>0</v>
      </c>
      <c r="AV122" s="160">
        <f t="shared" ref="AV122:AW122" si="362">IF(OR(AV112&lt;=$C114,AV112&gt;$C115),0,IF(AND(AV112&lt;=$C116,$C122=1,MOD(MONTH(AV112)-MONTH($C114),6)=0),1,IF(AND(MOD(MONTH(AV112)-MONTH($C114),$C121)=0,AV112&gt;=$C116),1,0)))</f>
        <v>0</v>
      </c>
      <c r="AW122" s="160">
        <f t="shared" si="362"/>
        <v>0</v>
      </c>
      <c r="AX122" s="160">
        <f t="shared" ref="AX122" si="363">IF(OR(AX112&lt;=$C114,AX112&gt;$C115),0,IF(AND(AX112&lt;=$C116,$C122=1,MOD(MONTH(AX112)-MONTH($C114),6)=0),1,IF(AND(MOD(MONTH(AX112)-MONTH($C114),$C121)=0,AX112&gt;=$C116),1,0)))</f>
        <v>0</v>
      </c>
      <c r="AY122" s="160">
        <f t="shared" ref="AY122" si="364">IF(OR(AY112&lt;=$C114,AY112&gt;$C115),0,IF(AND(AY112&lt;=$C116,$C122=1,MOD(MONTH(AY112)-MONTH($C114),6)=0),1,IF(AND(MOD(MONTH(AY112)-MONTH($C114),$C121)=0,AY112&gt;=$C116),1,0)))</f>
        <v>0</v>
      </c>
      <c r="AZ122" s="160">
        <f t="shared" ref="AZ122" si="365">IF(OR(AZ112&lt;=$C114,AZ112&gt;$C115),0,IF(AND(AZ112&lt;=$C116,$C122=1,MOD(MONTH(AZ112)-MONTH($C114),6)=0),1,IF(AND(MOD(MONTH(AZ112)-MONTH($C114),$C121)=0,AZ112&gt;=$C116),1,0)))</f>
        <v>0</v>
      </c>
      <c r="BA122" s="160">
        <f t="shared" ref="BA122" si="366">IF(OR(BA112&lt;=$C114,BA112&gt;$C115),0,IF(AND(BA112&lt;=$C116,$C122=1,MOD(MONTH(BA112)-MONTH($C114),6)=0),1,IF(AND(MOD(MONTH(BA112)-MONTH($C114),$C121)=0,BA112&gt;=$C116),1,0)))</f>
        <v>1</v>
      </c>
      <c r="BB122" s="160">
        <f t="shared" ref="BB122" si="367">IF(OR(BB112&lt;=$C114,BB112&gt;$C115),0,IF(AND(BB112&lt;=$C116,$C122=1,MOD(MONTH(BB112)-MONTH($C114),6)=0),1,IF(AND(MOD(MONTH(BB112)-MONTH($C114),$C121)=0,BB112&gt;=$C116),1,0)))</f>
        <v>0</v>
      </c>
      <c r="BC122" s="160">
        <f t="shared" ref="BC122" si="368">IF(OR(BC112&lt;=$C114,BC112&gt;$C115),0,IF(AND(BC112&lt;=$C116,$C122=1,MOD(MONTH(BC112)-MONTH($C114),6)=0),1,IF(AND(MOD(MONTH(BC112)-MONTH($C114),$C121)=0,BC112&gt;=$C116),1,0)))</f>
        <v>0</v>
      </c>
      <c r="BD122" s="160">
        <f t="shared" ref="BD122" si="369">IF(OR(BD112&lt;=$C114,BD112&gt;$C115),0,IF(AND(BD112&lt;=$C116,$C122=1,MOD(MONTH(BD112)-MONTH($C114),6)=0),1,IF(AND(MOD(MONTH(BD112)-MONTH($C114),$C121)=0,BD112&gt;=$C116),1,0)))</f>
        <v>0</v>
      </c>
      <c r="BE122" s="160">
        <f t="shared" ref="BE122" si="370">IF(OR(BE112&lt;=$C114,BE112&gt;$C115),0,IF(AND(BE112&lt;=$C116,$C122=1,MOD(MONTH(BE112)-MONTH($C114),6)=0),1,IF(AND(MOD(MONTH(BE112)-MONTH($C114),$C121)=0,BE112&gt;=$C116),1,0)))</f>
        <v>0</v>
      </c>
      <c r="BF122" s="160">
        <f t="shared" ref="BF122" si="371">IF(OR(BF112&lt;=$C114,BF112&gt;$C115),0,IF(AND(BF112&lt;=$C116,$C122=1,MOD(MONTH(BF112)-MONTH($C114),6)=0),1,IF(AND(MOD(MONTH(BF112)-MONTH($C114),$C121)=0,BF112&gt;=$C116),1,0)))</f>
        <v>0</v>
      </c>
      <c r="BG122" s="160">
        <f t="shared" ref="BG122:BH122" si="372">IF(OR(BG112&lt;=$C114,BG112&gt;$C115),0,IF(AND(BG112&lt;=$C116,$C122=1,MOD(MONTH(BG112)-MONTH($C114),6)=0),1,IF(AND(MOD(MONTH(BG112)-MONTH($C114),$C121)=0,BG112&gt;=$C116),1,0)))</f>
        <v>0</v>
      </c>
      <c r="BH122" s="160">
        <f t="shared" si="372"/>
        <v>0</v>
      </c>
      <c r="BI122" s="160">
        <f t="shared" ref="BI122" si="373">IF(OR(BI112&lt;=$C114,BI112&gt;$C115),0,IF(AND(BI112&lt;=$C116,$C122=1,MOD(MONTH(BI112)-MONTH($C114),6)=0),1,IF(AND(MOD(MONTH(BI112)-MONTH($C114),$C121)=0,BI112&gt;=$C116),1,0)))</f>
        <v>0</v>
      </c>
      <c r="BJ122" s="160">
        <f t="shared" ref="BJ122" si="374">IF(OR(BJ112&lt;=$C114,BJ112&gt;$C115),0,IF(AND(BJ112&lt;=$C116,$C122=1,MOD(MONTH(BJ112)-MONTH($C114),6)=0),1,IF(AND(MOD(MONTH(BJ112)-MONTH($C114),$C121)=0,BJ112&gt;=$C116),1,0)))</f>
        <v>0</v>
      </c>
      <c r="BK122" s="160">
        <f t="shared" ref="BK122" si="375">IF(OR(BK112&lt;=$C114,BK112&gt;$C115),0,IF(AND(BK112&lt;=$C116,$C122=1,MOD(MONTH(BK112)-MONTH($C114),6)=0),1,IF(AND(MOD(MONTH(BK112)-MONTH($C114),$C121)=0,BK112&gt;=$C116),1,0)))</f>
        <v>0</v>
      </c>
      <c r="BL122" s="160">
        <f t="shared" ref="BL122" si="376">IF(OR(BL112&lt;=$C114,BL112&gt;$C115),0,IF(AND(BL112&lt;=$C116,$C122=1,MOD(MONTH(BL112)-MONTH($C114),6)=0),1,IF(AND(MOD(MONTH(BL112)-MONTH($C114),$C121)=0,BL112&gt;=$C116),1,0)))</f>
        <v>0</v>
      </c>
      <c r="BM122" s="160">
        <f t="shared" ref="BM122" si="377">IF(OR(BM112&lt;=$C114,BM112&gt;$C115),0,IF(AND(BM112&lt;=$C116,$C122=1,MOD(MONTH(BM112)-MONTH($C114),6)=0),1,IF(AND(MOD(MONTH(BM112)-MONTH($C114),$C121)=0,BM112&gt;=$C116),1,0)))</f>
        <v>1</v>
      </c>
      <c r="BN122" s="160">
        <f t="shared" ref="BN122" si="378">IF(OR(BN112&lt;=$C114,BN112&gt;$C115),0,IF(AND(BN112&lt;=$C116,$C122=1,MOD(MONTH(BN112)-MONTH($C114),6)=0),1,IF(AND(MOD(MONTH(BN112)-MONTH($C114),$C121)=0,BN112&gt;=$C116),1,0)))</f>
        <v>0</v>
      </c>
      <c r="BO122" s="160">
        <f t="shared" ref="BO122" si="379">IF(OR(BO112&lt;=$C114,BO112&gt;$C115),0,IF(AND(BO112&lt;=$C116,$C122=1,MOD(MONTH(BO112)-MONTH($C114),6)=0),1,IF(AND(MOD(MONTH(BO112)-MONTH($C114),$C121)=0,BO112&gt;=$C116),1,0)))</f>
        <v>0</v>
      </c>
      <c r="BP122" s="160">
        <f t="shared" ref="BP122" si="380">IF(OR(BP112&lt;=$C114,BP112&gt;$C115),0,IF(AND(BP112&lt;=$C116,$C122=1,MOD(MONTH(BP112)-MONTH($C114),6)=0),1,IF(AND(MOD(MONTH(BP112)-MONTH($C114),$C121)=0,BP112&gt;=$C116),1,0)))</f>
        <v>0</v>
      </c>
      <c r="BQ122" s="160">
        <f t="shared" ref="BQ122" si="381">IF(OR(BQ112&lt;=$C114,BQ112&gt;$C115),0,IF(AND(BQ112&lt;=$C116,$C122=1,MOD(MONTH(BQ112)-MONTH($C114),6)=0),1,IF(AND(MOD(MONTH(BQ112)-MONTH($C114),$C121)=0,BQ112&gt;=$C116),1,0)))</f>
        <v>0</v>
      </c>
      <c r="BR122" s="160">
        <f t="shared" ref="BR122:BS122" si="382">IF(OR(BR112&lt;=$C114,BR112&gt;$C115),0,IF(AND(BR112&lt;=$C116,$C122=1,MOD(MONTH(BR112)-MONTH($C114),6)=0),1,IF(AND(MOD(MONTH(BR112)-MONTH($C114),$C121)=0,BR112&gt;=$C116),1,0)))</f>
        <v>0</v>
      </c>
      <c r="BS122" s="160">
        <f t="shared" si="382"/>
        <v>0</v>
      </c>
      <c r="BT122" s="160">
        <f t="shared" ref="BT122" si="383">IF(OR(BT112&lt;=$C114,BT112&gt;$C115),0,IF(AND(BT112&lt;=$C116,$C122=1,MOD(MONTH(BT112)-MONTH($C114),6)=0),1,IF(AND(MOD(MONTH(BT112)-MONTH($C114),$C121)=0,BT112&gt;=$C116),1,0)))</f>
        <v>0</v>
      </c>
      <c r="BU122" s="160">
        <f t="shared" ref="BU122" si="384">IF(OR(BU112&lt;=$C114,BU112&gt;$C115),0,IF(AND(BU112&lt;=$C116,$C122=1,MOD(MONTH(BU112)-MONTH($C114),6)=0),1,IF(AND(MOD(MONTH(BU112)-MONTH($C114),$C121)=0,BU112&gt;=$C116),1,0)))</f>
        <v>0</v>
      </c>
      <c r="BV122" s="160">
        <f t="shared" ref="BV122" si="385">IF(OR(BV112&lt;=$C114,BV112&gt;$C115),0,IF(AND(BV112&lt;=$C116,$C122=1,MOD(MONTH(BV112)-MONTH($C114),6)=0),1,IF(AND(MOD(MONTH(BV112)-MONTH($C114),$C121)=0,BV112&gt;=$C116),1,0)))</f>
        <v>0</v>
      </c>
      <c r="BW122" s="160">
        <f t="shared" ref="BW122" si="386">IF(OR(BW112&lt;=$C114,BW112&gt;$C115),0,IF(AND(BW112&lt;=$C116,$C122=1,MOD(MONTH(BW112)-MONTH($C114),6)=0),1,IF(AND(MOD(MONTH(BW112)-MONTH($C114),$C121)=0,BW112&gt;=$C116),1,0)))</f>
        <v>0</v>
      </c>
      <c r="BX122" s="160">
        <f t="shared" ref="BX122" si="387">IF(OR(BX112&lt;=$C114,BX112&gt;$C115),0,IF(AND(BX112&lt;=$C116,$C122=1,MOD(MONTH(BX112)-MONTH($C114),6)=0),1,IF(AND(MOD(MONTH(BX112)-MONTH($C114),$C121)=0,BX112&gt;=$C116),1,0)))</f>
        <v>0</v>
      </c>
      <c r="BY122" s="160">
        <f t="shared" ref="BY122" si="388">IF(OR(BY112&lt;=$C114,BY112&gt;$C115),0,IF(AND(BY112&lt;=$C116,$C122=1,MOD(MONTH(BY112)-MONTH($C114),6)=0),1,IF(AND(MOD(MONTH(BY112)-MONTH($C114),$C121)=0,BY112&gt;=$C116),1,0)))</f>
        <v>0</v>
      </c>
      <c r="BZ122" s="160">
        <f t="shared" ref="BZ122" si="389">IF(OR(BZ112&lt;=$C114,BZ112&gt;$C115),0,IF(AND(BZ112&lt;=$C116,$C122=1,MOD(MONTH(BZ112)-MONTH($C114),6)=0),1,IF(AND(MOD(MONTH(BZ112)-MONTH($C114),$C121)=0,BZ112&gt;=$C116),1,0)))</f>
        <v>0</v>
      </c>
      <c r="CA122" s="160">
        <f t="shared" ref="CA122" si="390">IF(OR(CA112&lt;=$C114,CA112&gt;$C115),0,IF(AND(CA112&lt;=$C116,$C122=1,MOD(MONTH(CA112)-MONTH($C114),6)=0),1,IF(AND(MOD(MONTH(CA112)-MONTH($C114),$C121)=0,CA112&gt;=$C116),1,0)))</f>
        <v>0</v>
      </c>
      <c r="CB122" s="160">
        <f t="shared" ref="CB122" si="391">IF(OR(CB112&lt;=$C114,CB112&gt;$C115),0,IF(AND(CB112&lt;=$C116,$C122=1,MOD(MONTH(CB112)-MONTH($C114),6)=0),1,IF(AND(MOD(MONTH(CB112)-MONTH($C114),$C121)=0,CB112&gt;=$C116),1,0)))</f>
        <v>0</v>
      </c>
      <c r="CC122" s="160">
        <f t="shared" ref="CC122:CD122" si="392">IF(OR(CC112&lt;=$C114,CC112&gt;$C115),0,IF(AND(CC112&lt;=$C116,$C122=1,MOD(MONTH(CC112)-MONTH($C114),6)=0),1,IF(AND(MOD(MONTH(CC112)-MONTH($C114),$C121)=0,CC112&gt;=$C116),1,0)))</f>
        <v>0</v>
      </c>
      <c r="CD122" s="160">
        <f t="shared" si="392"/>
        <v>0</v>
      </c>
      <c r="CE122" s="160">
        <f t="shared" ref="CE122" si="393">IF(OR(CE112&lt;=$C114,CE112&gt;$C115),0,IF(AND(CE112&lt;=$C116,$C122=1,MOD(MONTH(CE112)-MONTH($C114),6)=0),1,IF(AND(MOD(MONTH(CE112)-MONTH($C114),$C121)=0,CE112&gt;=$C116),1,0)))</f>
        <v>0</v>
      </c>
      <c r="CF122" s="160">
        <f t="shared" ref="CF122" si="394">IF(OR(CF112&lt;=$C114,CF112&gt;$C115),0,IF(AND(CF112&lt;=$C116,$C122=1,MOD(MONTH(CF112)-MONTH($C114),6)=0),1,IF(AND(MOD(MONTH(CF112)-MONTH($C114),$C121)=0,CF112&gt;=$C116),1,0)))</f>
        <v>0</v>
      </c>
      <c r="CG122" s="160">
        <f t="shared" ref="CG122" si="395">IF(OR(CG112&lt;=$C114,CG112&gt;$C115),0,IF(AND(CG112&lt;=$C116,$C122=1,MOD(MONTH(CG112)-MONTH($C114),6)=0),1,IF(AND(MOD(MONTH(CG112)-MONTH($C114),$C121)=0,CG112&gt;=$C116),1,0)))</f>
        <v>0</v>
      </c>
      <c r="CH122" s="160">
        <f t="shared" ref="CH122" si="396">IF(OR(CH112&lt;=$C114,CH112&gt;$C115),0,IF(AND(CH112&lt;=$C116,$C122=1,MOD(MONTH(CH112)-MONTH($C114),6)=0),1,IF(AND(MOD(MONTH(CH112)-MONTH($C114),$C121)=0,CH112&gt;=$C116),1,0)))</f>
        <v>0</v>
      </c>
      <c r="CI122" s="160">
        <f t="shared" ref="CI122" si="397">IF(OR(CI112&lt;=$C114,CI112&gt;$C115),0,IF(AND(CI112&lt;=$C116,$C122=1,MOD(MONTH(CI112)-MONTH($C114),6)=0),1,IF(AND(MOD(MONTH(CI112)-MONTH($C114),$C121)=0,CI112&gt;=$C116),1,0)))</f>
        <v>0</v>
      </c>
      <c r="CJ122" s="160">
        <f t="shared" ref="CJ122" si="398">IF(OR(CJ112&lt;=$C114,CJ112&gt;$C115),0,IF(AND(CJ112&lt;=$C116,$C122=1,MOD(MONTH(CJ112)-MONTH($C114),6)=0),1,IF(AND(MOD(MONTH(CJ112)-MONTH($C114),$C121)=0,CJ112&gt;=$C116),1,0)))</f>
        <v>0</v>
      </c>
      <c r="CK122" s="160">
        <f t="shared" ref="CK122" si="399">IF(OR(CK112&lt;=$C114,CK112&gt;$C115),0,IF(AND(CK112&lt;=$C116,$C122=1,MOD(MONTH(CK112)-MONTH($C114),6)=0),1,IF(AND(MOD(MONTH(CK112)-MONTH($C114),$C121)=0,CK112&gt;=$C116),1,0)))</f>
        <v>0</v>
      </c>
      <c r="CL122" s="160">
        <f t="shared" ref="CL122" si="400">IF(OR(CL112&lt;=$C114,CL112&gt;$C115),0,IF(AND(CL112&lt;=$C116,$C122=1,MOD(MONTH(CL112)-MONTH($C114),6)=0),1,IF(AND(MOD(MONTH(CL112)-MONTH($C114),$C121)=0,CL112&gt;=$C116),1,0)))</f>
        <v>0</v>
      </c>
      <c r="CM122" s="160">
        <f t="shared" ref="CM122" si="401">IF(OR(CM112&lt;=$C114,CM112&gt;$C115),0,IF(AND(CM112&lt;=$C116,$C122=1,MOD(MONTH(CM112)-MONTH($C114),6)=0),1,IF(AND(MOD(MONTH(CM112)-MONTH($C114),$C121)=0,CM112&gt;=$C116),1,0)))</f>
        <v>0</v>
      </c>
      <c r="CN122" s="160">
        <f t="shared" ref="CN122:CO122" si="402">IF(OR(CN112&lt;=$C114,CN112&gt;$C115),0,IF(AND(CN112&lt;=$C116,$C122=1,MOD(MONTH(CN112)-MONTH($C114),6)=0),1,IF(AND(MOD(MONTH(CN112)-MONTH($C114),$C121)=0,CN112&gt;=$C116),1,0)))</f>
        <v>0</v>
      </c>
      <c r="CO122" s="160">
        <f t="shared" si="402"/>
        <v>0</v>
      </c>
      <c r="CP122" s="160">
        <f t="shared" ref="CP122" si="403">IF(OR(CP112&lt;=$C114,CP112&gt;$C115),0,IF(AND(CP112&lt;=$C116,$C122=1,MOD(MONTH(CP112)-MONTH($C114),6)=0),1,IF(AND(MOD(MONTH(CP112)-MONTH($C114),$C121)=0,CP112&gt;=$C116),1,0)))</f>
        <v>0</v>
      </c>
      <c r="CQ122" s="160">
        <f t="shared" ref="CQ122" si="404">IF(OR(CQ112&lt;=$C114,CQ112&gt;$C115),0,IF(AND(CQ112&lt;=$C116,$C122=1,MOD(MONTH(CQ112)-MONTH($C114),6)=0),1,IF(AND(MOD(MONTH(CQ112)-MONTH($C114),$C121)=0,CQ112&gt;=$C116),1,0)))</f>
        <v>0</v>
      </c>
      <c r="CR122" s="160">
        <f t="shared" ref="CR122" si="405">IF(OR(CR112&lt;=$C114,CR112&gt;$C115),0,IF(AND(CR112&lt;=$C116,$C122=1,MOD(MONTH(CR112)-MONTH($C114),6)=0),1,IF(AND(MOD(MONTH(CR112)-MONTH($C114),$C121)=0,CR112&gt;=$C116),1,0)))</f>
        <v>0</v>
      </c>
      <c r="CS122" s="160">
        <f t="shared" ref="CS122" si="406">IF(OR(CS112&lt;=$C114,CS112&gt;$C115),0,IF(AND(CS112&lt;=$C116,$C122=1,MOD(MONTH(CS112)-MONTH($C114),6)=0),1,IF(AND(MOD(MONTH(CS112)-MONTH($C114),$C121)=0,CS112&gt;=$C116),1,0)))</f>
        <v>0</v>
      </c>
      <c r="CT122" s="160">
        <f t="shared" ref="CT122" si="407">IF(OR(CT112&lt;=$C114,CT112&gt;$C115),0,IF(AND(CT112&lt;=$C116,$C122=1,MOD(MONTH(CT112)-MONTH($C114),6)=0),1,IF(AND(MOD(MONTH(CT112)-MONTH($C114),$C121)=0,CT112&gt;=$C116),1,0)))</f>
        <v>0</v>
      </c>
      <c r="CU122" s="160">
        <f t="shared" ref="CU122" si="408">IF(OR(CU112&lt;=$C114,CU112&gt;$C115),0,IF(AND(CU112&lt;=$C116,$C122=1,MOD(MONTH(CU112)-MONTH($C114),6)=0),1,IF(AND(MOD(MONTH(CU112)-MONTH($C114),$C121)=0,CU112&gt;=$C116),1,0)))</f>
        <v>0</v>
      </c>
      <c r="CV122" s="160">
        <f t="shared" ref="CV122" si="409">IF(OR(CV112&lt;=$C114,CV112&gt;$C115),0,IF(AND(CV112&lt;=$C116,$C122=1,MOD(MONTH(CV112)-MONTH($C114),6)=0),1,IF(AND(MOD(MONTH(CV112)-MONTH($C114),$C121)=0,CV112&gt;=$C116),1,0)))</f>
        <v>0</v>
      </c>
      <c r="CW122" s="160">
        <f t="shared" ref="CW122" si="410">IF(OR(CW112&lt;=$C114,CW112&gt;$C115),0,IF(AND(CW112&lt;=$C116,$C122=1,MOD(MONTH(CW112)-MONTH($C114),6)=0),1,IF(AND(MOD(MONTH(CW112)-MONTH($C114),$C121)=0,CW112&gt;=$C116),1,0)))</f>
        <v>0</v>
      </c>
      <c r="CX122" s="160">
        <f t="shared" ref="CX122" si="411">IF(OR(CX112&lt;=$C114,CX112&gt;$C115),0,IF(AND(CX112&lt;=$C116,$C122=1,MOD(MONTH(CX112)-MONTH($C114),6)=0),1,IF(AND(MOD(MONTH(CX112)-MONTH($C114),$C121)=0,CX112&gt;=$C116),1,0)))</f>
        <v>0</v>
      </c>
      <c r="CY122" s="160">
        <f t="shared" ref="CY122:CZ122" si="412">IF(OR(CY112&lt;=$C114,CY112&gt;$C115),0,IF(AND(CY112&lt;=$C116,$C122=1,MOD(MONTH(CY112)-MONTH($C114),6)=0),1,IF(AND(MOD(MONTH(CY112)-MONTH($C114),$C121)=0,CY112&gt;=$C116),1,0)))</f>
        <v>0</v>
      </c>
      <c r="CZ122" s="160">
        <f t="shared" si="412"/>
        <v>0</v>
      </c>
      <c r="DA122" s="160">
        <f t="shared" ref="DA122" si="413">IF(OR(DA112&lt;=$C114,DA112&gt;$C115),0,IF(AND(DA112&lt;=$C116,$C122=1,MOD(MONTH(DA112)-MONTH($C114),6)=0),1,IF(AND(MOD(MONTH(DA112)-MONTH($C114),$C121)=0,DA112&gt;=$C116),1,0)))</f>
        <v>0</v>
      </c>
      <c r="DB122" s="160">
        <f t="shared" ref="DB122" si="414">IF(OR(DB112&lt;=$C114,DB112&gt;$C115),0,IF(AND(DB112&lt;=$C116,$C122=1,MOD(MONTH(DB112)-MONTH($C114),6)=0),1,IF(AND(MOD(MONTH(DB112)-MONTH($C114),$C121)=0,DB112&gt;=$C116),1,0)))</f>
        <v>0</v>
      </c>
      <c r="DC122" s="160">
        <f t="shared" ref="DC122" si="415">IF(OR(DC112&lt;=$C114,DC112&gt;$C115),0,IF(AND(DC112&lt;=$C116,$C122=1,MOD(MONTH(DC112)-MONTH($C114),6)=0),1,IF(AND(MOD(MONTH(DC112)-MONTH($C114),$C121)=0,DC112&gt;=$C116),1,0)))</f>
        <v>0</v>
      </c>
      <c r="DD122" s="160">
        <f t="shared" ref="DD122" si="416">IF(OR(DD112&lt;=$C114,DD112&gt;$C115),0,IF(AND(DD112&lt;=$C116,$C122=1,MOD(MONTH(DD112)-MONTH($C114),6)=0),1,IF(AND(MOD(MONTH(DD112)-MONTH($C114),$C121)=0,DD112&gt;=$C116),1,0)))</f>
        <v>0</v>
      </c>
      <c r="DE122" s="160">
        <f t="shared" ref="DE122" si="417">IF(OR(DE112&lt;=$C114,DE112&gt;$C115),0,IF(AND(DE112&lt;=$C116,$C122=1,MOD(MONTH(DE112)-MONTH($C114),6)=0),1,IF(AND(MOD(MONTH(DE112)-MONTH($C114),$C121)=0,DE112&gt;=$C116),1,0)))</f>
        <v>0</v>
      </c>
      <c r="DF122" s="160">
        <f t="shared" ref="DF122" si="418">IF(OR(DF112&lt;=$C114,DF112&gt;$C115),0,IF(AND(DF112&lt;=$C116,$C122=1,MOD(MONTH(DF112)-MONTH($C114),6)=0),1,IF(AND(MOD(MONTH(DF112)-MONTH($C114),$C121)=0,DF112&gt;=$C116),1,0)))</f>
        <v>0</v>
      </c>
      <c r="DG122" s="160">
        <f t="shared" ref="DG122" si="419">IF(OR(DG112&lt;=$C114,DG112&gt;$C115),0,IF(AND(DG112&lt;=$C116,$C122=1,MOD(MONTH(DG112)-MONTH($C114),6)=0),1,IF(AND(MOD(MONTH(DG112)-MONTH($C114),$C121)=0,DG112&gt;=$C116),1,0)))</f>
        <v>0</v>
      </c>
      <c r="DH122" s="160">
        <f t="shared" ref="DH122" si="420">IF(OR(DH112&lt;=$C114,DH112&gt;$C115),0,IF(AND(DH112&lt;=$C116,$C122=1,MOD(MONTH(DH112)-MONTH($C114),6)=0),1,IF(AND(MOD(MONTH(DH112)-MONTH($C114),$C121)=0,DH112&gt;=$C116),1,0)))</f>
        <v>0</v>
      </c>
      <c r="DI122" s="160">
        <f t="shared" ref="DI122" si="421">IF(OR(DI112&lt;=$C114,DI112&gt;$C115),0,IF(AND(DI112&lt;=$C116,$C122=1,MOD(MONTH(DI112)-MONTH($C114),6)=0),1,IF(AND(MOD(MONTH(DI112)-MONTH($C114),$C121)=0,DI112&gt;=$C116),1,0)))</f>
        <v>0</v>
      </c>
      <c r="DJ122" s="160">
        <f t="shared" ref="DJ122:DK122" si="422">IF(OR(DJ112&lt;=$C114,DJ112&gt;$C115),0,IF(AND(DJ112&lt;=$C116,$C122=1,MOD(MONTH(DJ112)-MONTH($C114),6)=0),1,IF(AND(MOD(MONTH(DJ112)-MONTH($C114),$C121)=0,DJ112&gt;=$C116),1,0)))</f>
        <v>0</v>
      </c>
      <c r="DK122" s="160">
        <f t="shared" si="422"/>
        <v>0</v>
      </c>
      <c r="DL122" s="160">
        <f t="shared" ref="DL122" si="423">IF(OR(DL112&lt;=$C114,DL112&gt;$C115),0,IF(AND(DL112&lt;=$C116,$C122=1,MOD(MONTH(DL112)-MONTH($C114),6)=0),1,IF(AND(MOD(MONTH(DL112)-MONTH($C114),$C121)=0,DL112&gt;=$C116),1,0)))</f>
        <v>0</v>
      </c>
      <c r="DM122" s="160">
        <f t="shared" ref="DM122" si="424">IF(OR(DM112&lt;=$C114,DM112&gt;$C115),0,IF(AND(DM112&lt;=$C116,$C122=1,MOD(MONTH(DM112)-MONTH($C114),6)=0),1,IF(AND(MOD(MONTH(DM112)-MONTH($C114),$C121)=0,DM112&gt;=$C116),1,0)))</f>
        <v>0</v>
      </c>
      <c r="DN122" s="160">
        <f t="shared" ref="DN122" si="425">IF(OR(DN112&lt;=$C114,DN112&gt;$C115),0,IF(AND(DN112&lt;=$C116,$C122=1,MOD(MONTH(DN112)-MONTH($C114),6)=0),1,IF(AND(MOD(MONTH(DN112)-MONTH($C114),$C121)=0,DN112&gt;=$C116),1,0)))</f>
        <v>0</v>
      </c>
      <c r="DO122" s="160">
        <f t="shared" ref="DO122" si="426">IF(OR(DO112&lt;=$C114,DO112&gt;$C115),0,IF(AND(DO112&lt;=$C116,$C122=1,MOD(MONTH(DO112)-MONTH($C114),6)=0),1,IF(AND(MOD(MONTH(DO112)-MONTH($C114),$C121)=0,DO112&gt;=$C116),1,0)))</f>
        <v>0</v>
      </c>
      <c r="DP122" s="160">
        <f t="shared" ref="DP122" si="427">IF(OR(DP112&lt;=$C114,DP112&gt;$C115),0,IF(AND(DP112&lt;=$C116,$C122=1,MOD(MONTH(DP112)-MONTH($C114),6)=0),1,IF(AND(MOD(MONTH(DP112)-MONTH($C114),$C121)=0,DP112&gt;=$C116),1,0)))</f>
        <v>0</v>
      </c>
      <c r="DQ122" s="160">
        <f t="shared" ref="DQ122" si="428">IF(OR(DQ112&lt;=$C114,DQ112&gt;$C115),0,IF(AND(DQ112&lt;=$C116,$C122=1,MOD(MONTH(DQ112)-MONTH($C114),6)=0),1,IF(AND(MOD(MONTH(DQ112)-MONTH($C114),$C121)=0,DQ112&gt;=$C116),1,0)))</f>
        <v>0</v>
      </c>
      <c r="DR122" s="160">
        <f t="shared" ref="DR122" si="429">IF(OR(DR112&lt;=$C114,DR112&gt;$C115),0,IF(AND(DR112&lt;=$C116,$C122=1,MOD(MONTH(DR112)-MONTH($C114),6)=0),1,IF(AND(MOD(MONTH(DR112)-MONTH($C114),$C121)=0,DR112&gt;=$C116),1,0)))</f>
        <v>0</v>
      </c>
      <c r="DS122" s="160">
        <f t="shared" ref="DS122" si="430">IF(OR(DS112&lt;=$C114,DS112&gt;$C115),0,IF(AND(DS112&lt;=$C116,$C122=1,MOD(MONTH(DS112)-MONTH($C114),6)=0),1,IF(AND(MOD(MONTH(DS112)-MONTH($C114),$C121)=0,DS112&gt;=$C116),1,0)))</f>
        <v>0</v>
      </c>
      <c r="DT122" s="160">
        <f t="shared" ref="DT122" si="431">IF(OR(DT112&lt;=$C114,DT112&gt;$C115),0,IF(AND(DT112&lt;=$C116,$C122=1,MOD(MONTH(DT112)-MONTH($C114),6)=0),1,IF(AND(MOD(MONTH(DT112)-MONTH($C114),$C121)=0,DT112&gt;=$C116),1,0)))</f>
        <v>0</v>
      </c>
      <c r="DU122" s="160">
        <f t="shared" ref="DU122:DV122" si="432">IF(OR(DU112&lt;=$C114,DU112&gt;$C115),0,IF(AND(DU112&lt;=$C116,$C122=1,MOD(MONTH(DU112)-MONTH($C114),6)=0),1,IF(AND(MOD(MONTH(DU112)-MONTH($C114),$C121)=0,DU112&gt;=$C116),1,0)))</f>
        <v>0</v>
      </c>
      <c r="DV122" s="160">
        <f t="shared" si="432"/>
        <v>0</v>
      </c>
      <c r="DW122" s="160">
        <f t="shared" ref="DW122" si="433">IF(OR(DW112&lt;=$C114,DW112&gt;$C115),0,IF(AND(DW112&lt;=$C116,$C122=1,MOD(MONTH(DW112)-MONTH($C114),6)=0),1,IF(AND(MOD(MONTH(DW112)-MONTH($C114),$C121)=0,DW112&gt;=$C116),1,0)))</f>
        <v>0</v>
      </c>
      <c r="DX122" s="160">
        <f t="shared" ref="DX122" si="434">IF(OR(DX112&lt;=$C114,DX112&gt;$C115),0,IF(AND(DX112&lt;=$C116,$C122=1,MOD(MONTH(DX112)-MONTH($C114),6)=0),1,IF(AND(MOD(MONTH(DX112)-MONTH($C114),$C121)=0,DX112&gt;=$C116),1,0)))</f>
        <v>0</v>
      </c>
      <c r="DY122" s="160">
        <f t="shared" ref="DY122" si="435">IF(OR(DY112&lt;=$C114,DY112&gt;$C115),0,IF(AND(DY112&lt;=$C116,$C122=1,MOD(MONTH(DY112)-MONTH($C114),6)=0),1,IF(AND(MOD(MONTH(DY112)-MONTH($C114),$C121)=0,DY112&gt;=$C116),1,0)))</f>
        <v>0</v>
      </c>
      <c r="DZ122" s="160">
        <f t="shared" ref="DZ122" si="436">IF(OR(DZ112&lt;=$C114,DZ112&gt;$C115),0,IF(AND(DZ112&lt;=$C116,$C122=1,MOD(MONTH(DZ112)-MONTH($C114),6)=0),1,IF(AND(MOD(MONTH(DZ112)-MONTH($C114),$C121)=0,DZ112&gt;=$C116),1,0)))</f>
        <v>0</v>
      </c>
      <c r="EA122" s="160">
        <f t="shared" ref="EA122" si="437">IF(OR(EA112&lt;=$C114,EA112&gt;$C115),0,IF(AND(EA112&lt;=$C116,$C122=1,MOD(MONTH(EA112)-MONTH($C114),6)=0),1,IF(AND(MOD(MONTH(EA112)-MONTH($C114),$C121)=0,EA112&gt;=$C116),1,0)))</f>
        <v>0</v>
      </c>
      <c r="EB122" s="160">
        <f t="shared" ref="EB122" si="438">IF(OR(EB112&lt;=$C114,EB112&gt;$C115),0,IF(AND(EB112&lt;=$C116,$C122=1,MOD(MONTH(EB112)-MONTH($C114),6)=0),1,IF(AND(MOD(MONTH(EB112)-MONTH($C114),$C121)=0,EB112&gt;=$C116),1,0)))</f>
        <v>0</v>
      </c>
      <c r="EC122" s="160">
        <f t="shared" ref="EC122" si="439">IF(OR(EC112&lt;=$C114,EC112&gt;$C115),0,IF(AND(EC112&lt;=$C116,$C122=1,MOD(MONTH(EC112)-MONTH($C114),6)=0),1,IF(AND(MOD(MONTH(EC112)-MONTH($C114),$C121)=0,EC112&gt;=$C116),1,0)))</f>
        <v>0</v>
      </c>
      <c r="ED122" s="160">
        <f t="shared" ref="ED122" si="440">IF(OR(ED112&lt;=$C114,ED112&gt;$C115),0,IF(AND(ED112&lt;=$C116,$C122=1,MOD(MONTH(ED112)-MONTH($C114),6)=0),1,IF(AND(MOD(MONTH(ED112)-MONTH($C114),$C121)=0,ED112&gt;=$C116),1,0)))</f>
        <v>0</v>
      </c>
      <c r="EE122" s="160">
        <f t="shared" ref="EE122" si="441">IF(OR(EE112&lt;=$C114,EE112&gt;$C115),0,IF(AND(EE112&lt;=$C116,$C122=1,MOD(MONTH(EE112)-MONTH($C114),6)=0),1,IF(AND(MOD(MONTH(EE112)-MONTH($C114),$C121)=0,EE112&gt;=$C116),1,0)))</f>
        <v>0</v>
      </c>
      <c r="EF122" s="160">
        <f t="shared" ref="EF122:EG122" si="442">IF(OR(EF112&lt;=$C114,EF112&gt;$C115),0,IF(AND(EF112&lt;=$C116,$C122=1,MOD(MONTH(EF112)-MONTH($C114),6)=0),1,IF(AND(MOD(MONTH(EF112)-MONTH($C114),$C121)=0,EF112&gt;=$C116),1,0)))</f>
        <v>0</v>
      </c>
      <c r="EG122" s="160">
        <f t="shared" si="442"/>
        <v>0</v>
      </c>
      <c r="EH122" s="160">
        <f t="shared" ref="EH122" si="443">IF(OR(EH112&lt;=$C114,EH112&gt;$C115),0,IF(AND(EH112&lt;=$C116,$C122=1,MOD(MONTH(EH112)-MONTH($C114),6)=0),1,IF(AND(MOD(MONTH(EH112)-MONTH($C114),$C121)=0,EH112&gt;=$C116),1,0)))</f>
        <v>0</v>
      </c>
      <c r="EI122" s="160">
        <f t="shared" ref="EI122" si="444">IF(OR(EI112&lt;=$C114,EI112&gt;$C115),0,IF(AND(EI112&lt;=$C116,$C122=1,MOD(MONTH(EI112)-MONTH($C114),6)=0),1,IF(AND(MOD(MONTH(EI112)-MONTH($C114),$C121)=0,EI112&gt;=$C116),1,0)))</f>
        <v>0</v>
      </c>
      <c r="EJ122" s="160">
        <f t="shared" ref="EJ122" si="445">IF(OR(EJ112&lt;=$C114,EJ112&gt;$C115),0,IF(AND(EJ112&lt;=$C116,$C122=1,MOD(MONTH(EJ112)-MONTH($C114),6)=0),1,IF(AND(MOD(MONTH(EJ112)-MONTH($C114),$C121)=0,EJ112&gt;=$C116),1,0)))</f>
        <v>0</v>
      </c>
      <c r="EK122" s="160">
        <f t="shared" ref="EK122" si="446">IF(OR(EK112&lt;=$C114,EK112&gt;$C115),0,IF(AND(EK112&lt;=$C116,$C122=1,MOD(MONTH(EK112)-MONTH($C114),6)=0),1,IF(AND(MOD(MONTH(EK112)-MONTH($C114),$C121)=0,EK112&gt;=$C116),1,0)))</f>
        <v>0</v>
      </c>
      <c r="EL122" s="160">
        <f t="shared" ref="EL122" si="447">IF(OR(EL112&lt;=$C114,EL112&gt;$C115),0,IF(AND(EL112&lt;=$C116,$C122=1,MOD(MONTH(EL112)-MONTH($C114),6)=0),1,IF(AND(MOD(MONTH(EL112)-MONTH($C114),$C121)=0,EL112&gt;=$C116),1,0)))</f>
        <v>0</v>
      </c>
      <c r="EM122" s="160">
        <f t="shared" ref="EM122" si="448">IF(OR(EM112&lt;=$C114,EM112&gt;$C115),0,IF(AND(EM112&lt;=$C116,$C122=1,MOD(MONTH(EM112)-MONTH($C114),6)=0),1,IF(AND(MOD(MONTH(EM112)-MONTH($C114),$C121)=0,EM112&gt;=$C116),1,0)))</f>
        <v>0</v>
      </c>
      <c r="EN122" s="160">
        <f t="shared" ref="EN122" si="449">IF(OR(EN112&lt;=$C114,EN112&gt;$C115),0,IF(AND(EN112&lt;=$C116,$C122=1,MOD(MONTH(EN112)-MONTH($C114),6)=0),1,IF(AND(MOD(MONTH(EN112)-MONTH($C114),$C121)=0,EN112&gt;=$C116),1,0)))</f>
        <v>0</v>
      </c>
      <c r="EO122" s="160">
        <f t="shared" ref="EO122" si="450">IF(OR(EO112&lt;=$C114,EO112&gt;$C115),0,IF(AND(EO112&lt;=$C116,$C122=1,MOD(MONTH(EO112)-MONTH($C114),6)=0),1,IF(AND(MOD(MONTH(EO112)-MONTH($C114),$C121)=0,EO112&gt;=$C116),1,0)))</f>
        <v>0</v>
      </c>
      <c r="EP122" s="160">
        <f t="shared" ref="EP122" si="451">IF(OR(EP112&lt;=$C114,EP112&gt;$C115),0,IF(AND(EP112&lt;=$C116,$C122=1,MOD(MONTH(EP112)-MONTH($C114),6)=0),1,IF(AND(MOD(MONTH(EP112)-MONTH($C114),$C121)=0,EP112&gt;=$C116),1,0)))</f>
        <v>0</v>
      </c>
      <c r="EQ122" s="160">
        <f t="shared" ref="EQ122:ER122" si="452">IF(OR(EQ112&lt;=$C114,EQ112&gt;$C115),0,IF(AND(EQ112&lt;=$C116,$C122=1,MOD(MONTH(EQ112)-MONTH($C114),6)=0),1,IF(AND(MOD(MONTH(EQ112)-MONTH($C114),$C121)=0,EQ112&gt;=$C116),1,0)))</f>
        <v>0</v>
      </c>
      <c r="ER122" s="160">
        <f t="shared" si="452"/>
        <v>0</v>
      </c>
      <c r="ES122" s="160">
        <f t="shared" ref="ES122" si="453">IF(OR(ES112&lt;=$C114,ES112&gt;$C115),0,IF(AND(ES112&lt;=$C116,$C122=1,MOD(MONTH(ES112)-MONTH($C114),6)=0),1,IF(AND(MOD(MONTH(ES112)-MONTH($C114),$C121)=0,ES112&gt;=$C116),1,0)))</f>
        <v>0</v>
      </c>
      <c r="ET122" s="160">
        <f t="shared" ref="ET122" si="454">IF(OR(ET112&lt;=$C114,ET112&gt;$C115),0,IF(AND(ET112&lt;=$C116,$C122=1,MOD(MONTH(ET112)-MONTH($C114),6)=0),1,IF(AND(MOD(MONTH(ET112)-MONTH($C114),$C121)=0,ET112&gt;=$C116),1,0)))</f>
        <v>0</v>
      </c>
      <c r="EU122" s="160">
        <f t="shared" ref="EU122" si="455">IF(OR(EU112&lt;=$C114,EU112&gt;$C115),0,IF(AND(EU112&lt;=$C116,$C122=1,MOD(MONTH(EU112)-MONTH($C114),6)=0),1,IF(AND(MOD(MONTH(EU112)-MONTH($C114),$C121)=0,EU112&gt;=$C116),1,0)))</f>
        <v>0</v>
      </c>
      <c r="EV122" s="160">
        <f t="shared" ref="EV122" si="456">IF(OR(EV112&lt;=$C114,EV112&gt;$C115),0,IF(AND(EV112&lt;=$C116,$C122=1,MOD(MONTH(EV112)-MONTH($C114),6)=0),1,IF(AND(MOD(MONTH(EV112)-MONTH($C114),$C121)=0,EV112&gt;=$C116),1,0)))</f>
        <v>0</v>
      </c>
      <c r="EW122" s="160">
        <f t="shared" ref="EW122" si="457">IF(OR(EW112&lt;=$C114,EW112&gt;$C115),0,IF(AND(EW112&lt;=$C116,$C122=1,MOD(MONTH(EW112)-MONTH($C114),6)=0),1,IF(AND(MOD(MONTH(EW112)-MONTH($C114),$C121)=0,EW112&gt;=$C116),1,0)))</f>
        <v>0</v>
      </c>
      <c r="EX122" s="160">
        <f t="shared" ref="EX122" si="458">IF(OR(EX112&lt;=$C114,EX112&gt;$C115),0,IF(AND(EX112&lt;=$C116,$C122=1,MOD(MONTH(EX112)-MONTH($C114),6)=0),1,IF(AND(MOD(MONTH(EX112)-MONTH($C114),$C121)=0,EX112&gt;=$C116),1,0)))</f>
        <v>0</v>
      </c>
      <c r="EY122" s="160">
        <f t="shared" ref="EY122" si="459">IF(OR(EY112&lt;=$C114,EY112&gt;$C115),0,IF(AND(EY112&lt;=$C116,$C122=1,MOD(MONTH(EY112)-MONTH($C114),6)=0),1,IF(AND(MOD(MONTH(EY112)-MONTH($C114),$C121)=0,EY112&gt;=$C116),1,0)))</f>
        <v>0</v>
      </c>
      <c r="EZ122" s="160">
        <f t="shared" ref="EZ122" si="460">IF(OR(EZ112&lt;=$C114,EZ112&gt;$C115),0,IF(AND(EZ112&lt;=$C116,$C122=1,MOD(MONTH(EZ112)-MONTH($C114),6)=0),1,IF(AND(MOD(MONTH(EZ112)-MONTH($C114),$C121)=0,EZ112&gt;=$C116),1,0)))</f>
        <v>0</v>
      </c>
      <c r="FA122" s="160">
        <f t="shared" ref="FA122" si="461">IF(OR(FA112&lt;=$C114,FA112&gt;$C115),0,IF(AND(FA112&lt;=$C116,$C122=1,MOD(MONTH(FA112)-MONTH($C114),6)=0),1,IF(AND(MOD(MONTH(FA112)-MONTH($C114),$C121)=0,FA112&gt;=$C116),1,0)))</f>
        <v>0</v>
      </c>
      <c r="FB122" s="160">
        <f t="shared" ref="FB122:FC122" si="462">IF(OR(FB112&lt;=$C114,FB112&gt;$C115),0,IF(AND(FB112&lt;=$C116,$C122=1,MOD(MONTH(FB112)-MONTH($C114),6)=0),1,IF(AND(MOD(MONTH(FB112)-MONTH($C114),$C121)=0,FB112&gt;=$C116),1,0)))</f>
        <v>0</v>
      </c>
      <c r="FC122" s="160">
        <f t="shared" si="462"/>
        <v>0</v>
      </c>
      <c r="FD122" s="160">
        <f t="shared" ref="FD122" si="463">IF(OR(FD112&lt;=$C114,FD112&gt;$C115),0,IF(AND(FD112&lt;=$C116,$C122=1,MOD(MONTH(FD112)-MONTH($C114),6)=0),1,IF(AND(MOD(MONTH(FD112)-MONTH($C114),$C121)=0,FD112&gt;=$C116),1,0)))</f>
        <v>0</v>
      </c>
      <c r="FE122" s="160">
        <f t="shared" ref="FE122" si="464">IF(OR(FE112&lt;=$C114,FE112&gt;$C115),0,IF(AND(FE112&lt;=$C116,$C122=1,MOD(MONTH(FE112)-MONTH($C114),6)=0),1,IF(AND(MOD(MONTH(FE112)-MONTH($C114),$C121)=0,FE112&gt;=$C116),1,0)))</f>
        <v>0</v>
      </c>
      <c r="FF122" s="160">
        <f t="shared" ref="FF122" si="465">IF(OR(FF112&lt;=$C114,FF112&gt;$C115),0,IF(AND(FF112&lt;=$C116,$C122=1,MOD(MONTH(FF112)-MONTH($C114),6)=0),1,IF(AND(MOD(MONTH(FF112)-MONTH($C114),$C121)=0,FF112&gt;=$C116),1,0)))</f>
        <v>0</v>
      </c>
      <c r="FG122" s="160">
        <f t="shared" ref="FG122" si="466">IF(OR(FG112&lt;=$C114,FG112&gt;$C115),0,IF(AND(FG112&lt;=$C116,$C122=1,MOD(MONTH(FG112)-MONTH($C114),6)=0),1,IF(AND(MOD(MONTH(FG112)-MONTH($C114),$C121)=0,FG112&gt;=$C116),1,0)))</f>
        <v>0</v>
      </c>
      <c r="FH122" s="160">
        <f t="shared" ref="FH122" si="467">IF(OR(FH112&lt;=$C114,FH112&gt;$C115),0,IF(AND(FH112&lt;=$C116,$C122=1,MOD(MONTH(FH112)-MONTH($C114),6)=0),1,IF(AND(MOD(MONTH(FH112)-MONTH($C114),$C121)=0,FH112&gt;=$C116),1,0)))</f>
        <v>0</v>
      </c>
      <c r="FI122" s="160">
        <f t="shared" ref="FI122" si="468">IF(OR(FI112&lt;=$C114,FI112&gt;$C115),0,IF(AND(FI112&lt;=$C116,$C122=1,MOD(MONTH(FI112)-MONTH($C114),6)=0),1,IF(AND(MOD(MONTH(FI112)-MONTH($C114),$C121)=0,FI112&gt;=$C116),1,0)))</f>
        <v>0</v>
      </c>
      <c r="FJ122" s="160">
        <f t="shared" ref="FJ122" si="469">IF(OR(FJ112&lt;=$C114,FJ112&gt;$C115),0,IF(AND(FJ112&lt;=$C116,$C122=1,MOD(MONTH(FJ112)-MONTH($C114),6)=0),1,IF(AND(MOD(MONTH(FJ112)-MONTH($C114),$C121)=0,FJ112&gt;=$C116),1,0)))</f>
        <v>0</v>
      </c>
      <c r="FK122" s="160">
        <f t="shared" ref="FK122" si="470">IF(OR(FK112&lt;=$C114,FK112&gt;$C115),0,IF(AND(FK112&lt;=$C116,$C122=1,MOD(MONTH(FK112)-MONTH($C114),6)=0),1,IF(AND(MOD(MONTH(FK112)-MONTH($C114),$C121)=0,FK112&gt;=$C116),1,0)))</f>
        <v>0</v>
      </c>
      <c r="FL122" s="160">
        <f t="shared" ref="FL122" si="471">IF(OR(FL112&lt;=$C114,FL112&gt;$C115),0,IF(AND(FL112&lt;=$C116,$C122=1,MOD(MONTH(FL112)-MONTH($C114),6)=0),1,IF(AND(MOD(MONTH(FL112)-MONTH($C114),$C121)=0,FL112&gt;=$C116),1,0)))</f>
        <v>0</v>
      </c>
      <c r="FM122" s="160">
        <f t="shared" ref="FM122:FN122" si="472">IF(OR(FM112&lt;=$C114,FM112&gt;$C115),0,IF(AND(FM112&lt;=$C116,$C122=1,MOD(MONTH(FM112)-MONTH($C114),6)=0),1,IF(AND(MOD(MONTH(FM112)-MONTH($C114),$C121)=0,FM112&gt;=$C116),1,0)))</f>
        <v>0</v>
      </c>
      <c r="FN122" s="160">
        <f t="shared" si="472"/>
        <v>0</v>
      </c>
      <c r="FO122" s="160">
        <f t="shared" ref="FO122" si="473">IF(OR(FO112&lt;=$C114,FO112&gt;$C115),0,IF(AND(FO112&lt;=$C116,$C122=1,MOD(MONTH(FO112)-MONTH($C114),6)=0),1,IF(AND(MOD(MONTH(FO112)-MONTH($C114),$C121)=0,FO112&gt;=$C116),1,0)))</f>
        <v>0</v>
      </c>
      <c r="FP122" s="160">
        <f t="shared" ref="FP122" si="474">IF(OR(FP112&lt;=$C114,FP112&gt;$C115),0,IF(AND(FP112&lt;=$C116,$C122=1,MOD(MONTH(FP112)-MONTH($C114),6)=0),1,IF(AND(MOD(MONTH(FP112)-MONTH($C114),$C121)=0,FP112&gt;=$C116),1,0)))</f>
        <v>0</v>
      </c>
      <c r="FQ122" s="160">
        <f t="shared" ref="FQ122" si="475">IF(OR(FQ112&lt;=$C114,FQ112&gt;$C115),0,IF(AND(FQ112&lt;=$C116,$C122=1,MOD(MONTH(FQ112)-MONTH($C114),6)=0),1,IF(AND(MOD(MONTH(FQ112)-MONTH($C114),$C121)=0,FQ112&gt;=$C116),1,0)))</f>
        <v>0</v>
      </c>
      <c r="FR122" s="160">
        <f t="shared" ref="FR122" si="476">IF(OR(FR112&lt;=$C114,FR112&gt;$C115),0,IF(AND(FR112&lt;=$C116,$C122=1,MOD(MONTH(FR112)-MONTH($C114),6)=0),1,IF(AND(MOD(MONTH(FR112)-MONTH($C114),$C121)=0,FR112&gt;=$C116),1,0)))</f>
        <v>0</v>
      </c>
      <c r="FS122" s="160">
        <f t="shared" ref="FS122" si="477">IF(OR(FS112&lt;=$C114,FS112&gt;$C115),0,IF(AND(FS112&lt;=$C116,$C122=1,MOD(MONTH(FS112)-MONTH($C114),6)=0),1,IF(AND(MOD(MONTH(FS112)-MONTH($C114),$C121)=0,FS112&gt;=$C116),1,0)))</f>
        <v>0</v>
      </c>
      <c r="FT122" s="160">
        <f t="shared" ref="FT122" si="478">IF(OR(FT112&lt;=$C114,FT112&gt;$C115),0,IF(AND(FT112&lt;=$C116,$C122=1,MOD(MONTH(FT112)-MONTH($C114),6)=0),1,IF(AND(MOD(MONTH(FT112)-MONTH($C114),$C121)=0,FT112&gt;=$C116),1,0)))</f>
        <v>0</v>
      </c>
      <c r="FU122" s="160">
        <f t="shared" ref="FU122" si="479">IF(OR(FU112&lt;=$C114,FU112&gt;$C115),0,IF(AND(FU112&lt;=$C116,$C122=1,MOD(MONTH(FU112)-MONTH($C114),6)=0),1,IF(AND(MOD(MONTH(FU112)-MONTH($C114),$C121)=0,FU112&gt;=$C116),1,0)))</f>
        <v>0</v>
      </c>
      <c r="FV122" s="160">
        <f t="shared" ref="FV122" si="480">IF(OR(FV112&lt;=$C114,FV112&gt;$C115),0,IF(AND(FV112&lt;=$C116,$C122=1,MOD(MONTH(FV112)-MONTH($C114),6)=0),1,IF(AND(MOD(MONTH(FV112)-MONTH($C114),$C121)=0,FV112&gt;=$C116),1,0)))</f>
        <v>0</v>
      </c>
      <c r="FW122" s="160">
        <f t="shared" ref="FW122" si="481">IF(OR(FW112&lt;=$C114,FW112&gt;$C115),0,IF(AND(FW112&lt;=$C116,$C122=1,MOD(MONTH(FW112)-MONTH($C114),6)=0),1,IF(AND(MOD(MONTH(FW112)-MONTH($C114),$C121)=0,FW112&gt;=$C116),1,0)))</f>
        <v>0</v>
      </c>
      <c r="FX122" s="160">
        <f t="shared" ref="FX122:FY122" si="482">IF(OR(FX112&lt;=$C114,FX112&gt;$C115),0,IF(AND(FX112&lt;=$C116,$C122=1,MOD(MONTH(FX112)-MONTH($C114),6)=0),1,IF(AND(MOD(MONTH(FX112)-MONTH($C114),$C121)=0,FX112&gt;=$C116),1,0)))</f>
        <v>0</v>
      </c>
      <c r="FY122" s="160">
        <f t="shared" si="482"/>
        <v>0</v>
      </c>
      <c r="FZ122" s="160">
        <f t="shared" ref="FZ122" si="483">IF(OR(FZ112&lt;=$C114,FZ112&gt;$C115),0,IF(AND(FZ112&lt;=$C116,$C122=1,MOD(MONTH(FZ112)-MONTH($C114),6)=0),1,IF(AND(MOD(MONTH(FZ112)-MONTH($C114),$C121)=0,FZ112&gt;=$C116),1,0)))</f>
        <v>0</v>
      </c>
      <c r="GA122" s="160">
        <f t="shared" ref="GA122" si="484">IF(OR(GA112&lt;=$C114,GA112&gt;$C115),0,IF(AND(GA112&lt;=$C116,$C122=1,MOD(MONTH(GA112)-MONTH($C114),6)=0),1,IF(AND(MOD(MONTH(GA112)-MONTH($C114),$C121)=0,GA112&gt;=$C116),1,0)))</f>
        <v>0</v>
      </c>
      <c r="GB122" s="160">
        <f t="shared" ref="GB122" si="485">IF(OR(GB112&lt;=$C114,GB112&gt;$C115),0,IF(AND(GB112&lt;=$C116,$C122=1,MOD(MONTH(GB112)-MONTH($C114),6)=0),1,IF(AND(MOD(MONTH(GB112)-MONTH($C114),$C121)=0,GB112&gt;=$C116),1,0)))</f>
        <v>0</v>
      </c>
      <c r="GC122" s="160">
        <f t="shared" ref="GC122" si="486">IF(OR(GC112&lt;=$C114,GC112&gt;$C115),0,IF(AND(GC112&lt;=$C116,$C122=1,MOD(MONTH(GC112)-MONTH($C114),6)=0),1,IF(AND(MOD(MONTH(GC112)-MONTH($C114),$C121)=0,GC112&gt;=$C116),1,0)))</f>
        <v>0</v>
      </c>
      <c r="GD122" s="160">
        <f t="shared" ref="GD122" si="487">IF(OR(GD112&lt;=$C114,GD112&gt;$C115),0,IF(AND(GD112&lt;=$C116,$C122=1,MOD(MONTH(GD112)-MONTH($C114),6)=0),1,IF(AND(MOD(MONTH(GD112)-MONTH($C114),$C121)=0,GD112&gt;=$C116),1,0)))</f>
        <v>0</v>
      </c>
      <c r="GE122" s="160">
        <f t="shared" ref="GE122" si="488">IF(OR(GE112&lt;=$C114,GE112&gt;$C115),0,IF(AND(GE112&lt;=$C116,$C122=1,MOD(MONTH(GE112)-MONTH($C114),6)=0),1,IF(AND(MOD(MONTH(GE112)-MONTH($C114),$C121)=0,GE112&gt;=$C116),1,0)))</f>
        <v>0</v>
      </c>
      <c r="GF122" s="160">
        <f t="shared" ref="GF122" si="489">IF(OR(GF112&lt;=$C114,GF112&gt;$C115),0,IF(AND(GF112&lt;=$C116,$C122=1,MOD(MONTH(GF112)-MONTH($C114),6)=0),1,IF(AND(MOD(MONTH(GF112)-MONTH($C114),$C121)=0,GF112&gt;=$C116),1,0)))</f>
        <v>0</v>
      </c>
      <c r="GG122" s="160">
        <f t="shared" ref="GG122" si="490">IF(OR(GG112&lt;=$C114,GG112&gt;$C115),0,IF(AND(GG112&lt;=$C116,$C122=1,MOD(MONTH(GG112)-MONTH($C114),6)=0),1,IF(AND(MOD(MONTH(GG112)-MONTH($C114),$C121)=0,GG112&gt;=$C116),1,0)))</f>
        <v>0</v>
      </c>
      <c r="GH122" s="160">
        <f t="shared" ref="GH122" si="491">IF(OR(GH112&lt;=$C114,GH112&gt;$C115),0,IF(AND(GH112&lt;=$C116,$C122=1,MOD(MONTH(GH112)-MONTH($C114),6)=0),1,IF(AND(MOD(MONTH(GH112)-MONTH($C114),$C121)=0,GH112&gt;=$C116),1,0)))</f>
        <v>0</v>
      </c>
      <c r="GI122" s="160">
        <f t="shared" ref="GI122:GJ122" si="492">IF(OR(GI112&lt;=$C114,GI112&gt;$C115),0,IF(AND(GI112&lt;=$C116,$C122=1,MOD(MONTH(GI112)-MONTH($C114),6)=0),1,IF(AND(MOD(MONTH(GI112)-MONTH($C114),$C121)=0,GI112&gt;=$C116),1,0)))</f>
        <v>0</v>
      </c>
      <c r="GJ122" s="160">
        <f t="shared" si="492"/>
        <v>0</v>
      </c>
      <c r="GK122" s="160">
        <f t="shared" ref="GK122" si="493">IF(OR(GK112&lt;=$C114,GK112&gt;$C115),0,IF(AND(GK112&lt;=$C116,$C122=1,MOD(MONTH(GK112)-MONTH($C114),6)=0),1,IF(AND(MOD(MONTH(GK112)-MONTH($C114),$C121)=0,GK112&gt;=$C116),1,0)))</f>
        <v>0</v>
      </c>
      <c r="GL122" s="160">
        <f t="shared" ref="GL122" si="494">IF(OR(GL112&lt;=$C114,GL112&gt;$C115),0,IF(AND(GL112&lt;=$C116,$C122=1,MOD(MONTH(GL112)-MONTH($C114),6)=0),1,IF(AND(MOD(MONTH(GL112)-MONTH($C114),$C121)=0,GL112&gt;=$C116),1,0)))</f>
        <v>0</v>
      </c>
      <c r="GM122" s="160">
        <f t="shared" ref="GM122" si="495">IF(OR(GM112&lt;=$C114,GM112&gt;$C115),0,IF(AND(GM112&lt;=$C116,$C122=1,MOD(MONTH(GM112)-MONTH($C114),6)=0),1,IF(AND(MOD(MONTH(GM112)-MONTH($C114),$C121)=0,GM112&gt;=$C116),1,0)))</f>
        <v>0</v>
      </c>
      <c r="GN122" s="160">
        <f t="shared" ref="GN122" si="496">IF(OR(GN112&lt;=$C114,GN112&gt;$C115),0,IF(AND(GN112&lt;=$C116,$C122=1,MOD(MONTH(GN112)-MONTH($C114),6)=0),1,IF(AND(MOD(MONTH(GN112)-MONTH($C114),$C121)=0,GN112&gt;=$C116),1,0)))</f>
        <v>0</v>
      </c>
      <c r="GO122" s="160">
        <f t="shared" ref="GO122" si="497">IF(OR(GO112&lt;=$C114,GO112&gt;$C115),0,IF(AND(GO112&lt;=$C116,$C122=1,MOD(MONTH(GO112)-MONTH($C114),6)=0),1,IF(AND(MOD(MONTH(GO112)-MONTH($C114),$C121)=0,GO112&gt;=$C116),1,0)))</f>
        <v>0</v>
      </c>
      <c r="GP122" s="160">
        <f t="shared" ref="GP122" si="498">IF(OR(GP112&lt;=$C114,GP112&gt;$C115),0,IF(AND(GP112&lt;=$C116,$C122=1,MOD(MONTH(GP112)-MONTH($C114),6)=0),1,IF(AND(MOD(MONTH(GP112)-MONTH($C114),$C121)=0,GP112&gt;=$C116),1,0)))</f>
        <v>0</v>
      </c>
      <c r="GQ122" s="160">
        <f t="shared" ref="GQ122" si="499">IF(OR(GQ112&lt;=$C114,GQ112&gt;$C115),0,IF(AND(GQ112&lt;=$C116,$C122=1,MOD(MONTH(GQ112)-MONTH($C114),6)=0),1,IF(AND(MOD(MONTH(GQ112)-MONTH($C114),$C121)=0,GQ112&gt;=$C116),1,0)))</f>
        <v>0</v>
      </c>
    </row>
    <row r="123" spans="2:199" outlineLevel="1">
      <c r="B123" s="182" t="s">
        <v>412</v>
      </c>
      <c r="C123" s="131">
        <v>0</v>
      </c>
      <c r="D123" s="182" t="s">
        <v>405</v>
      </c>
      <c r="E123" s="160">
        <f>IF(E117&lt;&gt;"",1,0)</f>
        <v>0</v>
      </c>
      <c r="F123" s="160">
        <f t="shared" ref="F123:BQ123" si="500">IF(F117&lt;&gt;"",1,0)</f>
        <v>0</v>
      </c>
      <c r="G123" s="160">
        <f t="shared" si="500"/>
        <v>0</v>
      </c>
      <c r="H123" s="160">
        <f t="shared" si="500"/>
        <v>0</v>
      </c>
      <c r="I123" s="160">
        <f t="shared" si="500"/>
        <v>0</v>
      </c>
      <c r="J123" s="160">
        <f t="shared" si="500"/>
        <v>0</v>
      </c>
      <c r="K123" s="160">
        <f t="shared" si="500"/>
        <v>0</v>
      </c>
      <c r="L123" s="160">
        <f t="shared" si="500"/>
        <v>0</v>
      </c>
      <c r="M123" s="160">
        <f t="shared" si="500"/>
        <v>0</v>
      </c>
      <c r="N123" s="160">
        <f t="shared" si="500"/>
        <v>0</v>
      </c>
      <c r="O123" s="160">
        <f t="shared" si="500"/>
        <v>0</v>
      </c>
      <c r="P123" s="160">
        <f t="shared" si="500"/>
        <v>0</v>
      </c>
      <c r="Q123" s="160">
        <f t="shared" si="500"/>
        <v>0</v>
      </c>
      <c r="R123" s="160">
        <f t="shared" si="500"/>
        <v>0</v>
      </c>
      <c r="S123" s="160">
        <f t="shared" si="500"/>
        <v>0</v>
      </c>
      <c r="T123" s="160">
        <f t="shared" si="500"/>
        <v>0</v>
      </c>
      <c r="U123" s="160">
        <f t="shared" si="500"/>
        <v>0</v>
      </c>
      <c r="V123" s="160">
        <f t="shared" si="500"/>
        <v>0</v>
      </c>
      <c r="W123" s="160">
        <f t="shared" si="500"/>
        <v>0</v>
      </c>
      <c r="X123" s="160">
        <f t="shared" si="500"/>
        <v>0</v>
      </c>
      <c r="Y123" s="160">
        <f t="shared" si="500"/>
        <v>0</v>
      </c>
      <c r="Z123" s="160">
        <f t="shared" si="500"/>
        <v>0</v>
      </c>
      <c r="AA123" s="160">
        <f t="shared" si="500"/>
        <v>0</v>
      </c>
      <c r="AB123" s="160">
        <f t="shared" si="500"/>
        <v>0</v>
      </c>
      <c r="AC123" s="160">
        <f t="shared" si="500"/>
        <v>0</v>
      </c>
      <c r="AD123" s="160">
        <f t="shared" si="500"/>
        <v>0</v>
      </c>
      <c r="AE123" s="160">
        <f t="shared" si="500"/>
        <v>0</v>
      </c>
      <c r="AF123" s="160">
        <f t="shared" si="500"/>
        <v>0</v>
      </c>
      <c r="AG123" s="160">
        <f t="shared" si="500"/>
        <v>0</v>
      </c>
      <c r="AH123" s="160">
        <f t="shared" si="500"/>
        <v>0</v>
      </c>
      <c r="AI123" s="160">
        <f t="shared" si="500"/>
        <v>0</v>
      </c>
      <c r="AJ123" s="160">
        <f t="shared" si="500"/>
        <v>0</v>
      </c>
      <c r="AK123" s="160">
        <f t="shared" si="500"/>
        <v>0</v>
      </c>
      <c r="AL123" s="160">
        <f t="shared" si="500"/>
        <v>0</v>
      </c>
      <c r="AM123" s="160">
        <f t="shared" si="500"/>
        <v>0</v>
      </c>
      <c r="AN123" s="160">
        <f t="shared" si="500"/>
        <v>0</v>
      </c>
      <c r="AO123" s="160">
        <f t="shared" si="500"/>
        <v>0</v>
      </c>
      <c r="AP123" s="160">
        <f t="shared" si="500"/>
        <v>0</v>
      </c>
      <c r="AQ123" s="160">
        <f t="shared" si="500"/>
        <v>0</v>
      </c>
      <c r="AR123" s="160">
        <f t="shared" si="500"/>
        <v>0</v>
      </c>
      <c r="AS123" s="160">
        <f t="shared" si="500"/>
        <v>0</v>
      </c>
      <c r="AT123" s="160">
        <f t="shared" si="500"/>
        <v>0</v>
      </c>
      <c r="AU123" s="160">
        <f t="shared" si="500"/>
        <v>0</v>
      </c>
      <c r="AV123" s="160">
        <f t="shared" si="500"/>
        <v>0</v>
      </c>
      <c r="AW123" s="160">
        <f t="shared" si="500"/>
        <v>0</v>
      </c>
      <c r="AX123" s="160">
        <f t="shared" si="500"/>
        <v>0</v>
      </c>
      <c r="AY123" s="160">
        <f t="shared" si="500"/>
        <v>0</v>
      </c>
      <c r="AZ123" s="160">
        <f t="shared" si="500"/>
        <v>0</v>
      </c>
      <c r="BA123" s="160">
        <f t="shared" si="500"/>
        <v>1</v>
      </c>
      <c r="BB123" s="160">
        <f t="shared" si="500"/>
        <v>0</v>
      </c>
      <c r="BC123" s="160">
        <f t="shared" si="500"/>
        <v>0</v>
      </c>
      <c r="BD123" s="160">
        <f t="shared" si="500"/>
        <v>0</v>
      </c>
      <c r="BE123" s="160">
        <f t="shared" si="500"/>
        <v>0</v>
      </c>
      <c r="BF123" s="160">
        <f t="shared" si="500"/>
        <v>0</v>
      </c>
      <c r="BG123" s="160">
        <f t="shared" si="500"/>
        <v>0</v>
      </c>
      <c r="BH123" s="160">
        <f t="shared" si="500"/>
        <v>0</v>
      </c>
      <c r="BI123" s="160">
        <f t="shared" si="500"/>
        <v>0</v>
      </c>
      <c r="BJ123" s="160">
        <f t="shared" si="500"/>
        <v>0</v>
      </c>
      <c r="BK123" s="160">
        <f t="shared" si="500"/>
        <v>0</v>
      </c>
      <c r="BL123" s="160">
        <f t="shared" si="500"/>
        <v>0</v>
      </c>
      <c r="BM123" s="160">
        <f t="shared" si="500"/>
        <v>1</v>
      </c>
      <c r="BN123" s="160">
        <f t="shared" si="500"/>
        <v>0</v>
      </c>
      <c r="BO123" s="160">
        <f t="shared" si="500"/>
        <v>0</v>
      </c>
      <c r="BP123" s="160">
        <f t="shared" si="500"/>
        <v>0</v>
      </c>
      <c r="BQ123" s="160">
        <f t="shared" si="500"/>
        <v>0</v>
      </c>
      <c r="BR123" s="160">
        <f t="shared" ref="BR123:EC123" si="501">IF(BR117&lt;&gt;"",1,0)</f>
        <v>0</v>
      </c>
      <c r="BS123" s="160">
        <f t="shared" si="501"/>
        <v>0</v>
      </c>
      <c r="BT123" s="160">
        <f t="shared" si="501"/>
        <v>0</v>
      </c>
      <c r="BU123" s="160">
        <f t="shared" si="501"/>
        <v>0</v>
      </c>
      <c r="BV123" s="160">
        <f t="shared" si="501"/>
        <v>0</v>
      </c>
      <c r="BW123" s="160">
        <f t="shared" si="501"/>
        <v>0</v>
      </c>
      <c r="BX123" s="160">
        <f t="shared" si="501"/>
        <v>0</v>
      </c>
      <c r="BY123" s="160">
        <f t="shared" si="501"/>
        <v>0</v>
      </c>
      <c r="BZ123" s="160">
        <f t="shared" si="501"/>
        <v>0</v>
      </c>
      <c r="CA123" s="160">
        <f t="shared" si="501"/>
        <v>0</v>
      </c>
      <c r="CB123" s="160">
        <f t="shared" si="501"/>
        <v>0</v>
      </c>
      <c r="CC123" s="160">
        <f t="shared" si="501"/>
        <v>0</v>
      </c>
      <c r="CD123" s="160">
        <f t="shared" si="501"/>
        <v>0</v>
      </c>
      <c r="CE123" s="160">
        <f t="shared" si="501"/>
        <v>0</v>
      </c>
      <c r="CF123" s="160">
        <f t="shared" si="501"/>
        <v>0</v>
      </c>
      <c r="CG123" s="160">
        <f t="shared" si="501"/>
        <v>0</v>
      </c>
      <c r="CH123" s="160">
        <f t="shared" si="501"/>
        <v>0</v>
      </c>
      <c r="CI123" s="160">
        <f t="shared" si="501"/>
        <v>0</v>
      </c>
      <c r="CJ123" s="160">
        <f t="shared" si="501"/>
        <v>0</v>
      </c>
      <c r="CK123" s="160">
        <f t="shared" si="501"/>
        <v>0</v>
      </c>
      <c r="CL123" s="160">
        <f t="shared" si="501"/>
        <v>0</v>
      </c>
      <c r="CM123" s="160">
        <f t="shared" si="501"/>
        <v>0</v>
      </c>
      <c r="CN123" s="160">
        <f t="shared" si="501"/>
        <v>0</v>
      </c>
      <c r="CO123" s="160">
        <f t="shared" si="501"/>
        <v>0</v>
      </c>
      <c r="CP123" s="160">
        <f t="shared" si="501"/>
        <v>0</v>
      </c>
      <c r="CQ123" s="160">
        <f t="shared" si="501"/>
        <v>0</v>
      </c>
      <c r="CR123" s="160">
        <f t="shared" si="501"/>
        <v>0</v>
      </c>
      <c r="CS123" s="160">
        <f t="shared" si="501"/>
        <v>0</v>
      </c>
      <c r="CT123" s="160">
        <f t="shared" si="501"/>
        <v>0</v>
      </c>
      <c r="CU123" s="160">
        <f t="shared" si="501"/>
        <v>0</v>
      </c>
      <c r="CV123" s="160">
        <f t="shared" si="501"/>
        <v>0</v>
      </c>
      <c r="CW123" s="160">
        <f t="shared" si="501"/>
        <v>0</v>
      </c>
      <c r="CX123" s="160">
        <f t="shared" si="501"/>
        <v>0</v>
      </c>
      <c r="CY123" s="160">
        <f t="shared" si="501"/>
        <v>0</v>
      </c>
      <c r="CZ123" s="160">
        <f t="shared" si="501"/>
        <v>0</v>
      </c>
      <c r="DA123" s="160">
        <f t="shared" si="501"/>
        <v>0</v>
      </c>
      <c r="DB123" s="160">
        <f t="shared" si="501"/>
        <v>0</v>
      </c>
      <c r="DC123" s="160">
        <f t="shared" si="501"/>
        <v>0</v>
      </c>
      <c r="DD123" s="160">
        <f t="shared" si="501"/>
        <v>0</v>
      </c>
      <c r="DE123" s="160">
        <f t="shared" si="501"/>
        <v>0</v>
      </c>
      <c r="DF123" s="160">
        <f t="shared" si="501"/>
        <v>0</v>
      </c>
      <c r="DG123" s="160">
        <f t="shared" si="501"/>
        <v>0</v>
      </c>
      <c r="DH123" s="160">
        <f t="shared" si="501"/>
        <v>0</v>
      </c>
      <c r="DI123" s="160">
        <f t="shared" si="501"/>
        <v>0</v>
      </c>
      <c r="DJ123" s="160">
        <f t="shared" si="501"/>
        <v>0</v>
      </c>
      <c r="DK123" s="160">
        <f t="shared" si="501"/>
        <v>0</v>
      </c>
      <c r="DL123" s="160">
        <f t="shared" si="501"/>
        <v>0</v>
      </c>
      <c r="DM123" s="160">
        <f t="shared" si="501"/>
        <v>0</v>
      </c>
      <c r="DN123" s="160">
        <f t="shared" si="501"/>
        <v>0</v>
      </c>
      <c r="DO123" s="160">
        <f t="shared" si="501"/>
        <v>0</v>
      </c>
      <c r="DP123" s="160">
        <f t="shared" si="501"/>
        <v>0</v>
      </c>
      <c r="DQ123" s="160">
        <f t="shared" si="501"/>
        <v>0</v>
      </c>
      <c r="DR123" s="160">
        <f t="shared" si="501"/>
        <v>0</v>
      </c>
      <c r="DS123" s="160">
        <f t="shared" si="501"/>
        <v>0</v>
      </c>
      <c r="DT123" s="160">
        <f t="shared" si="501"/>
        <v>0</v>
      </c>
      <c r="DU123" s="160">
        <f t="shared" si="501"/>
        <v>0</v>
      </c>
      <c r="DV123" s="160">
        <f t="shared" si="501"/>
        <v>0</v>
      </c>
      <c r="DW123" s="160">
        <f t="shared" si="501"/>
        <v>0</v>
      </c>
      <c r="DX123" s="160">
        <f t="shared" si="501"/>
        <v>0</v>
      </c>
      <c r="DY123" s="160">
        <f t="shared" si="501"/>
        <v>0</v>
      </c>
      <c r="DZ123" s="160">
        <f t="shared" si="501"/>
        <v>0</v>
      </c>
      <c r="EA123" s="160">
        <f t="shared" si="501"/>
        <v>0</v>
      </c>
      <c r="EB123" s="160">
        <f t="shared" si="501"/>
        <v>0</v>
      </c>
      <c r="EC123" s="160">
        <f t="shared" si="501"/>
        <v>0</v>
      </c>
      <c r="ED123" s="160">
        <f t="shared" ref="ED123:GO123" si="502">IF(ED117&lt;&gt;"",1,0)</f>
        <v>0</v>
      </c>
      <c r="EE123" s="160">
        <f t="shared" si="502"/>
        <v>0</v>
      </c>
      <c r="EF123" s="160">
        <f t="shared" si="502"/>
        <v>0</v>
      </c>
      <c r="EG123" s="160">
        <f t="shared" si="502"/>
        <v>0</v>
      </c>
      <c r="EH123" s="160">
        <f t="shared" si="502"/>
        <v>0</v>
      </c>
      <c r="EI123" s="160">
        <f t="shared" si="502"/>
        <v>0</v>
      </c>
      <c r="EJ123" s="160">
        <f t="shared" si="502"/>
        <v>0</v>
      </c>
      <c r="EK123" s="160">
        <f t="shared" si="502"/>
        <v>0</v>
      </c>
      <c r="EL123" s="160">
        <f t="shared" si="502"/>
        <v>0</v>
      </c>
      <c r="EM123" s="160">
        <f t="shared" si="502"/>
        <v>0</v>
      </c>
      <c r="EN123" s="160">
        <f t="shared" si="502"/>
        <v>0</v>
      </c>
      <c r="EO123" s="160">
        <f t="shared" si="502"/>
        <v>0</v>
      </c>
      <c r="EP123" s="160">
        <f t="shared" si="502"/>
        <v>0</v>
      </c>
      <c r="EQ123" s="160">
        <f t="shared" si="502"/>
        <v>0</v>
      </c>
      <c r="ER123" s="160">
        <f t="shared" si="502"/>
        <v>0</v>
      </c>
      <c r="ES123" s="160">
        <f t="shared" si="502"/>
        <v>0</v>
      </c>
      <c r="ET123" s="160">
        <f t="shared" si="502"/>
        <v>0</v>
      </c>
      <c r="EU123" s="160">
        <f t="shared" si="502"/>
        <v>0</v>
      </c>
      <c r="EV123" s="160">
        <f t="shared" si="502"/>
        <v>0</v>
      </c>
      <c r="EW123" s="160">
        <f t="shared" si="502"/>
        <v>0</v>
      </c>
      <c r="EX123" s="160">
        <f t="shared" si="502"/>
        <v>0</v>
      </c>
      <c r="EY123" s="160">
        <f t="shared" si="502"/>
        <v>0</v>
      </c>
      <c r="EZ123" s="160">
        <f t="shared" si="502"/>
        <v>0</v>
      </c>
      <c r="FA123" s="160">
        <f t="shared" si="502"/>
        <v>0</v>
      </c>
      <c r="FB123" s="160">
        <f t="shared" si="502"/>
        <v>0</v>
      </c>
      <c r="FC123" s="160">
        <f t="shared" si="502"/>
        <v>0</v>
      </c>
      <c r="FD123" s="160">
        <f t="shared" si="502"/>
        <v>0</v>
      </c>
      <c r="FE123" s="160">
        <f t="shared" si="502"/>
        <v>0</v>
      </c>
      <c r="FF123" s="160">
        <f t="shared" si="502"/>
        <v>0</v>
      </c>
      <c r="FG123" s="160">
        <f t="shared" si="502"/>
        <v>0</v>
      </c>
      <c r="FH123" s="160">
        <f t="shared" si="502"/>
        <v>0</v>
      </c>
      <c r="FI123" s="160">
        <f t="shared" si="502"/>
        <v>0</v>
      </c>
      <c r="FJ123" s="160">
        <f t="shared" si="502"/>
        <v>0</v>
      </c>
      <c r="FK123" s="160">
        <f t="shared" si="502"/>
        <v>0</v>
      </c>
      <c r="FL123" s="160">
        <f t="shared" si="502"/>
        <v>0</v>
      </c>
      <c r="FM123" s="160">
        <f t="shared" si="502"/>
        <v>0</v>
      </c>
      <c r="FN123" s="160">
        <f t="shared" si="502"/>
        <v>0</v>
      </c>
      <c r="FO123" s="160">
        <f t="shared" si="502"/>
        <v>0</v>
      </c>
      <c r="FP123" s="160">
        <f t="shared" si="502"/>
        <v>0</v>
      </c>
      <c r="FQ123" s="160">
        <f t="shared" si="502"/>
        <v>0</v>
      </c>
      <c r="FR123" s="160">
        <f t="shared" si="502"/>
        <v>0</v>
      </c>
      <c r="FS123" s="160">
        <f t="shared" si="502"/>
        <v>0</v>
      </c>
      <c r="FT123" s="160">
        <f t="shared" si="502"/>
        <v>0</v>
      </c>
      <c r="FU123" s="160">
        <f t="shared" si="502"/>
        <v>0</v>
      </c>
      <c r="FV123" s="160">
        <f t="shared" si="502"/>
        <v>0</v>
      </c>
      <c r="FW123" s="160">
        <f t="shared" si="502"/>
        <v>0</v>
      </c>
      <c r="FX123" s="160">
        <f t="shared" si="502"/>
        <v>0</v>
      </c>
      <c r="FY123" s="160">
        <f t="shared" si="502"/>
        <v>0</v>
      </c>
      <c r="FZ123" s="160">
        <f t="shared" si="502"/>
        <v>0</v>
      </c>
      <c r="GA123" s="160">
        <f t="shared" si="502"/>
        <v>0</v>
      </c>
      <c r="GB123" s="160">
        <f t="shared" si="502"/>
        <v>0</v>
      </c>
      <c r="GC123" s="160">
        <f t="shared" si="502"/>
        <v>0</v>
      </c>
      <c r="GD123" s="160">
        <f t="shared" si="502"/>
        <v>0</v>
      </c>
      <c r="GE123" s="160">
        <f t="shared" si="502"/>
        <v>0</v>
      </c>
      <c r="GF123" s="160">
        <f t="shared" si="502"/>
        <v>0</v>
      </c>
      <c r="GG123" s="160">
        <f t="shared" si="502"/>
        <v>0</v>
      </c>
      <c r="GH123" s="160">
        <f t="shared" si="502"/>
        <v>0</v>
      </c>
      <c r="GI123" s="160">
        <f t="shared" si="502"/>
        <v>0</v>
      </c>
      <c r="GJ123" s="160">
        <f t="shared" si="502"/>
        <v>0</v>
      </c>
      <c r="GK123" s="160">
        <f t="shared" si="502"/>
        <v>0</v>
      </c>
      <c r="GL123" s="160">
        <f t="shared" si="502"/>
        <v>0</v>
      </c>
      <c r="GM123" s="160">
        <f t="shared" si="502"/>
        <v>0</v>
      </c>
      <c r="GN123" s="160">
        <f t="shared" si="502"/>
        <v>0</v>
      </c>
      <c r="GO123" s="160">
        <f t="shared" si="502"/>
        <v>0</v>
      </c>
      <c r="GP123" s="160">
        <f t="shared" ref="GP123:GQ123" si="503">IF(GP117&lt;&gt;"",1,0)</f>
        <v>0</v>
      </c>
      <c r="GQ123" s="160">
        <f t="shared" si="503"/>
        <v>0</v>
      </c>
    </row>
    <row r="124" spans="2:199" outlineLevel="1">
      <c r="B124" s="182" t="s">
        <v>406</v>
      </c>
      <c r="C124" s="207">
        <v>2</v>
      </c>
      <c r="D124" s="159"/>
      <c r="E124" s="159">
        <f>MAX(C124-E123,0)</f>
        <v>2</v>
      </c>
      <c r="F124" s="159">
        <f>MAX(E124-F123,0)</f>
        <v>2</v>
      </c>
      <c r="G124" s="159">
        <f t="shared" ref="G124:S124" si="504">MAX(F124-G123,0)</f>
        <v>2</v>
      </c>
      <c r="H124" s="159">
        <f t="shared" si="504"/>
        <v>2</v>
      </c>
      <c r="I124" s="159">
        <f t="shared" si="504"/>
        <v>2</v>
      </c>
      <c r="J124" s="159">
        <f t="shared" si="504"/>
        <v>2</v>
      </c>
      <c r="K124" s="159">
        <f t="shared" si="504"/>
        <v>2</v>
      </c>
      <c r="L124" s="159">
        <f t="shared" si="504"/>
        <v>2</v>
      </c>
      <c r="M124" s="159">
        <f t="shared" si="504"/>
        <v>2</v>
      </c>
      <c r="N124" s="159">
        <f t="shared" si="504"/>
        <v>2</v>
      </c>
      <c r="O124" s="159">
        <f t="shared" si="504"/>
        <v>2</v>
      </c>
      <c r="P124" s="159">
        <f t="shared" si="504"/>
        <v>2</v>
      </c>
      <c r="Q124" s="159">
        <f t="shared" si="504"/>
        <v>2</v>
      </c>
      <c r="R124" s="159">
        <f t="shared" si="504"/>
        <v>2</v>
      </c>
      <c r="S124" s="159">
        <f t="shared" si="504"/>
        <v>2</v>
      </c>
      <c r="T124" s="159">
        <f t="shared" ref="T124" si="505">MAX(S124-T123,0)</f>
        <v>2</v>
      </c>
      <c r="U124" s="159">
        <f t="shared" ref="U124" si="506">MAX(T124-U123,0)</f>
        <v>2</v>
      </c>
      <c r="V124" s="159">
        <f t="shared" ref="V124" si="507">MAX(U124-V123,0)</f>
        <v>2</v>
      </c>
      <c r="W124" s="159">
        <f t="shared" ref="W124" si="508">MAX(V124-W123,0)</f>
        <v>2</v>
      </c>
      <c r="X124" s="159">
        <f t="shared" ref="X124" si="509">MAX(W124-X123,0)</f>
        <v>2</v>
      </c>
      <c r="Y124" s="159">
        <f t="shared" ref="Y124" si="510">MAX(X124-Y123,0)</f>
        <v>2</v>
      </c>
      <c r="Z124" s="159">
        <f t="shared" ref="Z124" si="511">MAX(Y124-Z123,0)</f>
        <v>2</v>
      </c>
      <c r="AA124" s="159">
        <f t="shared" ref="AA124" si="512">MAX(Z124-AA123,0)</f>
        <v>2</v>
      </c>
      <c r="AB124" s="159">
        <f t="shared" ref="AB124" si="513">MAX(AA124-AB123,0)</f>
        <v>2</v>
      </c>
      <c r="AC124" s="159">
        <f t="shared" ref="AC124" si="514">MAX(AB124-AC123,0)</f>
        <v>2</v>
      </c>
      <c r="AD124" s="159">
        <f t="shared" ref="AD124" si="515">MAX(AC124-AD123,0)</f>
        <v>2</v>
      </c>
      <c r="AE124" s="159">
        <f t="shared" ref="AE124:AF124" si="516">MAX(AD124-AE123,0)</f>
        <v>2</v>
      </c>
      <c r="AF124" s="159">
        <f t="shared" si="516"/>
        <v>2</v>
      </c>
      <c r="AG124" s="159">
        <f t="shared" ref="AG124" si="517">MAX(AF124-AG123,0)</f>
        <v>2</v>
      </c>
      <c r="AH124" s="159">
        <f t="shared" ref="AH124" si="518">MAX(AG124-AH123,0)</f>
        <v>2</v>
      </c>
      <c r="AI124" s="159">
        <f t="shared" ref="AI124" si="519">MAX(AH124-AI123,0)</f>
        <v>2</v>
      </c>
      <c r="AJ124" s="159">
        <f t="shared" ref="AJ124" si="520">MAX(AI124-AJ123,0)</f>
        <v>2</v>
      </c>
      <c r="AK124" s="159">
        <f t="shared" ref="AK124" si="521">MAX(AJ124-AK123,0)</f>
        <v>2</v>
      </c>
      <c r="AL124" s="159">
        <f t="shared" ref="AL124" si="522">MAX(AK124-AL123,0)</f>
        <v>2</v>
      </c>
      <c r="AM124" s="159">
        <f t="shared" ref="AM124" si="523">MAX(AL124-AM123,0)</f>
        <v>2</v>
      </c>
      <c r="AN124" s="159">
        <f t="shared" ref="AN124" si="524">MAX(AM124-AN123,0)</f>
        <v>2</v>
      </c>
      <c r="AO124" s="159">
        <f t="shared" ref="AO124" si="525">MAX(AN124-AO123,0)</f>
        <v>2</v>
      </c>
      <c r="AP124" s="159">
        <f t="shared" ref="AP124" si="526">MAX(AO124-AP123,0)</f>
        <v>2</v>
      </c>
      <c r="AQ124" s="159">
        <f t="shared" ref="AQ124" si="527">MAX(AP124-AQ123,0)</f>
        <v>2</v>
      </c>
      <c r="AR124" s="159">
        <f t="shared" ref="AR124:AS124" si="528">MAX(AQ124-AR123,0)</f>
        <v>2</v>
      </c>
      <c r="AS124" s="159">
        <f t="shared" si="528"/>
        <v>2</v>
      </c>
      <c r="AT124" s="159">
        <f t="shared" ref="AT124" si="529">MAX(AS124-AT123,0)</f>
        <v>2</v>
      </c>
      <c r="AU124" s="159">
        <f t="shared" ref="AU124" si="530">MAX(AT124-AU123,0)</f>
        <v>2</v>
      </c>
      <c r="AV124" s="159">
        <f t="shared" ref="AV124" si="531">MAX(AU124-AV123,0)</f>
        <v>2</v>
      </c>
      <c r="AW124" s="159">
        <f t="shared" ref="AW124" si="532">MAX(AV124-AW123,0)</f>
        <v>2</v>
      </c>
      <c r="AX124" s="159">
        <f t="shared" ref="AX124" si="533">MAX(AW124-AX123,0)</f>
        <v>2</v>
      </c>
      <c r="AY124" s="159">
        <f t="shared" ref="AY124" si="534">MAX(AX124-AY123,0)</f>
        <v>2</v>
      </c>
      <c r="AZ124" s="159">
        <f t="shared" ref="AZ124" si="535">MAX(AY124-AZ123,0)</f>
        <v>2</v>
      </c>
      <c r="BA124" s="159">
        <f t="shared" ref="BA124" si="536">MAX(AZ124-BA123,0)</f>
        <v>1</v>
      </c>
      <c r="BB124" s="159">
        <f t="shared" ref="BB124" si="537">MAX(BA124-BB123,0)</f>
        <v>1</v>
      </c>
      <c r="BC124" s="159">
        <f t="shared" ref="BC124" si="538">MAX(BB124-BC123,0)</f>
        <v>1</v>
      </c>
      <c r="BD124" s="159">
        <f t="shared" ref="BD124" si="539">MAX(BC124-BD123,0)</f>
        <v>1</v>
      </c>
      <c r="BE124" s="159">
        <f t="shared" ref="BE124:BF124" si="540">MAX(BD124-BE123,0)</f>
        <v>1</v>
      </c>
      <c r="BF124" s="159">
        <f t="shared" si="540"/>
        <v>1</v>
      </c>
      <c r="BG124" s="159">
        <f t="shared" ref="BG124" si="541">MAX(BF124-BG123,0)</f>
        <v>1</v>
      </c>
      <c r="BH124" s="159">
        <f t="shared" ref="BH124" si="542">MAX(BG124-BH123,0)</f>
        <v>1</v>
      </c>
      <c r="BI124" s="159">
        <f t="shared" ref="BI124" si="543">MAX(BH124-BI123,0)</f>
        <v>1</v>
      </c>
      <c r="BJ124" s="159">
        <f t="shared" ref="BJ124" si="544">MAX(BI124-BJ123,0)</f>
        <v>1</v>
      </c>
      <c r="BK124" s="159">
        <f t="shared" ref="BK124" si="545">MAX(BJ124-BK123,0)</f>
        <v>1</v>
      </c>
      <c r="BL124" s="159">
        <f t="shared" ref="BL124" si="546">MAX(BK124-BL123,0)</f>
        <v>1</v>
      </c>
      <c r="BM124" s="159">
        <f t="shared" ref="BM124" si="547">MAX(BL124-BM123,0)</f>
        <v>0</v>
      </c>
      <c r="BN124" s="159">
        <f t="shared" ref="BN124" si="548">MAX(BM124-BN123,0)</f>
        <v>0</v>
      </c>
      <c r="BO124" s="159">
        <f t="shared" ref="BO124" si="549">MAX(BN124-BO123,0)</f>
        <v>0</v>
      </c>
      <c r="BP124" s="159">
        <f t="shared" ref="BP124" si="550">MAX(BO124-BP123,0)</f>
        <v>0</v>
      </c>
      <c r="BQ124" s="159">
        <f t="shared" ref="BQ124" si="551">MAX(BP124-BQ123,0)</f>
        <v>0</v>
      </c>
      <c r="BR124" s="159">
        <f t="shared" ref="BR124:BS124" si="552">MAX(BQ124-BR123,0)</f>
        <v>0</v>
      </c>
      <c r="BS124" s="159">
        <f t="shared" si="552"/>
        <v>0</v>
      </c>
      <c r="BT124" s="159">
        <f t="shared" ref="BT124" si="553">MAX(BS124-BT123,0)</f>
        <v>0</v>
      </c>
      <c r="BU124" s="159">
        <f t="shared" ref="BU124" si="554">MAX(BT124-BU123,0)</f>
        <v>0</v>
      </c>
      <c r="BV124" s="159">
        <f t="shared" ref="BV124" si="555">MAX(BU124-BV123,0)</f>
        <v>0</v>
      </c>
      <c r="BW124" s="159">
        <f t="shared" ref="BW124" si="556">MAX(BV124-BW123,0)</f>
        <v>0</v>
      </c>
      <c r="BX124" s="159">
        <f t="shared" ref="BX124" si="557">MAX(BW124-BX123,0)</f>
        <v>0</v>
      </c>
      <c r="BY124" s="159">
        <f t="shared" ref="BY124" si="558">MAX(BX124-BY123,0)</f>
        <v>0</v>
      </c>
      <c r="BZ124" s="159">
        <f t="shared" ref="BZ124" si="559">MAX(BY124-BZ123,0)</f>
        <v>0</v>
      </c>
      <c r="CA124" s="159">
        <f t="shared" ref="CA124" si="560">MAX(BZ124-CA123,0)</f>
        <v>0</v>
      </c>
      <c r="CB124" s="159">
        <f t="shared" ref="CB124" si="561">MAX(CA124-CB123,0)</f>
        <v>0</v>
      </c>
      <c r="CC124" s="159">
        <f t="shared" ref="CC124" si="562">MAX(CB124-CC123,0)</f>
        <v>0</v>
      </c>
      <c r="CD124" s="159">
        <f t="shared" ref="CD124" si="563">MAX(CC124-CD123,0)</f>
        <v>0</v>
      </c>
      <c r="CE124" s="159">
        <f t="shared" ref="CE124:CF124" si="564">MAX(CD124-CE123,0)</f>
        <v>0</v>
      </c>
      <c r="CF124" s="159">
        <f t="shared" si="564"/>
        <v>0</v>
      </c>
      <c r="CG124" s="159">
        <f t="shared" ref="CG124" si="565">MAX(CF124-CG123,0)</f>
        <v>0</v>
      </c>
      <c r="CH124" s="159">
        <f t="shared" ref="CH124" si="566">MAX(CG124-CH123,0)</f>
        <v>0</v>
      </c>
      <c r="CI124" s="159">
        <f t="shared" ref="CI124" si="567">MAX(CH124-CI123,0)</f>
        <v>0</v>
      </c>
      <c r="CJ124" s="159">
        <f t="shared" ref="CJ124" si="568">MAX(CI124-CJ123,0)</f>
        <v>0</v>
      </c>
      <c r="CK124" s="159">
        <f t="shared" ref="CK124" si="569">MAX(CJ124-CK123,0)</f>
        <v>0</v>
      </c>
      <c r="CL124" s="159">
        <f t="shared" ref="CL124" si="570">MAX(CK124-CL123,0)</f>
        <v>0</v>
      </c>
      <c r="CM124" s="159">
        <f t="shared" ref="CM124" si="571">MAX(CL124-CM123,0)</f>
        <v>0</v>
      </c>
      <c r="CN124" s="159">
        <f t="shared" ref="CN124" si="572">MAX(CM124-CN123,0)</f>
        <v>0</v>
      </c>
      <c r="CO124" s="159">
        <f t="shared" ref="CO124" si="573">MAX(CN124-CO123,0)</f>
        <v>0</v>
      </c>
      <c r="CP124" s="159">
        <f t="shared" ref="CP124" si="574">MAX(CO124-CP123,0)</f>
        <v>0</v>
      </c>
      <c r="CQ124" s="159">
        <f t="shared" ref="CQ124" si="575">MAX(CP124-CQ123,0)</f>
        <v>0</v>
      </c>
      <c r="CR124" s="159">
        <f t="shared" ref="CR124:CS124" si="576">MAX(CQ124-CR123,0)</f>
        <v>0</v>
      </c>
      <c r="CS124" s="159">
        <f t="shared" si="576"/>
        <v>0</v>
      </c>
      <c r="CT124" s="159">
        <f t="shared" ref="CT124" si="577">MAX(CS124-CT123,0)</f>
        <v>0</v>
      </c>
      <c r="CU124" s="159">
        <f t="shared" ref="CU124" si="578">MAX(CT124-CU123,0)</f>
        <v>0</v>
      </c>
      <c r="CV124" s="159">
        <f t="shared" ref="CV124" si="579">MAX(CU124-CV123,0)</f>
        <v>0</v>
      </c>
      <c r="CW124" s="159">
        <f t="shared" ref="CW124" si="580">MAX(CV124-CW123,0)</f>
        <v>0</v>
      </c>
      <c r="CX124" s="159">
        <f t="shared" ref="CX124" si="581">MAX(CW124-CX123,0)</f>
        <v>0</v>
      </c>
      <c r="CY124" s="159">
        <f t="shared" ref="CY124" si="582">MAX(CX124-CY123,0)</f>
        <v>0</v>
      </c>
      <c r="CZ124" s="159">
        <f t="shared" ref="CZ124" si="583">MAX(CY124-CZ123,0)</f>
        <v>0</v>
      </c>
      <c r="DA124" s="159">
        <f t="shared" ref="DA124" si="584">MAX(CZ124-DA123,0)</f>
        <v>0</v>
      </c>
      <c r="DB124" s="159">
        <f t="shared" ref="DB124" si="585">MAX(DA124-DB123,0)</f>
        <v>0</v>
      </c>
      <c r="DC124" s="159">
        <f t="shared" ref="DC124" si="586">MAX(DB124-DC123,0)</f>
        <v>0</v>
      </c>
      <c r="DD124" s="159">
        <f t="shared" ref="DD124" si="587">MAX(DC124-DD123,0)</f>
        <v>0</v>
      </c>
      <c r="DE124" s="159">
        <f t="shared" ref="DE124:DF124" si="588">MAX(DD124-DE123,0)</f>
        <v>0</v>
      </c>
      <c r="DF124" s="159">
        <f t="shared" si="588"/>
        <v>0</v>
      </c>
      <c r="DG124" s="159">
        <f t="shared" ref="DG124" si="589">MAX(DF124-DG123,0)</f>
        <v>0</v>
      </c>
      <c r="DH124" s="159">
        <f t="shared" ref="DH124" si="590">MAX(DG124-DH123,0)</f>
        <v>0</v>
      </c>
      <c r="DI124" s="159">
        <f t="shared" ref="DI124" si="591">MAX(DH124-DI123,0)</f>
        <v>0</v>
      </c>
      <c r="DJ124" s="159">
        <f t="shared" ref="DJ124" si="592">MAX(DI124-DJ123,0)</f>
        <v>0</v>
      </c>
      <c r="DK124" s="159">
        <f t="shared" ref="DK124" si="593">MAX(DJ124-DK123,0)</f>
        <v>0</v>
      </c>
      <c r="DL124" s="159">
        <f t="shared" ref="DL124" si="594">MAX(DK124-DL123,0)</f>
        <v>0</v>
      </c>
      <c r="DM124" s="159">
        <f t="shared" ref="DM124" si="595">MAX(DL124-DM123,0)</f>
        <v>0</v>
      </c>
      <c r="DN124" s="159">
        <f t="shared" ref="DN124" si="596">MAX(DM124-DN123,0)</f>
        <v>0</v>
      </c>
      <c r="DO124" s="159">
        <f t="shared" ref="DO124" si="597">MAX(DN124-DO123,0)</f>
        <v>0</v>
      </c>
      <c r="DP124" s="159">
        <f t="shared" ref="DP124" si="598">MAX(DO124-DP123,0)</f>
        <v>0</v>
      </c>
      <c r="DQ124" s="159">
        <f t="shared" ref="DQ124" si="599">MAX(DP124-DQ123,0)</f>
        <v>0</v>
      </c>
      <c r="DR124" s="159">
        <f t="shared" ref="DR124:DS124" si="600">MAX(DQ124-DR123,0)</f>
        <v>0</v>
      </c>
      <c r="DS124" s="159">
        <f t="shared" si="600"/>
        <v>0</v>
      </c>
      <c r="DT124" s="159">
        <f t="shared" ref="DT124" si="601">MAX(DS124-DT123,0)</f>
        <v>0</v>
      </c>
      <c r="DU124" s="159">
        <f t="shared" ref="DU124" si="602">MAX(DT124-DU123,0)</f>
        <v>0</v>
      </c>
      <c r="DV124" s="159">
        <f t="shared" ref="DV124" si="603">MAX(DU124-DV123,0)</f>
        <v>0</v>
      </c>
      <c r="DW124" s="159">
        <f t="shared" ref="DW124" si="604">MAX(DV124-DW123,0)</f>
        <v>0</v>
      </c>
      <c r="DX124" s="159">
        <f t="shared" ref="DX124" si="605">MAX(DW124-DX123,0)</f>
        <v>0</v>
      </c>
      <c r="DY124" s="159">
        <f t="shared" ref="DY124" si="606">MAX(DX124-DY123,0)</f>
        <v>0</v>
      </c>
      <c r="DZ124" s="159">
        <f t="shared" ref="DZ124" si="607">MAX(DY124-DZ123,0)</f>
        <v>0</v>
      </c>
      <c r="EA124" s="159">
        <f t="shared" ref="EA124" si="608">MAX(DZ124-EA123,0)</f>
        <v>0</v>
      </c>
      <c r="EB124" s="159">
        <f t="shared" ref="EB124" si="609">MAX(EA124-EB123,0)</f>
        <v>0</v>
      </c>
      <c r="EC124" s="159">
        <f t="shared" ref="EC124" si="610">MAX(EB124-EC123,0)</f>
        <v>0</v>
      </c>
      <c r="ED124" s="159">
        <f t="shared" ref="ED124" si="611">MAX(EC124-ED123,0)</f>
        <v>0</v>
      </c>
      <c r="EE124" s="159">
        <f t="shared" ref="EE124:EF124" si="612">MAX(ED124-EE123,0)</f>
        <v>0</v>
      </c>
      <c r="EF124" s="159">
        <f t="shared" si="612"/>
        <v>0</v>
      </c>
      <c r="EG124" s="159">
        <f t="shared" ref="EG124" si="613">MAX(EF124-EG123,0)</f>
        <v>0</v>
      </c>
      <c r="EH124" s="159">
        <f t="shared" ref="EH124" si="614">MAX(EG124-EH123,0)</f>
        <v>0</v>
      </c>
      <c r="EI124" s="159">
        <f t="shared" ref="EI124" si="615">MAX(EH124-EI123,0)</f>
        <v>0</v>
      </c>
      <c r="EJ124" s="159">
        <f t="shared" ref="EJ124" si="616">MAX(EI124-EJ123,0)</f>
        <v>0</v>
      </c>
      <c r="EK124" s="159">
        <f t="shared" ref="EK124" si="617">MAX(EJ124-EK123,0)</f>
        <v>0</v>
      </c>
      <c r="EL124" s="159">
        <f t="shared" ref="EL124" si="618">MAX(EK124-EL123,0)</f>
        <v>0</v>
      </c>
      <c r="EM124" s="159">
        <f t="shared" ref="EM124" si="619">MAX(EL124-EM123,0)</f>
        <v>0</v>
      </c>
      <c r="EN124" s="159">
        <f t="shared" ref="EN124" si="620">MAX(EM124-EN123,0)</f>
        <v>0</v>
      </c>
      <c r="EO124" s="159">
        <f t="shared" ref="EO124" si="621">MAX(EN124-EO123,0)</f>
        <v>0</v>
      </c>
      <c r="EP124" s="159">
        <f t="shared" ref="EP124" si="622">MAX(EO124-EP123,0)</f>
        <v>0</v>
      </c>
      <c r="EQ124" s="159">
        <f t="shared" ref="EQ124" si="623">MAX(EP124-EQ123,0)</f>
        <v>0</v>
      </c>
      <c r="ER124" s="159">
        <f t="shared" ref="ER124:ES124" si="624">MAX(EQ124-ER123,0)</f>
        <v>0</v>
      </c>
      <c r="ES124" s="159">
        <f t="shared" si="624"/>
        <v>0</v>
      </c>
      <c r="ET124" s="159">
        <f t="shared" ref="ET124" si="625">MAX(ES124-ET123,0)</f>
        <v>0</v>
      </c>
      <c r="EU124" s="159">
        <f t="shared" ref="EU124" si="626">MAX(ET124-EU123,0)</f>
        <v>0</v>
      </c>
      <c r="EV124" s="159">
        <f t="shared" ref="EV124" si="627">MAX(EU124-EV123,0)</f>
        <v>0</v>
      </c>
      <c r="EW124" s="159">
        <f t="shared" ref="EW124" si="628">MAX(EV124-EW123,0)</f>
        <v>0</v>
      </c>
      <c r="EX124" s="159">
        <f t="shared" ref="EX124" si="629">MAX(EW124-EX123,0)</f>
        <v>0</v>
      </c>
      <c r="EY124" s="159">
        <f t="shared" ref="EY124" si="630">MAX(EX124-EY123,0)</f>
        <v>0</v>
      </c>
      <c r="EZ124" s="159">
        <f t="shared" ref="EZ124" si="631">MAX(EY124-EZ123,0)</f>
        <v>0</v>
      </c>
      <c r="FA124" s="159">
        <f t="shared" ref="FA124" si="632">MAX(EZ124-FA123,0)</f>
        <v>0</v>
      </c>
      <c r="FB124" s="159">
        <f t="shared" ref="FB124" si="633">MAX(FA124-FB123,0)</f>
        <v>0</v>
      </c>
      <c r="FC124" s="159">
        <f t="shared" ref="FC124" si="634">MAX(FB124-FC123,0)</f>
        <v>0</v>
      </c>
      <c r="FD124" s="159">
        <f t="shared" ref="FD124" si="635">MAX(FC124-FD123,0)</f>
        <v>0</v>
      </c>
      <c r="FE124" s="159">
        <f t="shared" ref="FE124:FF124" si="636">MAX(FD124-FE123,0)</f>
        <v>0</v>
      </c>
      <c r="FF124" s="159">
        <f t="shared" si="636"/>
        <v>0</v>
      </c>
      <c r="FG124" s="159">
        <f t="shared" ref="FG124" si="637">MAX(FF124-FG123,0)</f>
        <v>0</v>
      </c>
      <c r="FH124" s="159">
        <f t="shared" ref="FH124" si="638">MAX(FG124-FH123,0)</f>
        <v>0</v>
      </c>
      <c r="FI124" s="159">
        <f t="shared" ref="FI124" si="639">MAX(FH124-FI123,0)</f>
        <v>0</v>
      </c>
      <c r="FJ124" s="159">
        <f t="shared" ref="FJ124" si="640">MAX(FI124-FJ123,0)</f>
        <v>0</v>
      </c>
      <c r="FK124" s="159">
        <f t="shared" ref="FK124" si="641">MAX(FJ124-FK123,0)</f>
        <v>0</v>
      </c>
      <c r="FL124" s="159">
        <f t="shared" ref="FL124" si="642">MAX(FK124-FL123,0)</f>
        <v>0</v>
      </c>
      <c r="FM124" s="159">
        <f t="shared" ref="FM124" si="643">MAX(FL124-FM123,0)</f>
        <v>0</v>
      </c>
      <c r="FN124" s="159">
        <f t="shared" ref="FN124" si="644">MAX(FM124-FN123,0)</f>
        <v>0</v>
      </c>
      <c r="FO124" s="159">
        <f t="shared" ref="FO124" si="645">MAX(FN124-FO123,0)</f>
        <v>0</v>
      </c>
      <c r="FP124" s="159">
        <f t="shared" ref="FP124" si="646">MAX(FO124-FP123,0)</f>
        <v>0</v>
      </c>
      <c r="FQ124" s="159">
        <f t="shared" ref="FQ124" si="647">MAX(FP124-FQ123,0)</f>
        <v>0</v>
      </c>
      <c r="FR124" s="159">
        <f t="shared" ref="FR124:FS124" si="648">MAX(FQ124-FR123,0)</f>
        <v>0</v>
      </c>
      <c r="FS124" s="159">
        <f t="shared" si="648"/>
        <v>0</v>
      </c>
      <c r="FT124" s="159">
        <f t="shared" ref="FT124" si="649">MAX(FS124-FT123,0)</f>
        <v>0</v>
      </c>
      <c r="FU124" s="159">
        <f t="shared" ref="FU124" si="650">MAX(FT124-FU123,0)</f>
        <v>0</v>
      </c>
      <c r="FV124" s="159">
        <f t="shared" ref="FV124" si="651">MAX(FU124-FV123,0)</f>
        <v>0</v>
      </c>
      <c r="FW124" s="159">
        <f t="shared" ref="FW124" si="652">MAX(FV124-FW123,0)</f>
        <v>0</v>
      </c>
      <c r="FX124" s="159">
        <f t="shared" ref="FX124" si="653">MAX(FW124-FX123,0)</f>
        <v>0</v>
      </c>
      <c r="FY124" s="159">
        <f t="shared" ref="FY124" si="654">MAX(FX124-FY123,0)</f>
        <v>0</v>
      </c>
      <c r="FZ124" s="159">
        <f t="shared" ref="FZ124" si="655">MAX(FY124-FZ123,0)</f>
        <v>0</v>
      </c>
      <c r="GA124" s="159">
        <f t="shared" ref="GA124" si="656">MAX(FZ124-GA123,0)</f>
        <v>0</v>
      </c>
      <c r="GB124" s="159">
        <f t="shared" ref="GB124" si="657">MAX(GA124-GB123,0)</f>
        <v>0</v>
      </c>
      <c r="GC124" s="159">
        <f t="shared" ref="GC124" si="658">MAX(GB124-GC123,0)</f>
        <v>0</v>
      </c>
      <c r="GD124" s="159">
        <f t="shared" ref="GD124" si="659">MAX(GC124-GD123,0)</f>
        <v>0</v>
      </c>
      <c r="GE124" s="159">
        <f t="shared" ref="GE124:GF124" si="660">MAX(GD124-GE123,0)</f>
        <v>0</v>
      </c>
      <c r="GF124" s="159">
        <f t="shared" si="660"/>
        <v>0</v>
      </c>
      <c r="GG124" s="159">
        <f t="shared" ref="GG124" si="661">MAX(GF124-GG123,0)</f>
        <v>0</v>
      </c>
      <c r="GH124" s="159">
        <f t="shared" ref="GH124" si="662">MAX(GG124-GH123,0)</f>
        <v>0</v>
      </c>
      <c r="GI124" s="159">
        <f t="shared" ref="GI124" si="663">MAX(GH124-GI123,0)</f>
        <v>0</v>
      </c>
      <c r="GJ124" s="159">
        <f t="shared" ref="GJ124" si="664">MAX(GI124-GJ123,0)</f>
        <v>0</v>
      </c>
      <c r="GK124" s="159">
        <f t="shared" ref="GK124" si="665">MAX(GJ124-GK123,0)</f>
        <v>0</v>
      </c>
      <c r="GL124" s="159">
        <f t="shared" ref="GL124" si="666">MAX(GK124-GL123,0)</f>
        <v>0</v>
      </c>
      <c r="GM124" s="159">
        <f t="shared" ref="GM124" si="667">MAX(GL124-GM123,0)</f>
        <v>0</v>
      </c>
      <c r="GN124" s="159">
        <f t="shared" ref="GN124" si="668">MAX(GM124-GN123,0)</f>
        <v>0</v>
      </c>
      <c r="GO124" s="159">
        <f t="shared" ref="GO124" si="669">MAX(GN124-GO123,0)</f>
        <v>0</v>
      </c>
      <c r="GP124" s="159">
        <f t="shared" ref="GP124" si="670">MAX(GO124-GP123,0)</f>
        <v>0</v>
      </c>
      <c r="GQ124" s="159">
        <f t="shared" ref="GQ124" si="671">MAX(GP124-GQ123,0)</f>
        <v>0</v>
      </c>
    </row>
    <row r="125" spans="2:199" s="156" customFormat="1" outlineLevel="1">
      <c r="B125" s="157"/>
      <c r="C125" s="157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A125" s="161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  <c r="BS125" s="161"/>
      <c r="BT125" s="161"/>
      <c r="BU125" s="161"/>
      <c r="BV125" s="161"/>
      <c r="BW125" s="161"/>
      <c r="BX125" s="161"/>
      <c r="BY125" s="161"/>
      <c r="BZ125" s="161"/>
      <c r="CA125" s="161"/>
      <c r="CB125" s="161"/>
      <c r="CC125" s="161"/>
      <c r="CD125" s="161"/>
      <c r="CE125" s="161"/>
      <c r="CF125" s="161"/>
      <c r="CG125" s="161"/>
      <c r="CH125" s="161"/>
      <c r="CI125" s="161"/>
      <c r="CJ125" s="161"/>
      <c r="CK125" s="161"/>
      <c r="CL125" s="161"/>
      <c r="CM125" s="161"/>
      <c r="CN125" s="161"/>
      <c r="CO125" s="161"/>
      <c r="CP125" s="161"/>
      <c r="CQ125" s="161"/>
      <c r="CR125" s="161"/>
      <c r="CS125" s="161"/>
      <c r="CT125" s="161"/>
      <c r="CU125" s="161"/>
      <c r="CV125" s="161"/>
      <c r="CW125" s="161"/>
      <c r="CX125" s="161"/>
      <c r="CY125" s="161"/>
      <c r="CZ125" s="161"/>
      <c r="DA125" s="161"/>
      <c r="DB125" s="161"/>
      <c r="DC125" s="161"/>
      <c r="DD125" s="161"/>
      <c r="DE125" s="161"/>
      <c r="DF125" s="161"/>
      <c r="DG125" s="161"/>
      <c r="DH125" s="161"/>
      <c r="DI125" s="161"/>
      <c r="DJ125" s="161"/>
      <c r="DK125" s="161"/>
      <c r="DL125" s="161"/>
      <c r="DM125" s="161"/>
      <c r="DN125" s="161"/>
      <c r="DO125" s="161"/>
      <c r="DP125" s="161"/>
      <c r="DQ125" s="161"/>
      <c r="DR125" s="161"/>
      <c r="DS125" s="161"/>
      <c r="DT125" s="161"/>
      <c r="DU125" s="161"/>
      <c r="DV125" s="161"/>
      <c r="DW125" s="161"/>
      <c r="DX125" s="161"/>
      <c r="DY125" s="161"/>
      <c r="DZ125" s="161"/>
      <c r="EA125" s="161"/>
      <c r="EB125" s="161"/>
      <c r="EC125" s="161"/>
      <c r="ED125" s="161"/>
      <c r="EE125" s="161"/>
      <c r="EF125" s="161"/>
      <c r="EG125" s="161"/>
      <c r="EH125" s="161"/>
      <c r="EI125" s="161"/>
      <c r="EJ125" s="161"/>
      <c r="EK125" s="161"/>
      <c r="EL125" s="161"/>
      <c r="EM125" s="161"/>
      <c r="EN125" s="161"/>
      <c r="EO125" s="161"/>
      <c r="EP125" s="161"/>
      <c r="EQ125" s="161"/>
      <c r="ER125" s="161"/>
      <c r="ES125" s="161"/>
      <c r="ET125" s="161"/>
      <c r="EU125" s="161"/>
      <c r="EV125" s="161"/>
      <c r="EW125" s="161"/>
      <c r="EX125" s="161"/>
      <c r="EY125" s="161"/>
      <c r="EZ125" s="161"/>
      <c r="FA125" s="161"/>
      <c r="FB125" s="161"/>
      <c r="FC125" s="161"/>
      <c r="FD125" s="161"/>
      <c r="FE125" s="161"/>
      <c r="FF125" s="161"/>
      <c r="FG125" s="161"/>
      <c r="FH125" s="161"/>
      <c r="FI125" s="161"/>
      <c r="FJ125" s="161"/>
      <c r="FK125" s="161"/>
      <c r="FL125" s="161"/>
      <c r="FM125" s="161"/>
      <c r="FN125" s="161"/>
      <c r="FO125" s="161"/>
      <c r="FP125" s="161"/>
      <c r="FQ125" s="161"/>
      <c r="FR125" s="161"/>
      <c r="FS125" s="161"/>
      <c r="FT125" s="161"/>
      <c r="FU125" s="161"/>
      <c r="FV125" s="161"/>
      <c r="FW125" s="161"/>
      <c r="FX125" s="161"/>
      <c r="FY125" s="161"/>
      <c r="FZ125" s="161"/>
      <c r="GA125" s="161"/>
      <c r="GB125" s="161"/>
      <c r="GC125" s="161"/>
      <c r="GD125" s="161"/>
      <c r="GE125" s="161"/>
      <c r="GF125" s="161"/>
      <c r="GG125" s="161"/>
      <c r="GH125" s="161"/>
      <c r="GI125" s="161"/>
      <c r="GJ125" s="161"/>
      <c r="GK125" s="161"/>
      <c r="GL125" s="161"/>
      <c r="GM125" s="161"/>
      <c r="GN125" s="161"/>
      <c r="GO125" s="161"/>
      <c r="GP125" s="161"/>
      <c r="GQ125" s="161"/>
    </row>
    <row r="126" spans="2:199" outlineLevel="1">
      <c r="B126" s="184" t="s">
        <v>388</v>
      </c>
      <c r="C126" s="185"/>
      <c r="D126" s="186"/>
      <c r="E126" s="186">
        <f t="shared" ref="E126" si="672">D132</f>
        <v>0</v>
      </c>
      <c r="F126" s="186">
        <f t="shared" ref="F126" si="673">E132</f>
        <v>268619.48891441728</v>
      </c>
      <c r="G126" s="186">
        <f t="shared" ref="G126" si="674">F132</f>
        <v>270737.80390969588</v>
      </c>
      <c r="H126" s="186">
        <f t="shared" ref="H126" si="675">G132</f>
        <v>272925.29156564572</v>
      </c>
      <c r="I126" s="186">
        <f t="shared" ref="I126" si="676">H132</f>
        <v>274788.00013639306</v>
      </c>
      <c r="J126" s="186">
        <f t="shared" ref="J126" si="677">I132</f>
        <v>276921.97435736709</v>
      </c>
      <c r="K126" s="186">
        <f t="shared" ref="K126" si="678">J132</f>
        <v>278898.78668610437</v>
      </c>
      <c r="L126" s="186">
        <f t="shared" ref="L126" si="679">K132</f>
        <v>266666.66666666669</v>
      </c>
      <c r="M126" s="186">
        <f t="shared" ref="M126" si="680">L132</f>
        <v>268737.57148047688</v>
      </c>
      <c r="N126" s="186">
        <f t="shared" ref="N126" si="681">M132</f>
        <v>270487.46484716097</v>
      </c>
      <c r="O126" s="186">
        <f t="shared" ref="O126" si="682">N132</f>
        <v>272418.34431788418</v>
      </c>
      <c r="P126" s="186">
        <f t="shared" ref="P126" si="683">O132</f>
        <v>274533.91604520212</v>
      </c>
      <c r="Q126" s="186">
        <f t="shared" ref="Q126" si="684">P132</f>
        <v>276579.78572098922</v>
      </c>
      <c r="R126" s="186">
        <f t="shared" ref="R126" si="685">Q132</f>
        <v>266666.66666666669</v>
      </c>
      <c r="S126" s="186">
        <f t="shared" ref="S126" si="686">R132</f>
        <v>268821.2606434325</v>
      </c>
      <c r="T126" s="186">
        <f t="shared" ref="T126" si="687">S132</f>
        <v>270908.89780363627</v>
      </c>
      <c r="U126" s="186">
        <f t="shared" ref="U126" si="688">T132</f>
        <v>272980.27047610225</v>
      </c>
      <c r="V126" s="186">
        <f t="shared" ref="V126" si="689">U132</f>
        <v>275414.56235251768</v>
      </c>
      <c r="W126" s="186">
        <f t="shared" ref="W126" si="690">V132</f>
        <v>277638.73097362433</v>
      </c>
      <c r="X126" s="186">
        <f t="shared" ref="X126" si="691">W132</f>
        <v>280028.97429935989</v>
      </c>
      <c r="Y126" s="186">
        <f t="shared" ref="Y126" si="692">X132</f>
        <v>282543.19464774494</v>
      </c>
      <c r="Z126" s="186">
        <f t="shared" ref="Z126" si="693">Y132</f>
        <v>284871.37225270655</v>
      </c>
      <c r="AA126" s="186">
        <f t="shared" ref="AA126" si="694">Z132</f>
        <v>287113.62418830954</v>
      </c>
      <c r="AB126" s="186">
        <f t="shared" ref="AB126" si="695">AA132</f>
        <v>289479.46248339914</v>
      </c>
      <c r="AC126" s="186">
        <f t="shared" ref="AC126" si="696">AB132</f>
        <v>291971.64486268035</v>
      </c>
      <c r="AD126" s="186">
        <f t="shared" ref="AD126" si="697">AC132</f>
        <v>266666.66666666663</v>
      </c>
      <c r="AE126" s="186">
        <f t="shared" ref="AE126" si="698">AD132</f>
        <v>269159.41555020254</v>
      </c>
      <c r="AF126" s="186">
        <f t="shared" ref="AF126" si="699">AE132</f>
        <v>271476.65887688694</v>
      </c>
      <c r="AG126" s="186">
        <f t="shared" ref="AG126" si="700">AF132</f>
        <v>273914.09286587907</v>
      </c>
      <c r="AH126" s="186">
        <f t="shared" ref="AH126" si="701">AG132</f>
        <v>276474.58930028969</v>
      </c>
      <c r="AI126" s="186">
        <f t="shared" ref="AI126" si="702">AH132</f>
        <v>278752.76113151142</v>
      </c>
      <c r="AJ126" s="186">
        <f t="shared" ref="AJ126" si="703">AI132</f>
        <v>281255.52309019404</v>
      </c>
      <c r="AK126" s="186">
        <f t="shared" ref="AK126" si="704">AJ132</f>
        <v>283676.90405003016</v>
      </c>
      <c r="AL126" s="186">
        <f t="shared" ref="AL126" si="705">AK132</f>
        <v>285805.12320105627</v>
      </c>
      <c r="AM126" s="186">
        <f t="shared" ref="AM126" si="706">AL132</f>
        <v>288371.20429399563</v>
      </c>
      <c r="AN126" s="186">
        <f t="shared" ref="AN126" si="707">AM132</f>
        <v>290747.40514565696</v>
      </c>
      <c r="AO126" s="186">
        <f t="shared" ref="AO126" si="708">AN132</f>
        <v>293143.18607467477</v>
      </c>
      <c r="AP126" s="186">
        <f t="shared" ref="AP126" si="709">AO132</f>
        <v>266666.66666666651</v>
      </c>
      <c r="AQ126" s="186">
        <f t="shared" ref="AQ126" si="710">AP132</f>
        <v>269159.41555020242</v>
      </c>
      <c r="AR126" s="186">
        <f t="shared" ref="AR126" si="711">AQ132</f>
        <v>271476.65887688682</v>
      </c>
      <c r="AS126" s="186">
        <f t="shared" ref="AS126" si="712">AR132</f>
        <v>273813.85178112582</v>
      </c>
      <c r="AT126" s="186">
        <f t="shared" ref="AT126" si="713">AS132</f>
        <v>276171.16601253243</v>
      </c>
      <c r="AU126" s="186">
        <f t="shared" ref="AU126" si="714">AT132</f>
        <v>278446.83761257975</v>
      </c>
      <c r="AV126" s="186">
        <f t="shared" ref="AV126" si="715">AU132</f>
        <v>280946.8528585757</v>
      </c>
      <c r="AW126" s="186">
        <f t="shared" ref="AW126" si="716">AV132</f>
        <v>283386.16828872752</v>
      </c>
      <c r="AX126" s="186">
        <f t="shared" ref="AX126" si="717">AW132</f>
        <v>285846.66302630794</v>
      </c>
      <c r="AY126" s="186">
        <f t="shared" ref="AY126" si="718">AX132</f>
        <v>288328.52096022997</v>
      </c>
      <c r="AZ126" s="186">
        <f t="shared" ref="AZ126" si="719">AY132</f>
        <v>290831.92757601856</v>
      </c>
      <c r="BA126" s="186">
        <f t="shared" ref="BA126" si="720">AZ132</f>
        <v>293357.069969673</v>
      </c>
      <c r="BB126" s="186">
        <f t="shared" ref="BB126" si="721">BA132</f>
        <v>133333.33333333323</v>
      </c>
      <c r="BC126" s="186">
        <f t="shared" ref="BC126" si="722">BB132</f>
        <v>134490.99733292713</v>
      </c>
      <c r="BD126" s="186">
        <f t="shared" ref="BD126" si="723">BC132</f>
        <v>135658.71272704069</v>
      </c>
      <c r="BE126" s="186">
        <f t="shared" ref="BE126" si="724">BD132</f>
        <v>136836.56678670578</v>
      </c>
      <c r="BF126" s="186">
        <f t="shared" ref="BF126" si="725">BE132</f>
        <v>138024.64754068325</v>
      </c>
      <c r="BG126" s="186">
        <f t="shared" ref="BG126" si="726">BF132</f>
        <v>139223.0437820419</v>
      </c>
      <c r="BH126" s="186">
        <f t="shared" ref="BH126" si="727">BG132</f>
        <v>140431.84507479458</v>
      </c>
      <c r="BI126" s="186">
        <f t="shared" ref="BI126" si="728">BH132</f>
        <v>141651.14176059185</v>
      </c>
      <c r="BJ126" s="186">
        <f t="shared" ref="BJ126" si="729">BI132</f>
        <v>142881.02496547392</v>
      </c>
      <c r="BK126" s="186">
        <f t="shared" ref="BK126" si="730">BJ132</f>
        <v>144121.58660668097</v>
      </c>
      <c r="BL126" s="186">
        <f t="shared" ref="BL126" si="731">BK132</f>
        <v>145372.9193995228</v>
      </c>
      <c r="BM126" s="186">
        <f t="shared" ref="BM126" si="732">BL132</f>
        <v>146635.11686430799</v>
      </c>
      <c r="BN126" s="186">
        <f t="shared" ref="BN126" si="733">BM132</f>
        <v>0</v>
      </c>
      <c r="BO126" s="186">
        <f t="shared" ref="BO126" si="734">BN132</f>
        <v>0</v>
      </c>
      <c r="BP126" s="186">
        <f t="shared" ref="BP126" si="735">BO132</f>
        <v>0</v>
      </c>
      <c r="BQ126" s="186">
        <f t="shared" ref="BQ126" si="736">BP132</f>
        <v>0</v>
      </c>
      <c r="BR126" s="186">
        <f t="shared" ref="BR126" si="737">BQ132</f>
        <v>0</v>
      </c>
      <c r="BS126" s="186">
        <f t="shared" ref="BS126" si="738">BR132</f>
        <v>0</v>
      </c>
      <c r="BT126" s="186">
        <f t="shared" ref="BT126" si="739">BS132</f>
        <v>0</v>
      </c>
      <c r="BU126" s="186">
        <f t="shared" ref="BU126" si="740">BT132</f>
        <v>0</v>
      </c>
      <c r="BV126" s="186">
        <f t="shared" ref="BV126" si="741">BU132</f>
        <v>0</v>
      </c>
      <c r="BW126" s="186">
        <f t="shared" ref="BW126" si="742">BV132</f>
        <v>0</v>
      </c>
      <c r="BX126" s="186">
        <f t="shared" ref="BX126" si="743">BW132</f>
        <v>0</v>
      </c>
      <c r="BY126" s="186">
        <f t="shared" ref="BY126" si="744">BX132</f>
        <v>0</v>
      </c>
      <c r="BZ126" s="186">
        <f t="shared" ref="BZ126" si="745">BY132</f>
        <v>0</v>
      </c>
      <c r="CA126" s="186">
        <f t="shared" ref="CA126" si="746">BZ132</f>
        <v>0</v>
      </c>
      <c r="CB126" s="186">
        <f t="shared" ref="CB126" si="747">CA132</f>
        <v>0</v>
      </c>
      <c r="CC126" s="186">
        <f t="shared" ref="CC126" si="748">CB132</f>
        <v>0</v>
      </c>
      <c r="CD126" s="186">
        <f t="shared" ref="CD126" si="749">CC132</f>
        <v>0</v>
      </c>
      <c r="CE126" s="186">
        <f t="shared" ref="CE126" si="750">CD132</f>
        <v>0</v>
      </c>
      <c r="CF126" s="186">
        <f t="shared" ref="CF126" si="751">CE132</f>
        <v>0</v>
      </c>
      <c r="CG126" s="186">
        <f t="shared" ref="CG126" si="752">CF132</f>
        <v>0</v>
      </c>
      <c r="CH126" s="186">
        <f t="shared" ref="CH126" si="753">CG132</f>
        <v>0</v>
      </c>
      <c r="CI126" s="186">
        <f t="shared" ref="CI126" si="754">CH132</f>
        <v>0</v>
      </c>
      <c r="CJ126" s="186">
        <f t="shared" ref="CJ126" si="755">CI132</f>
        <v>0</v>
      </c>
      <c r="CK126" s="186">
        <f t="shared" ref="CK126" si="756">CJ132</f>
        <v>0</v>
      </c>
      <c r="CL126" s="186">
        <f t="shared" ref="CL126" si="757">CK132</f>
        <v>0</v>
      </c>
      <c r="CM126" s="186">
        <f t="shared" ref="CM126" si="758">CL132</f>
        <v>0</v>
      </c>
      <c r="CN126" s="186">
        <f t="shared" ref="CN126" si="759">CM132</f>
        <v>0</v>
      </c>
      <c r="CO126" s="186">
        <f t="shared" ref="CO126" si="760">CN132</f>
        <v>0</v>
      </c>
      <c r="CP126" s="186">
        <f t="shared" ref="CP126" si="761">CO132</f>
        <v>0</v>
      </c>
      <c r="CQ126" s="186">
        <f t="shared" ref="CQ126" si="762">CP132</f>
        <v>0</v>
      </c>
      <c r="CR126" s="186">
        <f t="shared" ref="CR126" si="763">CQ132</f>
        <v>0</v>
      </c>
      <c r="CS126" s="186">
        <f t="shared" ref="CS126" si="764">CR132</f>
        <v>0</v>
      </c>
      <c r="CT126" s="186">
        <f t="shared" ref="CT126" si="765">CS132</f>
        <v>0</v>
      </c>
      <c r="CU126" s="186">
        <f t="shared" ref="CU126" si="766">CT132</f>
        <v>0</v>
      </c>
      <c r="CV126" s="186">
        <f t="shared" ref="CV126" si="767">CU132</f>
        <v>0</v>
      </c>
      <c r="CW126" s="186">
        <f t="shared" ref="CW126" si="768">CV132</f>
        <v>0</v>
      </c>
      <c r="CX126" s="186">
        <f t="shared" ref="CX126" si="769">CW132</f>
        <v>0</v>
      </c>
      <c r="CY126" s="186">
        <f t="shared" ref="CY126" si="770">CX132</f>
        <v>0</v>
      </c>
      <c r="CZ126" s="186">
        <f t="shared" ref="CZ126" si="771">CY132</f>
        <v>0</v>
      </c>
      <c r="DA126" s="186">
        <f t="shared" ref="DA126" si="772">CZ132</f>
        <v>0</v>
      </c>
      <c r="DB126" s="186">
        <f t="shared" ref="DB126" si="773">DA132</f>
        <v>0</v>
      </c>
      <c r="DC126" s="186">
        <f t="shared" ref="DC126" si="774">DB132</f>
        <v>0</v>
      </c>
      <c r="DD126" s="186">
        <f t="shared" ref="DD126" si="775">DC132</f>
        <v>0</v>
      </c>
      <c r="DE126" s="186">
        <f t="shared" ref="DE126" si="776">DD132</f>
        <v>0</v>
      </c>
      <c r="DF126" s="186">
        <f t="shared" ref="DF126" si="777">DE132</f>
        <v>0</v>
      </c>
      <c r="DG126" s="186">
        <f t="shared" ref="DG126" si="778">DF132</f>
        <v>0</v>
      </c>
      <c r="DH126" s="186">
        <f t="shared" ref="DH126" si="779">DG132</f>
        <v>0</v>
      </c>
      <c r="DI126" s="186">
        <f t="shared" ref="DI126" si="780">DH132</f>
        <v>0</v>
      </c>
      <c r="DJ126" s="186">
        <f t="shared" ref="DJ126" si="781">DI132</f>
        <v>0</v>
      </c>
      <c r="DK126" s="186">
        <f t="shared" ref="DK126" si="782">DJ132</f>
        <v>0</v>
      </c>
      <c r="DL126" s="186">
        <f t="shared" ref="DL126" si="783">DK132</f>
        <v>0</v>
      </c>
      <c r="DM126" s="186">
        <f t="shared" ref="DM126" si="784">DL132</f>
        <v>0</v>
      </c>
      <c r="DN126" s="186">
        <f t="shared" ref="DN126" si="785">DM132</f>
        <v>0</v>
      </c>
      <c r="DO126" s="186">
        <f t="shared" ref="DO126" si="786">DN132</f>
        <v>0</v>
      </c>
      <c r="DP126" s="186">
        <f t="shared" ref="DP126" si="787">DO132</f>
        <v>0</v>
      </c>
      <c r="DQ126" s="186">
        <f t="shared" ref="DQ126" si="788">DP132</f>
        <v>0</v>
      </c>
      <c r="DR126" s="186">
        <f t="shared" ref="DR126" si="789">DQ132</f>
        <v>0</v>
      </c>
      <c r="DS126" s="186">
        <f t="shared" ref="DS126" si="790">DR132</f>
        <v>0</v>
      </c>
      <c r="DT126" s="186">
        <f t="shared" ref="DT126" si="791">DS132</f>
        <v>0</v>
      </c>
      <c r="DU126" s="186">
        <f t="shared" ref="DU126" si="792">DT132</f>
        <v>0</v>
      </c>
      <c r="DV126" s="186">
        <f t="shared" ref="DV126" si="793">DU132</f>
        <v>0</v>
      </c>
      <c r="DW126" s="186">
        <f t="shared" ref="DW126" si="794">DV132</f>
        <v>0</v>
      </c>
      <c r="DX126" s="186">
        <f t="shared" ref="DX126" si="795">DW132</f>
        <v>0</v>
      </c>
      <c r="DY126" s="186">
        <f t="shared" ref="DY126" si="796">DX132</f>
        <v>0</v>
      </c>
      <c r="DZ126" s="186">
        <f t="shared" ref="DZ126" si="797">DY132</f>
        <v>0</v>
      </c>
      <c r="EA126" s="186">
        <f t="shared" ref="EA126" si="798">DZ132</f>
        <v>0</v>
      </c>
      <c r="EB126" s="186">
        <f t="shared" ref="EB126" si="799">EA132</f>
        <v>0</v>
      </c>
      <c r="EC126" s="186">
        <f t="shared" ref="EC126" si="800">EB132</f>
        <v>0</v>
      </c>
      <c r="ED126" s="186">
        <f t="shared" ref="ED126" si="801">EC132</f>
        <v>0</v>
      </c>
      <c r="EE126" s="186">
        <f t="shared" ref="EE126" si="802">ED132</f>
        <v>0</v>
      </c>
      <c r="EF126" s="186">
        <f t="shared" ref="EF126" si="803">EE132</f>
        <v>0</v>
      </c>
      <c r="EG126" s="186">
        <f t="shared" ref="EG126" si="804">EF132</f>
        <v>0</v>
      </c>
      <c r="EH126" s="186">
        <f t="shared" ref="EH126" si="805">EG132</f>
        <v>0</v>
      </c>
      <c r="EI126" s="186">
        <f t="shared" ref="EI126" si="806">EH132</f>
        <v>0</v>
      </c>
      <c r="EJ126" s="186">
        <f t="shared" ref="EJ126" si="807">EI132</f>
        <v>0</v>
      </c>
      <c r="EK126" s="186">
        <f t="shared" ref="EK126" si="808">EJ132</f>
        <v>0</v>
      </c>
      <c r="EL126" s="186">
        <f t="shared" ref="EL126" si="809">EK132</f>
        <v>0</v>
      </c>
      <c r="EM126" s="186">
        <f t="shared" ref="EM126" si="810">EL132</f>
        <v>0</v>
      </c>
      <c r="EN126" s="186">
        <f t="shared" ref="EN126" si="811">EM132</f>
        <v>0</v>
      </c>
      <c r="EO126" s="186">
        <f t="shared" ref="EO126" si="812">EN132</f>
        <v>0</v>
      </c>
      <c r="EP126" s="186">
        <f t="shared" ref="EP126" si="813">EO132</f>
        <v>0</v>
      </c>
      <c r="EQ126" s="186">
        <f t="shared" ref="EQ126" si="814">EP132</f>
        <v>0</v>
      </c>
      <c r="ER126" s="186">
        <f t="shared" ref="ER126" si="815">EQ132</f>
        <v>0</v>
      </c>
      <c r="ES126" s="186">
        <f t="shared" ref="ES126" si="816">ER132</f>
        <v>0</v>
      </c>
      <c r="ET126" s="186">
        <f t="shared" ref="ET126" si="817">ES132</f>
        <v>0</v>
      </c>
      <c r="EU126" s="186">
        <f t="shared" ref="EU126" si="818">ET132</f>
        <v>0</v>
      </c>
      <c r="EV126" s="186">
        <f t="shared" ref="EV126" si="819">EU132</f>
        <v>0</v>
      </c>
      <c r="EW126" s="186">
        <f t="shared" ref="EW126" si="820">EV132</f>
        <v>0</v>
      </c>
      <c r="EX126" s="186">
        <f t="shared" ref="EX126" si="821">EW132</f>
        <v>0</v>
      </c>
      <c r="EY126" s="186">
        <f t="shared" ref="EY126" si="822">EX132</f>
        <v>0</v>
      </c>
      <c r="EZ126" s="186">
        <f t="shared" ref="EZ126" si="823">EY132</f>
        <v>0</v>
      </c>
      <c r="FA126" s="186">
        <f t="shared" ref="FA126" si="824">EZ132</f>
        <v>0</v>
      </c>
      <c r="FB126" s="186">
        <f t="shared" ref="FB126" si="825">FA132</f>
        <v>0</v>
      </c>
      <c r="FC126" s="186">
        <f t="shared" ref="FC126" si="826">FB132</f>
        <v>0</v>
      </c>
      <c r="FD126" s="186">
        <f t="shared" ref="FD126" si="827">FC132</f>
        <v>0</v>
      </c>
      <c r="FE126" s="186">
        <f t="shared" ref="FE126" si="828">FD132</f>
        <v>0</v>
      </c>
      <c r="FF126" s="186">
        <f t="shared" ref="FF126" si="829">FE132</f>
        <v>0</v>
      </c>
      <c r="FG126" s="186">
        <f t="shared" ref="FG126" si="830">FF132</f>
        <v>0</v>
      </c>
      <c r="FH126" s="186">
        <f t="shared" ref="FH126" si="831">FG132</f>
        <v>0</v>
      </c>
      <c r="FI126" s="186">
        <f t="shared" ref="FI126" si="832">FH132</f>
        <v>0</v>
      </c>
      <c r="FJ126" s="186">
        <f t="shared" ref="FJ126" si="833">FI132</f>
        <v>0</v>
      </c>
      <c r="FK126" s="186">
        <f t="shared" ref="FK126" si="834">FJ132</f>
        <v>0</v>
      </c>
      <c r="FL126" s="186">
        <f t="shared" ref="FL126" si="835">FK132</f>
        <v>0</v>
      </c>
      <c r="FM126" s="186">
        <f t="shared" ref="FM126" si="836">FL132</f>
        <v>0</v>
      </c>
      <c r="FN126" s="186">
        <f t="shared" ref="FN126" si="837">FM132</f>
        <v>0</v>
      </c>
      <c r="FO126" s="186">
        <f t="shared" ref="FO126" si="838">FN132</f>
        <v>0</v>
      </c>
      <c r="FP126" s="186">
        <f t="shared" ref="FP126" si="839">FO132</f>
        <v>0</v>
      </c>
      <c r="FQ126" s="186">
        <f t="shared" ref="FQ126" si="840">FP132</f>
        <v>0</v>
      </c>
      <c r="FR126" s="186">
        <f t="shared" ref="FR126" si="841">FQ132</f>
        <v>0</v>
      </c>
      <c r="FS126" s="186">
        <f t="shared" ref="FS126" si="842">FR132</f>
        <v>0</v>
      </c>
      <c r="FT126" s="186">
        <f t="shared" ref="FT126" si="843">FS132</f>
        <v>0</v>
      </c>
      <c r="FU126" s="186">
        <f t="shared" ref="FU126" si="844">FT132</f>
        <v>0</v>
      </c>
      <c r="FV126" s="186">
        <f t="shared" ref="FV126" si="845">FU132</f>
        <v>0</v>
      </c>
      <c r="FW126" s="186">
        <f t="shared" ref="FW126" si="846">FV132</f>
        <v>0</v>
      </c>
      <c r="FX126" s="186">
        <f t="shared" ref="FX126" si="847">FW132</f>
        <v>0</v>
      </c>
      <c r="FY126" s="186">
        <f t="shared" ref="FY126" si="848">FX132</f>
        <v>0</v>
      </c>
      <c r="FZ126" s="186">
        <f t="shared" ref="FZ126" si="849">FY132</f>
        <v>0</v>
      </c>
      <c r="GA126" s="186">
        <f t="shared" ref="GA126" si="850">FZ132</f>
        <v>0</v>
      </c>
      <c r="GB126" s="186">
        <f t="shared" ref="GB126" si="851">GA132</f>
        <v>0</v>
      </c>
      <c r="GC126" s="186">
        <f t="shared" ref="GC126" si="852">GB132</f>
        <v>0</v>
      </c>
      <c r="GD126" s="186">
        <f t="shared" ref="GD126" si="853">GC132</f>
        <v>0</v>
      </c>
      <c r="GE126" s="186">
        <f t="shared" ref="GE126" si="854">GD132</f>
        <v>0</v>
      </c>
      <c r="GF126" s="186">
        <f t="shared" ref="GF126" si="855">GE132</f>
        <v>0</v>
      </c>
      <c r="GG126" s="186">
        <f t="shared" ref="GG126" si="856">GF132</f>
        <v>0</v>
      </c>
      <c r="GH126" s="186">
        <f t="shared" ref="GH126" si="857">GG132</f>
        <v>0</v>
      </c>
      <c r="GI126" s="186">
        <f t="shared" ref="GI126" si="858">GH132</f>
        <v>0</v>
      </c>
      <c r="GJ126" s="186">
        <f t="shared" ref="GJ126" si="859">GI132</f>
        <v>0</v>
      </c>
      <c r="GK126" s="186">
        <f t="shared" ref="GK126" si="860">GJ132</f>
        <v>0</v>
      </c>
      <c r="GL126" s="186">
        <f t="shared" ref="GL126" si="861">GK132</f>
        <v>0</v>
      </c>
      <c r="GM126" s="186">
        <f t="shared" ref="GM126" si="862">GL132</f>
        <v>0</v>
      </c>
      <c r="GN126" s="186">
        <f t="shared" ref="GN126" si="863">GM132</f>
        <v>0</v>
      </c>
      <c r="GO126" s="186">
        <f t="shared" ref="GO126" si="864">GN132</f>
        <v>0</v>
      </c>
      <c r="GP126" s="186">
        <f t="shared" ref="GP126" si="865">GO132</f>
        <v>0</v>
      </c>
      <c r="GQ126" s="186">
        <f t="shared" ref="GQ126" si="866">GP132</f>
        <v>0</v>
      </c>
    </row>
    <row r="127" spans="2:199" outlineLevel="1">
      <c r="B127" s="187" t="s">
        <v>411</v>
      </c>
      <c r="C127" s="180">
        <f>800000/3</f>
        <v>266666.66666666669</v>
      </c>
      <c r="D127" s="188"/>
      <c r="E127" s="189">
        <f>(IF(E112&lt;$C114,0,IF(E112=$C114,$C127,0)))</f>
        <v>266666.66666666669</v>
      </c>
      <c r="F127" s="189">
        <f t="shared" ref="F127:BQ127" si="867">(IF(F112&lt;$C114,0,IF(F112=$C114,$C127,0)))</f>
        <v>0</v>
      </c>
      <c r="G127" s="189">
        <f t="shared" si="867"/>
        <v>0</v>
      </c>
      <c r="H127" s="189">
        <f t="shared" si="867"/>
        <v>0</v>
      </c>
      <c r="I127" s="189">
        <f t="shared" si="867"/>
        <v>0</v>
      </c>
      <c r="J127" s="189">
        <f t="shared" si="867"/>
        <v>0</v>
      </c>
      <c r="K127" s="189">
        <f t="shared" si="867"/>
        <v>0</v>
      </c>
      <c r="L127" s="189">
        <f t="shared" si="867"/>
        <v>0</v>
      </c>
      <c r="M127" s="189">
        <f t="shared" si="867"/>
        <v>0</v>
      </c>
      <c r="N127" s="189">
        <f t="shared" si="867"/>
        <v>0</v>
      </c>
      <c r="O127" s="189">
        <f t="shared" si="867"/>
        <v>0</v>
      </c>
      <c r="P127" s="189">
        <f t="shared" si="867"/>
        <v>0</v>
      </c>
      <c r="Q127" s="189">
        <f t="shared" si="867"/>
        <v>0</v>
      </c>
      <c r="R127" s="189">
        <f t="shared" si="867"/>
        <v>0</v>
      </c>
      <c r="S127" s="189">
        <f t="shared" si="867"/>
        <v>0</v>
      </c>
      <c r="T127" s="189">
        <f t="shared" si="867"/>
        <v>0</v>
      </c>
      <c r="U127" s="189">
        <f t="shared" si="867"/>
        <v>0</v>
      </c>
      <c r="V127" s="189">
        <f t="shared" si="867"/>
        <v>0</v>
      </c>
      <c r="W127" s="189">
        <f t="shared" si="867"/>
        <v>0</v>
      </c>
      <c r="X127" s="189">
        <f t="shared" si="867"/>
        <v>0</v>
      </c>
      <c r="Y127" s="189">
        <f t="shared" si="867"/>
        <v>0</v>
      </c>
      <c r="Z127" s="189">
        <f t="shared" si="867"/>
        <v>0</v>
      </c>
      <c r="AA127" s="189">
        <f t="shared" si="867"/>
        <v>0</v>
      </c>
      <c r="AB127" s="189">
        <f t="shared" si="867"/>
        <v>0</v>
      </c>
      <c r="AC127" s="189">
        <f t="shared" si="867"/>
        <v>0</v>
      </c>
      <c r="AD127" s="189">
        <f t="shared" si="867"/>
        <v>0</v>
      </c>
      <c r="AE127" s="189">
        <f t="shared" si="867"/>
        <v>0</v>
      </c>
      <c r="AF127" s="189">
        <f t="shared" si="867"/>
        <v>0</v>
      </c>
      <c r="AG127" s="189">
        <f t="shared" si="867"/>
        <v>0</v>
      </c>
      <c r="AH127" s="189">
        <f t="shared" si="867"/>
        <v>0</v>
      </c>
      <c r="AI127" s="189">
        <f t="shared" si="867"/>
        <v>0</v>
      </c>
      <c r="AJ127" s="189">
        <f t="shared" si="867"/>
        <v>0</v>
      </c>
      <c r="AK127" s="189">
        <f t="shared" si="867"/>
        <v>0</v>
      </c>
      <c r="AL127" s="189">
        <f t="shared" si="867"/>
        <v>0</v>
      </c>
      <c r="AM127" s="189">
        <f t="shared" si="867"/>
        <v>0</v>
      </c>
      <c r="AN127" s="189">
        <f t="shared" si="867"/>
        <v>0</v>
      </c>
      <c r="AO127" s="189">
        <f t="shared" si="867"/>
        <v>0</v>
      </c>
      <c r="AP127" s="189">
        <f t="shared" si="867"/>
        <v>0</v>
      </c>
      <c r="AQ127" s="189">
        <f t="shared" si="867"/>
        <v>0</v>
      </c>
      <c r="AR127" s="189">
        <f t="shared" si="867"/>
        <v>0</v>
      </c>
      <c r="AS127" s="189">
        <f t="shared" si="867"/>
        <v>0</v>
      </c>
      <c r="AT127" s="189">
        <f t="shared" si="867"/>
        <v>0</v>
      </c>
      <c r="AU127" s="189">
        <f t="shared" si="867"/>
        <v>0</v>
      </c>
      <c r="AV127" s="189">
        <f t="shared" si="867"/>
        <v>0</v>
      </c>
      <c r="AW127" s="189">
        <f t="shared" si="867"/>
        <v>0</v>
      </c>
      <c r="AX127" s="189">
        <f t="shared" si="867"/>
        <v>0</v>
      </c>
      <c r="AY127" s="189">
        <f t="shared" si="867"/>
        <v>0</v>
      </c>
      <c r="AZ127" s="189">
        <f t="shared" si="867"/>
        <v>0</v>
      </c>
      <c r="BA127" s="189">
        <f t="shared" si="867"/>
        <v>0</v>
      </c>
      <c r="BB127" s="189">
        <f t="shared" si="867"/>
        <v>0</v>
      </c>
      <c r="BC127" s="189">
        <f t="shared" si="867"/>
        <v>0</v>
      </c>
      <c r="BD127" s="189">
        <f t="shared" si="867"/>
        <v>0</v>
      </c>
      <c r="BE127" s="189">
        <f t="shared" si="867"/>
        <v>0</v>
      </c>
      <c r="BF127" s="189">
        <f t="shared" si="867"/>
        <v>0</v>
      </c>
      <c r="BG127" s="189">
        <f t="shared" si="867"/>
        <v>0</v>
      </c>
      <c r="BH127" s="189">
        <f t="shared" si="867"/>
        <v>0</v>
      </c>
      <c r="BI127" s="189">
        <f t="shared" si="867"/>
        <v>0</v>
      </c>
      <c r="BJ127" s="189">
        <f t="shared" si="867"/>
        <v>0</v>
      </c>
      <c r="BK127" s="189">
        <f t="shared" si="867"/>
        <v>0</v>
      </c>
      <c r="BL127" s="189">
        <f t="shared" si="867"/>
        <v>0</v>
      </c>
      <c r="BM127" s="189">
        <f t="shared" si="867"/>
        <v>0</v>
      </c>
      <c r="BN127" s="189">
        <f t="shared" si="867"/>
        <v>0</v>
      </c>
      <c r="BO127" s="189">
        <f t="shared" si="867"/>
        <v>0</v>
      </c>
      <c r="BP127" s="189">
        <f t="shared" si="867"/>
        <v>0</v>
      </c>
      <c r="BQ127" s="189">
        <f t="shared" si="867"/>
        <v>0</v>
      </c>
      <c r="BR127" s="189">
        <f t="shared" ref="BR127:EC127" si="868">(IF(BR112&lt;$C114,0,IF(BR112=$C114,$C127,0)))</f>
        <v>0</v>
      </c>
      <c r="BS127" s="189">
        <f t="shared" si="868"/>
        <v>0</v>
      </c>
      <c r="BT127" s="189">
        <f t="shared" si="868"/>
        <v>0</v>
      </c>
      <c r="BU127" s="189">
        <f t="shared" si="868"/>
        <v>0</v>
      </c>
      <c r="BV127" s="189">
        <f t="shared" si="868"/>
        <v>0</v>
      </c>
      <c r="BW127" s="189">
        <f t="shared" si="868"/>
        <v>0</v>
      </c>
      <c r="BX127" s="189">
        <f t="shared" si="868"/>
        <v>0</v>
      </c>
      <c r="BY127" s="189">
        <f t="shared" si="868"/>
        <v>0</v>
      </c>
      <c r="BZ127" s="189">
        <f t="shared" si="868"/>
        <v>0</v>
      </c>
      <c r="CA127" s="189">
        <f t="shared" si="868"/>
        <v>0</v>
      </c>
      <c r="CB127" s="189">
        <f t="shared" si="868"/>
        <v>0</v>
      </c>
      <c r="CC127" s="189">
        <f t="shared" si="868"/>
        <v>0</v>
      </c>
      <c r="CD127" s="189">
        <f t="shared" si="868"/>
        <v>0</v>
      </c>
      <c r="CE127" s="189">
        <f t="shared" si="868"/>
        <v>0</v>
      </c>
      <c r="CF127" s="189">
        <f t="shared" si="868"/>
        <v>0</v>
      </c>
      <c r="CG127" s="189">
        <f t="shared" si="868"/>
        <v>0</v>
      </c>
      <c r="CH127" s="189">
        <f t="shared" si="868"/>
        <v>0</v>
      </c>
      <c r="CI127" s="189">
        <f t="shared" si="868"/>
        <v>0</v>
      </c>
      <c r="CJ127" s="189">
        <f t="shared" si="868"/>
        <v>0</v>
      </c>
      <c r="CK127" s="189">
        <f t="shared" si="868"/>
        <v>0</v>
      </c>
      <c r="CL127" s="189">
        <f t="shared" si="868"/>
        <v>0</v>
      </c>
      <c r="CM127" s="189">
        <f t="shared" si="868"/>
        <v>0</v>
      </c>
      <c r="CN127" s="189">
        <f t="shared" si="868"/>
        <v>0</v>
      </c>
      <c r="CO127" s="189">
        <f t="shared" si="868"/>
        <v>0</v>
      </c>
      <c r="CP127" s="189">
        <f t="shared" si="868"/>
        <v>0</v>
      </c>
      <c r="CQ127" s="189">
        <f t="shared" si="868"/>
        <v>0</v>
      </c>
      <c r="CR127" s="189">
        <f t="shared" si="868"/>
        <v>0</v>
      </c>
      <c r="CS127" s="189">
        <f t="shared" si="868"/>
        <v>0</v>
      </c>
      <c r="CT127" s="189">
        <f t="shared" si="868"/>
        <v>0</v>
      </c>
      <c r="CU127" s="189">
        <f t="shared" si="868"/>
        <v>0</v>
      </c>
      <c r="CV127" s="189">
        <f t="shared" si="868"/>
        <v>0</v>
      </c>
      <c r="CW127" s="189">
        <f t="shared" si="868"/>
        <v>0</v>
      </c>
      <c r="CX127" s="189">
        <f t="shared" si="868"/>
        <v>0</v>
      </c>
      <c r="CY127" s="189">
        <f t="shared" si="868"/>
        <v>0</v>
      </c>
      <c r="CZ127" s="189">
        <f t="shared" si="868"/>
        <v>0</v>
      </c>
      <c r="DA127" s="189">
        <f t="shared" si="868"/>
        <v>0</v>
      </c>
      <c r="DB127" s="189">
        <f t="shared" si="868"/>
        <v>0</v>
      </c>
      <c r="DC127" s="189">
        <f t="shared" si="868"/>
        <v>0</v>
      </c>
      <c r="DD127" s="189">
        <f t="shared" si="868"/>
        <v>0</v>
      </c>
      <c r="DE127" s="189">
        <f t="shared" si="868"/>
        <v>0</v>
      </c>
      <c r="DF127" s="189">
        <f t="shared" si="868"/>
        <v>0</v>
      </c>
      <c r="DG127" s="189">
        <f t="shared" si="868"/>
        <v>0</v>
      </c>
      <c r="DH127" s="189">
        <f t="shared" si="868"/>
        <v>0</v>
      </c>
      <c r="DI127" s="189">
        <f t="shared" si="868"/>
        <v>0</v>
      </c>
      <c r="DJ127" s="189">
        <f t="shared" si="868"/>
        <v>0</v>
      </c>
      <c r="DK127" s="189">
        <f t="shared" si="868"/>
        <v>0</v>
      </c>
      <c r="DL127" s="189">
        <f t="shared" si="868"/>
        <v>0</v>
      </c>
      <c r="DM127" s="189">
        <f t="shared" si="868"/>
        <v>0</v>
      </c>
      <c r="DN127" s="189">
        <f t="shared" si="868"/>
        <v>0</v>
      </c>
      <c r="DO127" s="189">
        <f t="shared" si="868"/>
        <v>0</v>
      </c>
      <c r="DP127" s="189">
        <f t="shared" si="868"/>
        <v>0</v>
      </c>
      <c r="DQ127" s="189">
        <f t="shared" si="868"/>
        <v>0</v>
      </c>
      <c r="DR127" s="189">
        <f t="shared" si="868"/>
        <v>0</v>
      </c>
      <c r="DS127" s="189">
        <f t="shared" si="868"/>
        <v>0</v>
      </c>
      <c r="DT127" s="189">
        <f t="shared" si="868"/>
        <v>0</v>
      </c>
      <c r="DU127" s="189">
        <f t="shared" si="868"/>
        <v>0</v>
      </c>
      <c r="DV127" s="189">
        <f t="shared" si="868"/>
        <v>0</v>
      </c>
      <c r="DW127" s="189">
        <f t="shared" si="868"/>
        <v>0</v>
      </c>
      <c r="DX127" s="189">
        <f t="shared" si="868"/>
        <v>0</v>
      </c>
      <c r="DY127" s="189">
        <f t="shared" si="868"/>
        <v>0</v>
      </c>
      <c r="DZ127" s="189">
        <f t="shared" si="868"/>
        <v>0</v>
      </c>
      <c r="EA127" s="189">
        <f t="shared" si="868"/>
        <v>0</v>
      </c>
      <c r="EB127" s="189">
        <f t="shared" si="868"/>
        <v>0</v>
      </c>
      <c r="EC127" s="189">
        <f t="shared" si="868"/>
        <v>0</v>
      </c>
      <c r="ED127" s="189">
        <f t="shared" ref="ED127:GO127" si="869">(IF(ED112&lt;$C114,0,IF(ED112=$C114,$C127,0)))</f>
        <v>0</v>
      </c>
      <c r="EE127" s="189">
        <f t="shared" si="869"/>
        <v>0</v>
      </c>
      <c r="EF127" s="189">
        <f t="shared" si="869"/>
        <v>0</v>
      </c>
      <c r="EG127" s="189">
        <f t="shared" si="869"/>
        <v>0</v>
      </c>
      <c r="EH127" s="189">
        <f t="shared" si="869"/>
        <v>0</v>
      </c>
      <c r="EI127" s="189">
        <f t="shared" si="869"/>
        <v>0</v>
      </c>
      <c r="EJ127" s="189">
        <f t="shared" si="869"/>
        <v>0</v>
      </c>
      <c r="EK127" s="189">
        <f t="shared" si="869"/>
        <v>0</v>
      </c>
      <c r="EL127" s="189">
        <f t="shared" si="869"/>
        <v>0</v>
      </c>
      <c r="EM127" s="189">
        <f t="shared" si="869"/>
        <v>0</v>
      </c>
      <c r="EN127" s="189">
        <f t="shared" si="869"/>
        <v>0</v>
      </c>
      <c r="EO127" s="189">
        <f t="shared" si="869"/>
        <v>0</v>
      </c>
      <c r="EP127" s="189">
        <f t="shared" si="869"/>
        <v>0</v>
      </c>
      <c r="EQ127" s="189">
        <f t="shared" si="869"/>
        <v>0</v>
      </c>
      <c r="ER127" s="189">
        <f t="shared" si="869"/>
        <v>0</v>
      </c>
      <c r="ES127" s="189">
        <f t="shared" si="869"/>
        <v>0</v>
      </c>
      <c r="ET127" s="189">
        <f t="shared" si="869"/>
        <v>0</v>
      </c>
      <c r="EU127" s="189">
        <f t="shared" si="869"/>
        <v>0</v>
      </c>
      <c r="EV127" s="189">
        <f t="shared" si="869"/>
        <v>0</v>
      </c>
      <c r="EW127" s="189">
        <f t="shared" si="869"/>
        <v>0</v>
      </c>
      <c r="EX127" s="189">
        <f t="shared" si="869"/>
        <v>0</v>
      </c>
      <c r="EY127" s="189">
        <f t="shared" si="869"/>
        <v>0</v>
      </c>
      <c r="EZ127" s="189">
        <f t="shared" si="869"/>
        <v>0</v>
      </c>
      <c r="FA127" s="189">
        <f t="shared" si="869"/>
        <v>0</v>
      </c>
      <c r="FB127" s="189">
        <f t="shared" si="869"/>
        <v>0</v>
      </c>
      <c r="FC127" s="189">
        <f t="shared" si="869"/>
        <v>0</v>
      </c>
      <c r="FD127" s="189">
        <f t="shared" si="869"/>
        <v>0</v>
      </c>
      <c r="FE127" s="189">
        <f t="shared" si="869"/>
        <v>0</v>
      </c>
      <c r="FF127" s="189">
        <f t="shared" si="869"/>
        <v>0</v>
      </c>
      <c r="FG127" s="189">
        <f t="shared" si="869"/>
        <v>0</v>
      </c>
      <c r="FH127" s="189">
        <f t="shared" si="869"/>
        <v>0</v>
      </c>
      <c r="FI127" s="189">
        <f t="shared" si="869"/>
        <v>0</v>
      </c>
      <c r="FJ127" s="189">
        <f t="shared" si="869"/>
        <v>0</v>
      </c>
      <c r="FK127" s="189">
        <f t="shared" si="869"/>
        <v>0</v>
      </c>
      <c r="FL127" s="189">
        <f t="shared" si="869"/>
        <v>0</v>
      </c>
      <c r="FM127" s="189">
        <f t="shared" si="869"/>
        <v>0</v>
      </c>
      <c r="FN127" s="189">
        <f t="shared" si="869"/>
        <v>0</v>
      </c>
      <c r="FO127" s="189">
        <f t="shared" si="869"/>
        <v>0</v>
      </c>
      <c r="FP127" s="189">
        <f t="shared" si="869"/>
        <v>0</v>
      </c>
      <c r="FQ127" s="189">
        <f t="shared" si="869"/>
        <v>0</v>
      </c>
      <c r="FR127" s="189">
        <f t="shared" si="869"/>
        <v>0</v>
      </c>
      <c r="FS127" s="189">
        <f t="shared" si="869"/>
        <v>0</v>
      </c>
      <c r="FT127" s="189">
        <f t="shared" si="869"/>
        <v>0</v>
      </c>
      <c r="FU127" s="189">
        <f t="shared" si="869"/>
        <v>0</v>
      </c>
      <c r="FV127" s="189">
        <f t="shared" si="869"/>
        <v>0</v>
      </c>
      <c r="FW127" s="189">
        <f t="shared" si="869"/>
        <v>0</v>
      </c>
      <c r="FX127" s="189">
        <f t="shared" si="869"/>
        <v>0</v>
      </c>
      <c r="FY127" s="189">
        <f t="shared" si="869"/>
        <v>0</v>
      </c>
      <c r="FZ127" s="189">
        <f t="shared" si="869"/>
        <v>0</v>
      </c>
      <c r="GA127" s="189">
        <f t="shared" si="869"/>
        <v>0</v>
      </c>
      <c r="GB127" s="189">
        <f t="shared" si="869"/>
        <v>0</v>
      </c>
      <c r="GC127" s="189">
        <f t="shared" si="869"/>
        <v>0</v>
      </c>
      <c r="GD127" s="189">
        <f t="shared" si="869"/>
        <v>0</v>
      </c>
      <c r="GE127" s="189">
        <f t="shared" si="869"/>
        <v>0</v>
      </c>
      <c r="GF127" s="189">
        <f t="shared" si="869"/>
        <v>0</v>
      </c>
      <c r="GG127" s="189">
        <f t="shared" si="869"/>
        <v>0</v>
      </c>
      <c r="GH127" s="189">
        <f t="shared" si="869"/>
        <v>0</v>
      </c>
      <c r="GI127" s="189">
        <f t="shared" si="869"/>
        <v>0</v>
      </c>
      <c r="GJ127" s="189">
        <f t="shared" si="869"/>
        <v>0</v>
      </c>
      <c r="GK127" s="189">
        <f t="shared" si="869"/>
        <v>0</v>
      </c>
      <c r="GL127" s="189">
        <f t="shared" si="869"/>
        <v>0</v>
      </c>
      <c r="GM127" s="189">
        <f t="shared" si="869"/>
        <v>0</v>
      </c>
      <c r="GN127" s="189">
        <f t="shared" si="869"/>
        <v>0</v>
      </c>
      <c r="GO127" s="189">
        <f t="shared" si="869"/>
        <v>0</v>
      </c>
      <c r="GP127" s="189">
        <f t="shared" ref="GP127:GQ127" si="870">(IF(GP112&lt;$C114,0,IF(GP112=$C114,$C127,0)))</f>
        <v>0</v>
      </c>
      <c r="GQ127" s="189">
        <f t="shared" si="870"/>
        <v>0</v>
      </c>
    </row>
    <row r="128" spans="2:199" outlineLevel="1">
      <c r="B128" s="190" t="s">
        <v>395</v>
      </c>
      <c r="C128" s="164"/>
      <c r="D128" s="191"/>
      <c r="E128" s="191">
        <f>SUM(E126:E127,-D133)*(E136-1)</f>
        <v>0</v>
      </c>
      <c r="F128" s="191">
        <f t="shared" ref="F128" si="871">SUM(F126:F127,-E133)*(F136-1)</f>
        <v>0</v>
      </c>
      <c r="G128" s="191">
        <f t="shared" ref="G128" si="872">SUM(G126:G127,-F133)*(G136-1)</f>
        <v>0</v>
      </c>
      <c r="H128" s="191">
        <f t="shared" ref="H128" si="873">SUM(H126:H127,-G133)*(H136-1)</f>
        <v>0</v>
      </c>
      <c r="I128" s="191">
        <f t="shared" ref="I128" si="874">SUM(I126:I127,-H133)*(I136-1)</f>
        <v>0</v>
      </c>
      <c r="J128" s="191">
        <f t="shared" ref="J128" si="875">SUM(J126:J127,-I133)*(J136-1)</f>
        <v>0</v>
      </c>
      <c r="K128" s="191">
        <f t="shared" ref="K128" si="876">SUM(K126:K127,-J133)*(K136-1)</f>
        <v>0</v>
      </c>
      <c r="L128" s="191">
        <f t="shared" ref="L128" si="877">SUM(L126:L127,-K133)*(L136-1)</f>
        <v>0</v>
      </c>
      <c r="M128" s="191">
        <f t="shared" ref="M128" si="878">SUM(M126:M127,-L133)*(M136-1)</f>
        <v>0</v>
      </c>
      <c r="N128" s="191">
        <f t="shared" ref="N128" si="879">SUM(N126:N127,-M133)*(N136-1)</f>
        <v>0</v>
      </c>
      <c r="O128" s="191">
        <f t="shared" ref="O128" si="880">SUM(O126:O127,-N133)*(O136-1)</f>
        <v>0</v>
      </c>
      <c r="P128" s="191">
        <f t="shared" ref="P128" si="881">SUM(P126:P127,-O133)*(P136-1)</f>
        <v>0</v>
      </c>
      <c r="Q128" s="191">
        <f t="shared" ref="Q128" si="882">SUM(Q126:Q127,-P133)*(Q136-1)</f>
        <v>0</v>
      </c>
      <c r="R128" s="191">
        <f t="shared" ref="R128" si="883">SUM(R126:R127,-Q133)*(R136-1)</f>
        <v>0</v>
      </c>
      <c r="S128" s="191">
        <f t="shared" ref="S128" si="884">SUM(S126:S127,-R133)*(S136-1)</f>
        <v>0</v>
      </c>
      <c r="T128" s="191">
        <f t="shared" ref="T128" si="885">SUM(T126:T127,-S133)*(T136-1)</f>
        <v>0</v>
      </c>
      <c r="U128" s="191">
        <f t="shared" ref="U128" si="886">SUM(U126:U127,-T133)*(U136-1)</f>
        <v>0</v>
      </c>
      <c r="V128" s="191">
        <f t="shared" ref="V128" si="887">SUM(V126:V127,-U133)*(V136-1)</f>
        <v>0</v>
      </c>
      <c r="W128" s="191">
        <f t="shared" ref="W128" si="888">SUM(W126:W127,-V133)*(W136-1)</f>
        <v>0</v>
      </c>
      <c r="X128" s="191">
        <f t="shared" ref="X128" si="889">SUM(X126:X127,-W133)*(X136-1)</f>
        <v>0</v>
      </c>
      <c r="Y128" s="191">
        <f t="shared" ref="Y128" si="890">SUM(Y126:Y127,-X133)*(Y136-1)</f>
        <v>0</v>
      </c>
      <c r="Z128" s="191">
        <f t="shared" ref="Z128" si="891">SUM(Z126:Z127,-Y133)*(Z136-1)</f>
        <v>0</v>
      </c>
      <c r="AA128" s="191">
        <f t="shared" ref="AA128" si="892">SUM(AA126:AA127,-Z133)*(AA136-1)</f>
        <v>0</v>
      </c>
      <c r="AB128" s="191">
        <f t="shared" ref="AB128" si="893">SUM(AB126:AB127,-AA133)*(AB136-1)</f>
        <v>0</v>
      </c>
      <c r="AC128" s="191">
        <f t="shared" ref="AC128" si="894">SUM(AC126:AC127,-AB133)*(AC136-1)</f>
        <v>0</v>
      </c>
      <c r="AD128" s="191">
        <f t="shared" ref="AD128" si="895">SUM(AD126:AD127,-AC133)*(AD136-1)</f>
        <v>0</v>
      </c>
      <c r="AE128" s="191">
        <f t="shared" ref="AE128" si="896">SUM(AE126:AE127,-AD133)*(AE136-1)</f>
        <v>0</v>
      </c>
      <c r="AF128" s="191">
        <f t="shared" ref="AF128" si="897">SUM(AF126:AF127,-AE133)*(AF136-1)</f>
        <v>0</v>
      </c>
      <c r="AG128" s="191">
        <f t="shared" ref="AG128" si="898">SUM(AG126:AG127,-AF133)*(AG136-1)</f>
        <v>0</v>
      </c>
      <c r="AH128" s="191">
        <f t="shared" ref="AH128" si="899">SUM(AH126:AH127,-AG133)*(AH136-1)</f>
        <v>0</v>
      </c>
      <c r="AI128" s="191">
        <f t="shared" ref="AI128" si="900">SUM(AI126:AI127,-AH133)*(AI136-1)</f>
        <v>0</v>
      </c>
      <c r="AJ128" s="191">
        <f t="shared" ref="AJ128" si="901">SUM(AJ126:AJ127,-AI133)*(AJ136-1)</f>
        <v>0</v>
      </c>
      <c r="AK128" s="191">
        <f t="shared" ref="AK128" si="902">SUM(AK126:AK127,-AJ133)*(AK136-1)</f>
        <v>0</v>
      </c>
      <c r="AL128" s="191">
        <f t="shared" ref="AL128" si="903">SUM(AL126:AL127,-AK133)*(AL136-1)</f>
        <v>0</v>
      </c>
      <c r="AM128" s="191">
        <f t="shared" ref="AM128" si="904">SUM(AM126:AM127,-AL133)*(AM136-1)</f>
        <v>0</v>
      </c>
      <c r="AN128" s="191">
        <f t="shared" ref="AN128" si="905">SUM(AN126:AN127,-AM133)*(AN136-1)</f>
        <v>0</v>
      </c>
      <c r="AO128" s="191">
        <f t="shared" ref="AO128" si="906">SUM(AO126:AO127,-AN133)*(AO136-1)</f>
        <v>0</v>
      </c>
      <c r="AP128" s="191">
        <f t="shared" ref="AP128" si="907">SUM(AP126:AP127,-AO133)*(AP136-1)</f>
        <v>0</v>
      </c>
      <c r="AQ128" s="191">
        <f t="shared" ref="AQ128" si="908">SUM(AQ126:AQ127,-AP133)*(AQ136-1)</f>
        <v>0</v>
      </c>
      <c r="AR128" s="191">
        <f t="shared" ref="AR128" si="909">SUM(AR126:AR127,-AQ133)*(AR136-1)</f>
        <v>0</v>
      </c>
      <c r="AS128" s="191">
        <f t="shared" ref="AS128" si="910">SUM(AS126:AS127,-AR133)*(AS136-1)</f>
        <v>0</v>
      </c>
      <c r="AT128" s="191">
        <f t="shared" ref="AT128" si="911">SUM(AT126:AT127,-AS133)*(AT136-1)</f>
        <v>0</v>
      </c>
      <c r="AU128" s="191">
        <f t="shared" ref="AU128" si="912">SUM(AU126:AU127,-AT133)*(AU136-1)</f>
        <v>0</v>
      </c>
      <c r="AV128" s="191">
        <f t="shared" ref="AV128" si="913">SUM(AV126:AV127,-AU133)*(AV136-1)</f>
        <v>0</v>
      </c>
      <c r="AW128" s="191">
        <f t="shared" ref="AW128" si="914">SUM(AW126:AW127,-AV133)*(AW136-1)</f>
        <v>0</v>
      </c>
      <c r="AX128" s="191">
        <f t="shared" ref="AX128" si="915">SUM(AX126:AX127,-AW133)*(AX136-1)</f>
        <v>0</v>
      </c>
      <c r="AY128" s="191">
        <f t="shared" ref="AY128" si="916">SUM(AY126:AY127,-AX133)*(AY136-1)</f>
        <v>0</v>
      </c>
      <c r="AZ128" s="191">
        <f t="shared" ref="AZ128" si="917">SUM(AZ126:AZ127,-AY133)*(AZ136-1)</f>
        <v>0</v>
      </c>
      <c r="BA128" s="191">
        <f t="shared" ref="BA128" si="918">SUM(BA126:BA127,-AZ133)*(BA136-1)</f>
        <v>0</v>
      </c>
      <c r="BB128" s="191">
        <f t="shared" ref="BB128" si="919">SUM(BB126:BB127,-BA133)*(BB136-1)</f>
        <v>0</v>
      </c>
      <c r="BC128" s="191">
        <f t="shared" ref="BC128" si="920">SUM(BC126:BC127,-BB133)*(BC136-1)</f>
        <v>0</v>
      </c>
      <c r="BD128" s="191">
        <f t="shared" ref="BD128" si="921">SUM(BD126:BD127,-BC133)*(BD136-1)</f>
        <v>0</v>
      </c>
      <c r="BE128" s="191">
        <f t="shared" ref="BE128" si="922">SUM(BE126:BE127,-BD133)*(BE136-1)</f>
        <v>0</v>
      </c>
      <c r="BF128" s="191">
        <f t="shared" ref="BF128" si="923">SUM(BF126:BF127,-BE133)*(BF136-1)</f>
        <v>0</v>
      </c>
      <c r="BG128" s="191">
        <f t="shared" ref="BG128" si="924">SUM(BG126:BG127,-BF133)*(BG136-1)</f>
        <v>0</v>
      </c>
      <c r="BH128" s="191">
        <f t="shared" ref="BH128" si="925">SUM(BH126:BH127,-BG133)*(BH136-1)</f>
        <v>0</v>
      </c>
      <c r="BI128" s="191">
        <f t="shared" ref="BI128" si="926">SUM(BI126:BI127,-BH133)*(BI136-1)</f>
        <v>0</v>
      </c>
      <c r="BJ128" s="191">
        <f t="shared" ref="BJ128" si="927">SUM(BJ126:BJ127,-BI133)*(BJ136-1)</f>
        <v>0</v>
      </c>
      <c r="BK128" s="191">
        <f t="shared" ref="BK128" si="928">SUM(BK126:BK127,-BJ133)*(BK136-1)</f>
        <v>0</v>
      </c>
      <c r="BL128" s="191">
        <f t="shared" ref="BL128" si="929">SUM(BL126:BL127,-BK133)*(BL136-1)</f>
        <v>0</v>
      </c>
      <c r="BM128" s="191">
        <f t="shared" ref="BM128" si="930">SUM(BM126:BM127,-BL133)*(BM136-1)</f>
        <v>0</v>
      </c>
      <c r="BN128" s="191">
        <f t="shared" ref="BN128" si="931">SUM(BN126:BN127,-BM133)*(BN136-1)</f>
        <v>0</v>
      </c>
      <c r="BO128" s="191">
        <f t="shared" ref="BO128" si="932">SUM(BO126:BO127,-BN133)*(BO136-1)</f>
        <v>0</v>
      </c>
      <c r="BP128" s="191">
        <f t="shared" ref="BP128" si="933">SUM(BP126:BP127,-BO133)*(BP136-1)</f>
        <v>0</v>
      </c>
      <c r="BQ128" s="191">
        <f t="shared" ref="BQ128" si="934">SUM(BQ126:BQ127,-BP133)*(BQ136-1)</f>
        <v>0</v>
      </c>
      <c r="BR128" s="191">
        <f t="shared" ref="BR128" si="935">SUM(BR126:BR127,-BQ133)*(BR136-1)</f>
        <v>0</v>
      </c>
      <c r="BS128" s="191">
        <f t="shared" ref="BS128" si="936">SUM(BS126:BS127,-BR133)*(BS136-1)</f>
        <v>0</v>
      </c>
      <c r="BT128" s="191">
        <f t="shared" ref="BT128" si="937">SUM(BT126:BT127,-BS133)*(BT136-1)</f>
        <v>0</v>
      </c>
      <c r="BU128" s="191">
        <f t="shared" ref="BU128" si="938">SUM(BU126:BU127,-BT133)*(BU136-1)</f>
        <v>0</v>
      </c>
      <c r="BV128" s="191">
        <f t="shared" ref="BV128" si="939">SUM(BV126:BV127,-BU133)*(BV136-1)</f>
        <v>0</v>
      </c>
      <c r="BW128" s="191">
        <f t="shared" ref="BW128" si="940">SUM(BW126:BW127,-BV133)*(BW136-1)</f>
        <v>0</v>
      </c>
      <c r="BX128" s="191">
        <f t="shared" ref="BX128" si="941">SUM(BX126:BX127,-BW133)*(BX136-1)</f>
        <v>0</v>
      </c>
      <c r="BY128" s="191">
        <f t="shared" ref="BY128" si="942">SUM(BY126:BY127,-BX133)*(BY136-1)</f>
        <v>0</v>
      </c>
      <c r="BZ128" s="191">
        <f t="shared" ref="BZ128" si="943">SUM(BZ126:BZ127,-BY133)*(BZ136-1)</f>
        <v>0</v>
      </c>
      <c r="CA128" s="191">
        <f t="shared" ref="CA128" si="944">SUM(CA126:CA127,-BZ133)*(CA136-1)</f>
        <v>0</v>
      </c>
      <c r="CB128" s="191">
        <f t="shared" ref="CB128" si="945">SUM(CB126:CB127,-CA133)*(CB136-1)</f>
        <v>0</v>
      </c>
      <c r="CC128" s="191">
        <f t="shared" ref="CC128" si="946">SUM(CC126:CC127,-CB133)*(CC136-1)</f>
        <v>0</v>
      </c>
      <c r="CD128" s="191">
        <f t="shared" ref="CD128" si="947">SUM(CD126:CD127,-CC133)*(CD136-1)</f>
        <v>0</v>
      </c>
      <c r="CE128" s="191">
        <f t="shared" ref="CE128" si="948">SUM(CE126:CE127,-CD133)*(CE136-1)</f>
        <v>0</v>
      </c>
      <c r="CF128" s="191">
        <f t="shared" ref="CF128" si="949">SUM(CF126:CF127,-CE133)*(CF136-1)</f>
        <v>0</v>
      </c>
      <c r="CG128" s="191">
        <f t="shared" ref="CG128" si="950">SUM(CG126:CG127,-CF133)*(CG136-1)</f>
        <v>0</v>
      </c>
      <c r="CH128" s="191">
        <f t="shared" ref="CH128" si="951">SUM(CH126:CH127,-CG133)*(CH136-1)</f>
        <v>0</v>
      </c>
      <c r="CI128" s="191">
        <f t="shared" ref="CI128" si="952">SUM(CI126:CI127,-CH133)*(CI136-1)</f>
        <v>0</v>
      </c>
      <c r="CJ128" s="191">
        <f t="shared" ref="CJ128" si="953">SUM(CJ126:CJ127,-CI133)*(CJ136-1)</f>
        <v>0</v>
      </c>
      <c r="CK128" s="191">
        <f t="shared" ref="CK128" si="954">SUM(CK126:CK127,-CJ133)*(CK136-1)</f>
        <v>0</v>
      </c>
      <c r="CL128" s="191">
        <f t="shared" ref="CL128" si="955">SUM(CL126:CL127,-CK133)*(CL136-1)</f>
        <v>0</v>
      </c>
      <c r="CM128" s="191">
        <f t="shared" ref="CM128" si="956">SUM(CM126:CM127,-CL133)*(CM136-1)</f>
        <v>0</v>
      </c>
      <c r="CN128" s="191">
        <f t="shared" ref="CN128" si="957">SUM(CN126:CN127,-CM133)*(CN136-1)</f>
        <v>0</v>
      </c>
      <c r="CO128" s="191">
        <f t="shared" ref="CO128" si="958">SUM(CO126:CO127,-CN133)*(CO136-1)</f>
        <v>0</v>
      </c>
      <c r="CP128" s="191">
        <f t="shared" ref="CP128" si="959">SUM(CP126:CP127,-CO133)*(CP136-1)</f>
        <v>0</v>
      </c>
      <c r="CQ128" s="191">
        <f t="shared" ref="CQ128" si="960">SUM(CQ126:CQ127,-CP133)*(CQ136-1)</f>
        <v>0</v>
      </c>
      <c r="CR128" s="191">
        <f t="shared" ref="CR128" si="961">SUM(CR126:CR127,-CQ133)*(CR136-1)</f>
        <v>0</v>
      </c>
      <c r="CS128" s="191">
        <f t="shared" ref="CS128" si="962">SUM(CS126:CS127,-CR133)*(CS136-1)</f>
        <v>0</v>
      </c>
      <c r="CT128" s="191">
        <f t="shared" ref="CT128" si="963">SUM(CT126:CT127,-CS133)*(CT136-1)</f>
        <v>0</v>
      </c>
      <c r="CU128" s="191">
        <f t="shared" ref="CU128" si="964">SUM(CU126:CU127,-CT133)*(CU136-1)</f>
        <v>0</v>
      </c>
      <c r="CV128" s="191">
        <f t="shared" ref="CV128" si="965">SUM(CV126:CV127,-CU133)*(CV136-1)</f>
        <v>0</v>
      </c>
      <c r="CW128" s="191">
        <f t="shared" ref="CW128" si="966">SUM(CW126:CW127,-CV133)*(CW136-1)</f>
        <v>0</v>
      </c>
      <c r="CX128" s="191">
        <f t="shared" ref="CX128" si="967">SUM(CX126:CX127,-CW133)*(CX136-1)</f>
        <v>0</v>
      </c>
      <c r="CY128" s="191">
        <f t="shared" ref="CY128" si="968">SUM(CY126:CY127,-CX133)*(CY136-1)</f>
        <v>0</v>
      </c>
      <c r="CZ128" s="191">
        <f t="shared" ref="CZ128" si="969">SUM(CZ126:CZ127,-CY133)*(CZ136-1)</f>
        <v>0</v>
      </c>
      <c r="DA128" s="191">
        <f t="shared" ref="DA128" si="970">SUM(DA126:DA127,-CZ133)*(DA136-1)</f>
        <v>0</v>
      </c>
      <c r="DB128" s="191">
        <f t="shared" ref="DB128" si="971">SUM(DB126:DB127,-DA133)*(DB136-1)</f>
        <v>0</v>
      </c>
      <c r="DC128" s="191">
        <f t="shared" ref="DC128" si="972">SUM(DC126:DC127,-DB133)*(DC136-1)</f>
        <v>0</v>
      </c>
      <c r="DD128" s="191">
        <f t="shared" ref="DD128" si="973">SUM(DD126:DD127,-DC133)*(DD136-1)</f>
        <v>0</v>
      </c>
      <c r="DE128" s="191">
        <f t="shared" ref="DE128" si="974">SUM(DE126:DE127,-DD133)*(DE136-1)</f>
        <v>0</v>
      </c>
      <c r="DF128" s="191">
        <f t="shared" ref="DF128" si="975">SUM(DF126:DF127,-DE133)*(DF136-1)</f>
        <v>0</v>
      </c>
      <c r="DG128" s="191">
        <f t="shared" ref="DG128" si="976">SUM(DG126:DG127,-DF133)*(DG136-1)</f>
        <v>0</v>
      </c>
      <c r="DH128" s="191">
        <f t="shared" ref="DH128" si="977">SUM(DH126:DH127,-DG133)*(DH136-1)</f>
        <v>0</v>
      </c>
      <c r="DI128" s="191">
        <f t="shared" ref="DI128" si="978">SUM(DI126:DI127,-DH133)*(DI136-1)</f>
        <v>0</v>
      </c>
      <c r="DJ128" s="191">
        <f t="shared" ref="DJ128" si="979">SUM(DJ126:DJ127,-DI133)*(DJ136-1)</f>
        <v>0</v>
      </c>
      <c r="DK128" s="191">
        <f t="shared" ref="DK128" si="980">SUM(DK126:DK127,-DJ133)*(DK136-1)</f>
        <v>0</v>
      </c>
      <c r="DL128" s="191">
        <f t="shared" ref="DL128" si="981">SUM(DL126:DL127,-DK133)*(DL136-1)</f>
        <v>0</v>
      </c>
      <c r="DM128" s="191">
        <f t="shared" ref="DM128" si="982">SUM(DM126:DM127,-DL133)*(DM136-1)</f>
        <v>0</v>
      </c>
      <c r="DN128" s="191">
        <f t="shared" ref="DN128" si="983">SUM(DN126:DN127,-DM133)*(DN136-1)</f>
        <v>0</v>
      </c>
      <c r="DO128" s="191">
        <f t="shared" ref="DO128" si="984">SUM(DO126:DO127,-DN133)*(DO136-1)</f>
        <v>0</v>
      </c>
      <c r="DP128" s="191">
        <f t="shared" ref="DP128" si="985">SUM(DP126:DP127,-DO133)*(DP136-1)</f>
        <v>0</v>
      </c>
      <c r="DQ128" s="191">
        <f t="shared" ref="DQ128" si="986">SUM(DQ126:DQ127,-DP133)*(DQ136-1)</f>
        <v>0</v>
      </c>
      <c r="DR128" s="191">
        <f t="shared" ref="DR128" si="987">SUM(DR126:DR127,-DQ133)*(DR136-1)</f>
        <v>0</v>
      </c>
      <c r="DS128" s="191">
        <f t="shared" ref="DS128" si="988">SUM(DS126:DS127,-DR133)*(DS136-1)</f>
        <v>0</v>
      </c>
      <c r="DT128" s="191">
        <f t="shared" ref="DT128" si="989">SUM(DT126:DT127,-DS133)*(DT136-1)</f>
        <v>0</v>
      </c>
      <c r="DU128" s="191">
        <f t="shared" ref="DU128" si="990">SUM(DU126:DU127,-DT133)*(DU136-1)</f>
        <v>0</v>
      </c>
      <c r="DV128" s="191">
        <f t="shared" ref="DV128" si="991">SUM(DV126:DV127,-DU133)*(DV136-1)</f>
        <v>0</v>
      </c>
      <c r="DW128" s="191">
        <f t="shared" ref="DW128" si="992">SUM(DW126:DW127,-DV133)*(DW136-1)</f>
        <v>0</v>
      </c>
      <c r="DX128" s="191">
        <f t="shared" ref="DX128" si="993">SUM(DX126:DX127,-DW133)*(DX136-1)</f>
        <v>0</v>
      </c>
      <c r="DY128" s="191">
        <f t="shared" ref="DY128" si="994">SUM(DY126:DY127,-DX133)*(DY136-1)</f>
        <v>0</v>
      </c>
      <c r="DZ128" s="191">
        <f t="shared" ref="DZ128" si="995">SUM(DZ126:DZ127,-DY133)*(DZ136-1)</f>
        <v>0</v>
      </c>
      <c r="EA128" s="191">
        <f t="shared" ref="EA128" si="996">SUM(EA126:EA127,-DZ133)*(EA136-1)</f>
        <v>0</v>
      </c>
      <c r="EB128" s="191">
        <f t="shared" ref="EB128" si="997">SUM(EB126:EB127,-EA133)*(EB136-1)</f>
        <v>0</v>
      </c>
      <c r="EC128" s="191">
        <f t="shared" ref="EC128" si="998">SUM(EC126:EC127,-EB133)*(EC136-1)</f>
        <v>0</v>
      </c>
      <c r="ED128" s="191">
        <f t="shared" ref="ED128" si="999">SUM(ED126:ED127,-EC133)*(ED136-1)</f>
        <v>0</v>
      </c>
      <c r="EE128" s="191">
        <f t="shared" ref="EE128" si="1000">SUM(EE126:EE127,-ED133)*(EE136-1)</f>
        <v>0</v>
      </c>
      <c r="EF128" s="191">
        <f t="shared" ref="EF128" si="1001">SUM(EF126:EF127,-EE133)*(EF136-1)</f>
        <v>0</v>
      </c>
      <c r="EG128" s="191">
        <f t="shared" ref="EG128" si="1002">SUM(EG126:EG127,-EF133)*(EG136-1)</f>
        <v>0</v>
      </c>
      <c r="EH128" s="191">
        <f t="shared" ref="EH128" si="1003">SUM(EH126:EH127,-EG133)*(EH136-1)</f>
        <v>0</v>
      </c>
      <c r="EI128" s="191">
        <f t="shared" ref="EI128" si="1004">SUM(EI126:EI127,-EH133)*(EI136-1)</f>
        <v>0</v>
      </c>
      <c r="EJ128" s="191">
        <f t="shared" ref="EJ128" si="1005">SUM(EJ126:EJ127,-EI133)*(EJ136-1)</f>
        <v>0</v>
      </c>
      <c r="EK128" s="191">
        <f t="shared" ref="EK128" si="1006">SUM(EK126:EK127,-EJ133)*(EK136-1)</f>
        <v>0</v>
      </c>
      <c r="EL128" s="191">
        <f t="shared" ref="EL128" si="1007">SUM(EL126:EL127,-EK133)*(EL136-1)</f>
        <v>0</v>
      </c>
      <c r="EM128" s="191">
        <f t="shared" ref="EM128" si="1008">SUM(EM126:EM127,-EL133)*(EM136-1)</f>
        <v>0</v>
      </c>
      <c r="EN128" s="191">
        <f t="shared" ref="EN128" si="1009">SUM(EN126:EN127,-EM133)*(EN136-1)</f>
        <v>0</v>
      </c>
      <c r="EO128" s="191">
        <f t="shared" ref="EO128" si="1010">SUM(EO126:EO127,-EN133)*(EO136-1)</f>
        <v>0</v>
      </c>
      <c r="EP128" s="191">
        <f t="shared" ref="EP128" si="1011">SUM(EP126:EP127,-EO133)*(EP136-1)</f>
        <v>0</v>
      </c>
      <c r="EQ128" s="191">
        <f t="shared" ref="EQ128" si="1012">SUM(EQ126:EQ127,-EP133)*(EQ136-1)</f>
        <v>0</v>
      </c>
      <c r="ER128" s="191">
        <f t="shared" ref="ER128" si="1013">SUM(ER126:ER127,-EQ133)*(ER136-1)</f>
        <v>0</v>
      </c>
      <c r="ES128" s="191">
        <f t="shared" ref="ES128" si="1014">SUM(ES126:ES127,-ER133)*(ES136-1)</f>
        <v>0</v>
      </c>
      <c r="ET128" s="191">
        <f t="shared" ref="ET128" si="1015">SUM(ET126:ET127,-ES133)*(ET136-1)</f>
        <v>0</v>
      </c>
      <c r="EU128" s="191">
        <f t="shared" ref="EU128" si="1016">SUM(EU126:EU127,-ET133)*(EU136-1)</f>
        <v>0</v>
      </c>
      <c r="EV128" s="191">
        <f t="shared" ref="EV128" si="1017">SUM(EV126:EV127,-EU133)*(EV136-1)</f>
        <v>0</v>
      </c>
      <c r="EW128" s="191">
        <f t="shared" ref="EW128" si="1018">SUM(EW126:EW127,-EV133)*(EW136-1)</f>
        <v>0</v>
      </c>
      <c r="EX128" s="191">
        <f t="shared" ref="EX128" si="1019">SUM(EX126:EX127,-EW133)*(EX136-1)</f>
        <v>0</v>
      </c>
      <c r="EY128" s="191">
        <f t="shared" ref="EY128" si="1020">SUM(EY126:EY127,-EX133)*(EY136-1)</f>
        <v>0</v>
      </c>
      <c r="EZ128" s="191">
        <f t="shared" ref="EZ128" si="1021">SUM(EZ126:EZ127,-EY133)*(EZ136-1)</f>
        <v>0</v>
      </c>
      <c r="FA128" s="191">
        <f t="shared" ref="FA128" si="1022">SUM(FA126:FA127,-EZ133)*(FA136-1)</f>
        <v>0</v>
      </c>
      <c r="FB128" s="191">
        <f t="shared" ref="FB128" si="1023">SUM(FB126:FB127,-FA133)*(FB136-1)</f>
        <v>0</v>
      </c>
      <c r="FC128" s="191">
        <f t="shared" ref="FC128" si="1024">SUM(FC126:FC127,-FB133)*(FC136-1)</f>
        <v>0</v>
      </c>
      <c r="FD128" s="191">
        <f t="shared" ref="FD128" si="1025">SUM(FD126:FD127,-FC133)*(FD136-1)</f>
        <v>0</v>
      </c>
      <c r="FE128" s="191">
        <f t="shared" ref="FE128" si="1026">SUM(FE126:FE127,-FD133)*(FE136-1)</f>
        <v>0</v>
      </c>
      <c r="FF128" s="191">
        <f t="shared" ref="FF128" si="1027">SUM(FF126:FF127,-FE133)*(FF136-1)</f>
        <v>0</v>
      </c>
      <c r="FG128" s="191">
        <f t="shared" ref="FG128" si="1028">SUM(FG126:FG127,-FF133)*(FG136-1)</f>
        <v>0</v>
      </c>
      <c r="FH128" s="191">
        <f t="shared" ref="FH128" si="1029">SUM(FH126:FH127,-FG133)*(FH136-1)</f>
        <v>0</v>
      </c>
      <c r="FI128" s="191">
        <f t="shared" ref="FI128" si="1030">SUM(FI126:FI127,-FH133)*(FI136-1)</f>
        <v>0</v>
      </c>
      <c r="FJ128" s="191">
        <f t="shared" ref="FJ128" si="1031">SUM(FJ126:FJ127,-FI133)*(FJ136-1)</f>
        <v>0</v>
      </c>
      <c r="FK128" s="191">
        <f t="shared" ref="FK128" si="1032">SUM(FK126:FK127,-FJ133)*(FK136-1)</f>
        <v>0</v>
      </c>
      <c r="FL128" s="191">
        <f t="shared" ref="FL128" si="1033">SUM(FL126:FL127,-FK133)*(FL136-1)</f>
        <v>0</v>
      </c>
      <c r="FM128" s="191">
        <f t="shared" ref="FM128" si="1034">SUM(FM126:FM127,-FL133)*(FM136-1)</f>
        <v>0</v>
      </c>
      <c r="FN128" s="191">
        <f t="shared" ref="FN128" si="1035">SUM(FN126:FN127,-FM133)*(FN136-1)</f>
        <v>0</v>
      </c>
      <c r="FO128" s="191">
        <f t="shared" ref="FO128" si="1036">SUM(FO126:FO127,-FN133)*(FO136-1)</f>
        <v>0</v>
      </c>
      <c r="FP128" s="191">
        <f t="shared" ref="FP128" si="1037">SUM(FP126:FP127,-FO133)*(FP136-1)</f>
        <v>0</v>
      </c>
      <c r="FQ128" s="191">
        <f t="shared" ref="FQ128" si="1038">SUM(FQ126:FQ127,-FP133)*(FQ136-1)</f>
        <v>0</v>
      </c>
      <c r="FR128" s="191">
        <f t="shared" ref="FR128" si="1039">SUM(FR126:FR127,-FQ133)*(FR136-1)</f>
        <v>0</v>
      </c>
      <c r="FS128" s="191">
        <f t="shared" ref="FS128" si="1040">SUM(FS126:FS127,-FR133)*(FS136-1)</f>
        <v>0</v>
      </c>
      <c r="FT128" s="191">
        <f t="shared" ref="FT128" si="1041">SUM(FT126:FT127,-FS133)*(FT136-1)</f>
        <v>0</v>
      </c>
      <c r="FU128" s="191">
        <f t="shared" ref="FU128" si="1042">SUM(FU126:FU127,-FT133)*(FU136-1)</f>
        <v>0</v>
      </c>
      <c r="FV128" s="191">
        <f t="shared" ref="FV128" si="1043">SUM(FV126:FV127,-FU133)*(FV136-1)</f>
        <v>0</v>
      </c>
      <c r="FW128" s="191">
        <f t="shared" ref="FW128" si="1044">SUM(FW126:FW127,-FV133)*(FW136-1)</f>
        <v>0</v>
      </c>
      <c r="FX128" s="191">
        <f t="shared" ref="FX128" si="1045">SUM(FX126:FX127,-FW133)*(FX136-1)</f>
        <v>0</v>
      </c>
      <c r="FY128" s="191">
        <f t="shared" ref="FY128" si="1046">SUM(FY126:FY127,-FX133)*(FY136-1)</f>
        <v>0</v>
      </c>
      <c r="FZ128" s="191">
        <f t="shared" ref="FZ128" si="1047">SUM(FZ126:FZ127,-FY133)*(FZ136-1)</f>
        <v>0</v>
      </c>
      <c r="GA128" s="191">
        <f t="shared" ref="GA128" si="1048">SUM(GA126:GA127,-FZ133)*(GA136-1)</f>
        <v>0</v>
      </c>
      <c r="GB128" s="191">
        <f t="shared" ref="GB128" si="1049">SUM(GB126:GB127,-GA133)*(GB136-1)</f>
        <v>0</v>
      </c>
      <c r="GC128" s="191">
        <f t="shared" ref="GC128" si="1050">SUM(GC126:GC127,-GB133)*(GC136-1)</f>
        <v>0</v>
      </c>
      <c r="GD128" s="191">
        <f t="shared" ref="GD128" si="1051">SUM(GD126:GD127,-GC133)*(GD136-1)</f>
        <v>0</v>
      </c>
      <c r="GE128" s="191">
        <f t="shared" ref="GE128" si="1052">SUM(GE126:GE127,-GD133)*(GE136-1)</f>
        <v>0</v>
      </c>
      <c r="GF128" s="191">
        <f t="shared" ref="GF128" si="1053">SUM(GF126:GF127,-GE133)*(GF136-1)</f>
        <v>0</v>
      </c>
      <c r="GG128" s="191">
        <f t="shared" ref="GG128" si="1054">SUM(GG126:GG127,-GF133)*(GG136-1)</f>
        <v>0</v>
      </c>
      <c r="GH128" s="191">
        <f t="shared" ref="GH128" si="1055">SUM(GH126:GH127,-GG133)*(GH136-1)</f>
        <v>0</v>
      </c>
      <c r="GI128" s="191">
        <f t="shared" ref="GI128" si="1056">SUM(GI126:GI127,-GH133)*(GI136-1)</f>
        <v>0</v>
      </c>
      <c r="GJ128" s="191">
        <f t="shared" ref="GJ128" si="1057">SUM(GJ126:GJ127,-GI133)*(GJ136-1)</f>
        <v>0</v>
      </c>
      <c r="GK128" s="191">
        <f t="shared" ref="GK128" si="1058">SUM(GK126:GK127,-GJ133)*(GK136-1)</f>
        <v>0</v>
      </c>
      <c r="GL128" s="191">
        <f t="shared" ref="GL128" si="1059">SUM(GL126:GL127,-GK133)*(GL136-1)</f>
        <v>0</v>
      </c>
      <c r="GM128" s="191">
        <f t="shared" ref="GM128" si="1060">SUM(GM126:GM127,-GL133)*(GM136-1)</f>
        <v>0</v>
      </c>
      <c r="GN128" s="191">
        <f t="shared" ref="GN128" si="1061">SUM(GN126:GN127,-GM133)*(GN136-1)</f>
        <v>0</v>
      </c>
      <c r="GO128" s="191">
        <f t="shared" ref="GO128" si="1062">SUM(GO126:GO127,-GN133)*(GO136-1)</f>
        <v>0</v>
      </c>
      <c r="GP128" s="191">
        <f t="shared" ref="GP128" si="1063">SUM(GP126:GP127,-GO133)*(GP136-1)</f>
        <v>0</v>
      </c>
      <c r="GQ128" s="191">
        <f t="shared" ref="GQ128" si="1064">SUM(GQ126:GQ127,-GP133)*(GQ136-1)</f>
        <v>0</v>
      </c>
    </row>
    <row r="129" spans="2:199" outlineLevel="1">
      <c r="B129" s="190" t="s">
        <v>390</v>
      </c>
      <c r="C129" s="192"/>
      <c r="D129" s="193"/>
      <c r="E129" s="193">
        <f>SUM(E126:E128)*E120</f>
        <v>1952.8222477505965</v>
      </c>
      <c r="F129" s="193">
        <f t="shared" ref="F129" si="1065">SUM(F126:F128)*F120</f>
        <v>2118.3149952786184</v>
      </c>
      <c r="G129" s="193">
        <f t="shared" ref="G129" si="1066">SUM(G126:G128)*G120</f>
        <v>2187.4876559498425</v>
      </c>
      <c r="H129" s="193">
        <f t="shared" ref="H129" si="1067">SUM(H126:H128)*H120</f>
        <v>1862.7085707473279</v>
      </c>
      <c r="I129" s="193">
        <f t="shared" ref="I129" si="1068">SUM(I126:I128)*I120</f>
        <v>2133.9742209740225</v>
      </c>
      <c r="J129" s="193">
        <f t="shared" ref="J129" si="1069">SUM(J126:J128)*J120</f>
        <v>1976.8123287372771</v>
      </c>
      <c r="K129" s="193">
        <f t="shared" ref="K129" si="1070">SUM(K126:K128)*K120</f>
        <v>1990.9238379164724</v>
      </c>
      <c r="L129" s="193">
        <f t="shared" ref="L129" si="1071">SUM(L126:L128)*L120</f>
        <v>2070.9048138102189</v>
      </c>
      <c r="M129" s="193">
        <f t="shared" ref="M129" si="1072">SUM(M126:M128)*M120</f>
        <v>1749.8933666840908</v>
      </c>
      <c r="N129" s="193">
        <f t="shared" ref="N129" si="1073">SUM(N126:N128)*N120</f>
        <v>1930.8794707231955</v>
      </c>
      <c r="O129" s="193">
        <f t="shared" ref="O129" si="1074">SUM(O126:O128)*O120</f>
        <v>2115.5717273179348</v>
      </c>
      <c r="P129" s="193">
        <f t="shared" ref="P129" si="1075">SUM(P126:P128)*P120</f>
        <v>2045.8696757870985</v>
      </c>
      <c r="Q129" s="193">
        <f t="shared" ref="Q129" si="1076">SUM(Q126:Q128)*Q120</f>
        <v>1974.3696092069281</v>
      </c>
      <c r="R129" s="193">
        <f t="shared" ref="R129" si="1077">SUM(R126:R128)*R120</f>
        <v>2154.593976765836</v>
      </c>
      <c r="S129" s="193">
        <f t="shared" ref="S129" si="1078">SUM(S126:S128)*S120</f>
        <v>2087.6371602037498</v>
      </c>
      <c r="T129" s="193">
        <f t="shared" ref="T129" si="1079">SUM(T126:T128)*T120</f>
        <v>2071.3726724659796</v>
      </c>
      <c r="U129" s="193">
        <f t="shared" ref="U129" si="1080">SUM(U126:U128)*U120</f>
        <v>2434.2918764154288</v>
      </c>
      <c r="V129" s="193">
        <f t="shared" ref="V129" si="1081">SUM(V126:V128)*V120</f>
        <v>2224.1686211066612</v>
      </c>
      <c r="W129" s="193">
        <f t="shared" ref="W129" si="1082">SUM(W126:W128)*W120</f>
        <v>2390.2433257355783</v>
      </c>
      <c r="X129" s="193">
        <f t="shared" ref="X129" si="1083">SUM(X126:X128)*X120</f>
        <v>2514.2203483850649</v>
      </c>
      <c r="Y129" s="193">
        <f t="shared" ref="Y129" si="1084">SUM(Y126:Y128)*Y120</f>
        <v>2328.1776049616151</v>
      </c>
      <c r="Z129" s="193">
        <f t="shared" ref="Z129" si="1085">SUM(Z126:Z128)*Z120</f>
        <v>2242.2519356029707</v>
      </c>
      <c r="AA129" s="193">
        <f t="shared" ref="AA129" si="1086">SUM(AA126:AA128)*AA120</f>
        <v>2365.8382950895925</v>
      </c>
      <c r="AB129" s="193">
        <f t="shared" ref="AB129" si="1087">SUM(AB126:AB128)*AB120</f>
        <v>2492.1823792812265</v>
      </c>
      <c r="AC129" s="193">
        <f t="shared" ref="AC129" si="1088">SUM(AC126:AC128)*AC120</f>
        <v>2405.8687582285529</v>
      </c>
      <c r="AD129" s="193">
        <f t="shared" ref="AD129" si="1089">SUM(AD126:AD128)*AD120</f>
        <v>2492.7488835359072</v>
      </c>
      <c r="AE129" s="193">
        <f t="shared" ref="AE129" si="1090">SUM(AE126:AE128)*AE120</f>
        <v>2317.243326684415</v>
      </c>
      <c r="AF129" s="193">
        <f t="shared" ref="AF129" si="1091">SUM(AF126:AF128)*AF120</f>
        <v>2437.433988992118</v>
      </c>
      <c r="AG129" s="193">
        <f t="shared" ref="AG129" si="1092">SUM(AG126:AG128)*AG120</f>
        <v>2560.4964344106411</v>
      </c>
      <c r="AH129" s="193">
        <f t="shared" ref="AH129" si="1093">SUM(AH126:AH128)*AH120</f>
        <v>2278.1718312217436</v>
      </c>
      <c r="AI129" s="193">
        <f t="shared" ref="AI129" si="1094">SUM(AI126:AI128)*AI120</f>
        <v>2502.7619586826163</v>
      </c>
      <c r="AJ129" s="193">
        <f t="shared" ref="AJ129" si="1095">SUM(AJ126:AJ128)*AJ120</f>
        <v>2421.3809598361499</v>
      </c>
      <c r="AK129" s="193">
        <f t="shared" ref="AK129" si="1096">SUM(AK126:AK128)*AK120</f>
        <v>2128.2191510261018</v>
      </c>
      <c r="AL129" s="193">
        <f t="shared" ref="AL129" si="1097">SUM(AL126:AL128)*AL120</f>
        <v>2566.0810929393838</v>
      </c>
      <c r="AM129" s="193">
        <f t="shared" ref="AM129" si="1098">SUM(AM126:AM128)*AM120</f>
        <v>2376.2008516613546</v>
      </c>
      <c r="AN129" s="193">
        <f t="shared" ref="AN129" si="1099">SUM(AN126:AN128)*AN120</f>
        <v>2395.7809290178243</v>
      </c>
      <c r="AO129" s="193">
        <f t="shared" ref="AO129" si="1100">SUM(AO126:AO128)*AO120</f>
        <v>2523.7240551514369</v>
      </c>
      <c r="AP129" s="193">
        <f t="shared" ref="AP129" si="1101">SUM(AP126:AP128)*AP120</f>
        <v>2492.7488835359063</v>
      </c>
      <c r="AQ129" s="193">
        <f t="shared" ref="AQ129" si="1102">SUM(AQ126:AQ128)*AQ120</f>
        <v>2317.2433266844141</v>
      </c>
      <c r="AR129" s="193">
        <f t="shared" ref="AR129" si="1103">SUM(AR126:AR128)*AR120</f>
        <v>2337.1929042389911</v>
      </c>
      <c r="AS129" s="193">
        <f t="shared" ref="AS129" si="1104">SUM(AS126:AS128)*AS120</f>
        <v>2357.3142314065776</v>
      </c>
      <c r="AT129" s="193">
        <f t="shared" ref="AT129" si="1105">SUM(AT126:AT128)*AT120</f>
        <v>2275.6716000473175</v>
      </c>
      <c r="AU129" s="193">
        <f t="shared" ref="AU129" si="1106">SUM(AU126:AU128)*AU120</f>
        <v>2500.0152459959309</v>
      </c>
      <c r="AV129" s="193">
        <f t="shared" ref="AV129" si="1107">SUM(AV126:AV128)*AV120</f>
        <v>2439.3154301518357</v>
      </c>
      <c r="AW129" s="193">
        <f t="shared" ref="AW129" si="1108">SUM(AW126:AW128)*AW120</f>
        <v>2460.4947375803908</v>
      </c>
      <c r="AX129" s="193">
        <f t="shared" ref="AX129" si="1109">SUM(AX126:AX128)*AX120</f>
        <v>2481.8579339220441</v>
      </c>
      <c r="AY129" s="193">
        <f t="shared" ref="AY129" si="1110">SUM(AY126:AY128)*AY120</f>
        <v>2503.4066157886045</v>
      </c>
      <c r="AZ129" s="193">
        <f t="shared" ref="AZ129" si="1111">SUM(AZ126:AZ128)*AZ120</f>
        <v>2525.1423936544315</v>
      </c>
      <c r="BA129" s="193">
        <f t="shared" ref="BA129" si="1112">SUM(BA126:BA128)*BA120</f>
        <v>2547.0668919767977</v>
      </c>
      <c r="BB129" s="193">
        <f t="shared" ref="BB129" si="1113">SUM(BB126:BB128)*BB120</f>
        <v>1157.6639995939006</v>
      </c>
      <c r="BC129" s="193">
        <f t="shared" ref="BC129" si="1114">SUM(BC126:BC128)*BC120</f>
        <v>1167.7153941135689</v>
      </c>
      <c r="BD129" s="193">
        <f t="shared" ref="BD129" si="1115">SUM(BD126:BD128)*BD120</f>
        <v>1177.8540596650953</v>
      </c>
      <c r="BE129" s="193">
        <f t="shared" ref="BE129" si="1116">SUM(BE126:BE128)*BE120</f>
        <v>1188.0807539774689</v>
      </c>
      <c r="BF129" s="193">
        <f t="shared" ref="BF129" si="1117">SUM(BF126:BF128)*BF120</f>
        <v>1198.3962413586446</v>
      </c>
      <c r="BG129" s="193">
        <f t="shared" ref="BG129" si="1118">SUM(BG126:BG128)*BG120</f>
        <v>1208.8012927526663</v>
      </c>
      <c r="BH129" s="193">
        <f t="shared" ref="BH129" si="1119">SUM(BH126:BH128)*BH120</f>
        <v>1219.2966857972838</v>
      </c>
      <c r="BI129" s="193">
        <f t="shared" ref="BI129" si="1120">SUM(BI126:BI128)*BI120</f>
        <v>1229.8832048820714</v>
      </c>
      <c r="BJ129" s="193">
        <f t="shared" ref="BJ129" si="1121">SUM(BJ126:BJ128)*BJ120</f>
        <v>1240.5616412070499</v>
      </c>
      <c r="BK129" s="193">
        <f t="shared" ref="BK129" si="1122">SUM(BK126:BK128)*BK120</f>
        <v>1251.3327928418189</v>
      </c>
      <c r="BL129" s="193">
        <f t="shared" ref="BL129" si="1123">SUM(BL126:BL128)*BL120</f>
        <v>1262.197464785201</v>
      </c>
      <c r="BM129" s="193">
        <f t="shared" ref="BM129" si="1124">SUM(BM126:BM128)*BM120</f>
        <v>1273.1564690254047</v>
      </c>
      <c r="BN129" s="193">
        <f t="shared" ref="BN129" si="1125">SUM(BN126:BN128)*BN120</f>
        <v>0</v>
      </c>
      <c r="BO129" s="193">
        <f t="shared" ref="BO129" si="1126">SUM(BO126:BO128)*BO120</f>
        <v>0</v>
      </c>
      <c r="BP129" s="193">
        <f t="shared" ref="BP129" si="1127">SUM(BP126:BP128)*BP120</f>
        <v>0</v>
      </c>
      <c r="BQ129" s="193">
        <f t="shared" ref="BQ129" si="1128">SUM(BQ126:BQ128)*BQ120</f>
        <v>0</v>
      </c>
      <c r="BR129" s="193">
        <f t="shared" ref="BR129" si="1129">SUM(BR126:BR128)*BR120</f>
        <v>0</v>
      </c>
      <c r="BS129" s="193">
        <f t="shared" ref="BS129" si="1130">SUM(BS126:BS128)*BS120</f>
        <v>0</v>
      </c>
      <c r="BT129" s="193">
        <f t="shared" ref="BT129" si="1131">SUM(BT126:BT128)*BT120</f>
        <v>0</v>
      </c>
      <c r="BU129" s="193">
        <f t="shared" ref="BU129" si="1132">SUM(BU126:BU128)*BU120</f>
        <v>0</v>
      </c>
      <c r="BV129" s="193">
        <f t="shared" ref="BV129" si="1133">SUM(BV126:BV128)*BV120</f>
        <v>0</v>
      </c>
      <c r="BW129" s="193">
        <f t="shared" ref="BW129" si="1134">SUM(BW126:BW128)*BW120</f>
        <v>0</v>
      </c>
      <c r="BX129" s="193">
        <f t="shared" ref="BX129" si="1135">SUM(BX126:BX128)*BX120</f>
        <v>0</v>
      </c>
      <c r="BY129" s="193">
        <f t="shared" ref="BY129" si="1136">SUM(BY126:BY128)*BY120</f>
        <v>0</v>
      </c>
      <c r="BZ129" s="193">
        <f t="shared" ref="BZ129" si="1137">SUM(BZ126:BZ128)*BZ120</f>
        <v>0</v>
      </c>
      <c r="CA129" s="193">
        <f t="shared" ref="CA129" si="1138">SUM(CA126:CA128)*CA120</f>
        <v>0</v>
      </c>
      <c r="CB129" s="193">
        <f t="shared" ref="CB129" si="1139">SUM(CB126:CB128)*CB120</f>
        <v>0</v>
      </c>
      <c r="CC129" s="193">
        <f t="shared" ref="CC129" si="1140">SUM(CC126:CC128)*CC120</f>
        <v>0</v>
      </c>
      <c r="CD129" s="193">
        <f t="shared" ref="CD129" si="1141">SUM(CD126:CD128)*CD120</f>
        <v>0</v>
      </c>
      <c r="CE129" s="193">
        <f t="shared" ref="CE129" si="1142">SUM(CE126:CE128)*CE120</f>
        <v>0</v>
      </c>
      <c r="CF129" s="193">
        <f t="shared" ref="CF129" si="1143">SUM(CF126:CF128)*CF120</f>
        <v>0</v>
      </c>
      <c r="CG129" s="193">
        <f t="shared" ref="CG129" si="1144">SUM(CG126:CG128)*CG120</f>
        <v>0</v>
      </c>
      <c r="CH129" s="193">
        <f t="shared" ref="CH129" si="1145">SUM(CH126:CH128)*CH120</f>
        <v>0</v>
      </c>
      <c r="CI129" s="193">
        <f t="shared" ref="CI129" si="1146">SUM(CI126:CI128)*CI120</f>
        <v>0</v>
      </c>
      <c r="CJ129" s="193">
        <f t="shared" ref="CJ129" si="1147">SUM(CJ126:CJ128)*CJ120</f>
        <v>0</v>
      </c>
      <c r="CK129" s="193">
        <f t="shared" ref="CK129" si="1148">SUM(CK126:CK128)*CK120</f>
        <v>0</v>
      </c>
      <c r="CL129" s="193">
        <f t="shared" ref="CL129" si="1149">SUM(CL126:CL128)*CL120</f>
        <v>0</v>
      </c>
      <c r="CM129" s="193">
        <f t="shared" ref="CM129" si="1150">SUM(CM126:CM128)*CM120</f>
        <v>0</v>
      </c>
      <c r="CN129" s="193">
        <f t="shared" ref="CN129" si="1151">SUM(CN126:CN128)*CN120</f>
        <v>0</v>
      </c>
      <c r="CO129" s="193">
        <f t="shared" ref="CO129" si="1152">SUM(CO126:CO128)*CO120</f>
        <v>0</v>
      </c>
      <c r="CP129" s="193">
        <f t="shared" ref="CP129" si="1153">SUM(CP126:CP128)*CP120</f>
        <v>0</v>
      </c>
      <c r="CQ129" s="193">
        <f t="shared" ref="CQ129" si="1154">SUM(CQ126:CQ128)*CQ120</f>
        <v>0</v>
      </c>
      <c r="CR129" s="193">
        <f t="shared" ref="CR129" si="1155">SUM(CR126:CR128)*CR120</f>
        <v>0</v>
      </c>
      <c r="CS129" s="193">
        <f t="shared" ref="CS129" si="1156">SUM(CS126:CS128)*CS120</f>
        <v>0</v>
      </c>
      <c r="CT129" s="193">
        <f t="shared" ref="CT129" si="1157">SUM(CT126:CT128)*CT120</f>
        <v>0</v>
      </c>
      <c r="CU129" s="193">
        <f t="shared" ref="CU129" si="1158">SUM(CU126:CU128)*CU120</f>
        <v>0</v>
      </c>
      <c r="CV129" s="193">
        <f t="shared" ref="CV129" si="1159">SUM(CV126:CV128)*CV120</f>
        <v>0</v>
      </c>
      <c r="CW129" s="193">
        <f t="shared" ref="CW129" si="1160">SUM(CW126:CW128)*CW120</f>
        <v>0</v>
      </c>
      <c r="CX129" s="193">
        <f t="shared" ref="CX129" si="1161">SUM(CX126:CX128)*CX120</f>
        <v>0</v>
      </c>
      <c r="CY129" s="193">
        <f t="shared" ref="CY129" si="1162">SUM(CY126:CY128)*CY120</f>
        <v>0</v>
      </c>
      <c r="CZ129" s="193">
        <f t="shared" ref="CZ129" si="1163">SUM(CZ126:CZ128)*CZ120</f>
        <v>0</v>
      </c>
      <c r="DA129" s="193">
        <f t="shared" ref="DA129" si="1164">SUM(DA126:DA128)*DA120</f>
        <v>0</v>
      </c>
      <c r="DB129" s="193">
        <f t="shared" ref="DB129" si="1165">SUM(DB126:DB128)*DB120</f>
        <v>0</v>
      </c>
      <c r="DC129" s="193">
        <f t="shared" ref="DC129" si="1166">SUM(DC126:DC128)*DC120</f>
        <v>0</v>
      </c>
      <c r="DD129" s="193">
        <f t="shared" ref="DD129" si="1167">SUM(DD126:DD128)*DD120</f>
        <v>0</v>
      </c>
      <c r="DE129" s="193">
        <f t="shared" ref="DE129" si="1168">SUM(DE126:DE128)*DE120</f>
        <v>0</v>
      </c>
      <c r="DF129" s="193">
        <f t="shared" ref="DF129" si="1169">SUM(DF126:DF128)*DF120</f>
        <v>0</v>
      </c>
      <c r="DG129" s="193">
        <f t="shared" ref="DG129" si="1170">SUM(DG126:DG128)*DG120</f>
        <v>0</v>
      </c>
      <c r="DH129" s="193">
        <f t="shared" ref="DH129" si="1171">SUM(DH126:DH128)*DH120</f>
        <v>0</v>
      </c>
      <c r="DI129" s="193">
        <f t="shared" ref="DI129" si="1172">SUM(DI126:DI128)*DI120</f>
        <v>0</v>
      </c>
      <c r="DJ129" s="193">
        <f t="shared" ref="DJ129" si="1173">SUM(DJ126:DJ128)*DJ120</f>
        <v>0</v>
      </c>
      <c r="DK129" s="193">
        <f t="shared" ref="DK129" si="1174">SUM(DK126:DK128)*DK120</f>
        <v>0</v>
      </c>
      <c r="DL129" s="193">
        <f t="shared" ref="DL129" si="1175">SUM(DL126:DL128)*DL120</f>
        <v>0</v>
      </c>
      <c r="DM129" s="193">
        <f t="shared" ref="DM129" si="1176">SUM(DM126:DM128)*DM120</f>
        <v>0</v>
      </c>
      <c r="DN129" s="193">
        <f t="shared" ref="DN129" si="1177">SUM(DN126:DN128)*DN120</f>
        <v>0</v>
      </c>
      <c r="DO129" s="193">
        <f t="shared" ref="DO129" si="1178">SUM(DO126:DO128)*DO120</f>
        <v>0</v>
      </c>
      <c r="DP129" s="193">
        <f t="shared" ref="DP129" si="1179">SUM(DP126:DP128)*DP120</f>
        <v>0</v>
      </c>
      <c r="DQ129" s="193">
        <f t="shared" ref="DQ129" si="1180">SUM(DQ126:DQ128)*DQ120</f>
        <v>0</v>
      </c>
      <c r="DR129" s="193">
        <f t="shared" ref="DR129" si="1181">SUM(DR126:DR128)*DR120</f>
        <v>0</v>
      </c>
      <c r="DS129" s="193">
        <f t="shared" ref="DS129" si="1182">SUM(DS126:DS128)*DS120</f>
        <v>0</v>
      </c>
      <c r="DT129" s="193">
        <f t="shared" ref="DT129" si="1183">SUM(DT126:DT128)*DT120</f>
        <v>0</v>
      </c>
      <c r="DU129" s="193">
        <f t="shared" ref="DU129" si="1184">SUM(DU126:DU128)*DU120</f>
        <v>0</v>
      </c>
      <c r="DV129" s="193">
        <f t="shared" ref="DV129" si="1185">SUM(DV126:DV128)*DV120</f>
        <v>0</v>
      </c>
      <c r="DW129" s="193">
        <f t="shared" ref="DW129" si="1186">SUM(DW126:DW128)*DW120</f>
        <v>0</v>
      </c>
      <c r="DX129" s="193">
        <f t="shared" ref="DX129" si="1187">SUM(DX126:DX128)*DX120</f>
        <v>0</v>
      </c>
      <c r="DY129" s="193">
        <f t="shared" ref="DY129" si="1188">SUM(DY126:DY128)*DY120</f>
        <v>0</v>
      </c>
      <c r="DZ129" s="193">
        <f t="shared" ref="DZ129" si="1189">SUM(DZ126:DZ128)*DZ120</f>
        <v>0</v>
      </c>
      <c r="EA129" s="193">
        <f t="shared" ref="EA129" si="1190">SUM(EA126:EA128)*EA120</f>
        <v>0</v>
      </c>
      <c r="EB129" s="193">
        <f t="shared" ref="EB129" si="1191">SUM(EB126:EB128)*EB120</f>
        <v>0</v>
      </c>
      <c r="EC129" s="193">
        <f t="shared" ref="EC129" si="1192">SUM(EC126:EC128)*EC120</f>
        <v>0</v>
      </c>
      <c r="ED129" s="193">
        <f t="shared" ref="ED129" si="1193">SUM(ED126:ED128)*ED120</f>
        <v>0</v>
      </c>
      <c r="EE129" s="193">
        <f t="shared" ref="EE129" si="1194">SUM(EE126:EE128)*EE120</f>
        <v>0</v>
      </c>
      <c r="EF129" s="193">
        <f t="shared" ref="EF129" si="1195">SUM(EF126:EF128)*EF120</f>
        <v>0</v>
      </c>
      <c r="EG129" s="193">
        <f t="shared" ref="EG129" si="1196">SUM(EG126:EG128)*EG120</f>
        <v>0</v>
      </c>
      <c r="EH129" s="193">
        <f t="shared" ref="EH129" si="1197">SUM(EH126:EH128)*EH120</f>
        <v>0</v>
      </c>
      <c r="EI129" s="193">
        <f t="shared" ref="EI129" si="1198">SUM(EI126:EI128)*EI120</f>
        <v>0</v>
      </c>
      <c r="EJ129" s="193">
        <f t="shared" ref="EJ129" si="1199">SUM(EJ126:EJ128)*EJ120</f>
        <v>0</v>
      </c>
      <c r="EK129" s="193">
        <f t="shared" ref="EK129" si="1200">SUM(EK126:EK128)*EK120</f>
        <v>0</v>
      </c>
      <c r="EL129" s="193">
        <f t="shared" ref="EL129" si="1201">SUM(EL126:EL128)*EL120</f>
        <v>0</v>
      </c>
      <c r="EM129" s="193">
        <f t="shared" ref="EM129" si="1202">SUM(EM126:EM128)*EM120</f>
        <v>0</v>
      </c>
      <c r="EN129" s="193">
        <f t="shared" ref="EN129" si="1203">SUM(EN126:EN128)*EN120</f>
        <v>0</v>
      </c>
      <c r="EO129" s="193">
        <f t="shared" ref="EO129" si="1204">SUM(EO126:EO128)*EO120</f>
        <v>0</v>
      </c>
      <c r="EP129" s="193">
        <f t="shared" ref="EP129" si="1205">SUM(EP126:EP128)*EP120</f>
        <v>0</v>
      </c>
      <c r="EQ129" s="193">
        <f t="shared" ref="EQ129" si="1206">SUM(EQ126:EQ128)*EQ120</f>
        <v>0</v>
      </c>
      <c r="ER129" s="193">
        <f t="shared" ref="ER129" si="1207">SUM(ER126:ER128)*ER120</f>
        <v>0</v>
      </c>
      <c r="ES129" s="193">
        <f t="shared" ref="ES129" si="1208">SUM(ES126:ES128)*ES120</f>
        <v>0</v>
      </c>
      <c r="ET129" s="193">
        <f t="shared" ref="ET129" si="1209">SUM(ET126:ET128)*ET120</f>
        <v>0</v>
      </c>
      <c r="EU129" s="193">
        <f t="shared" ref="EU129" si="1210">SUM(EU126:EU128)*EU120</f>
        <v>0</v>
      </c>
      <c r="EV129" s="193">
        <f t="shared" ref="EV129" si="1211">SUM(EV126:EV128)*EV120</f>
        <v>0</v>
      </c>
      <c r="EW129" s="193">
        <f t="shared" ref="EW129" si="1212">SUM(EW126:EW128)*EW120</f>
        <v>0</v>
      </c>
      <c r="EX129" s="193">
        <f t="shared" ref="EX129" si="1213">SUM(EX126:EX128)*EX120</f>
        <v>0</v>
      </c>
      <c r="EY129" s="193">
        <f t="shared" ref="EY129" si="1214">SUM(EY126:EY128)*EY120</f>
        <v>0</v>
      </c>
      <c r="EZ129" s="193">
        <f t="shared" ref="EZ129" si="1215">SUM(EZ126:EZ128)*EZ120</f>
        <v>0</v>
      </c>
      <c r="FA129" s="193">
        <f t="shared" ref="FA129" si="1216">SUM(FA126:FA128)*FA120</f>
        <v>0</v>
      </c>
      <c r="FB129" s="193">
        <f t="shared" ref="FB129" si="1217">SUM(FB126:FB128)*FB120</f>
        <v>0</v>
      </c>
      <c r="FC129" s="193">
        <f t="shared" ref="FC129" si="1218">SUM(FC126:FC128)*FC120</f>
        <v>0</v>
      </c>
      <c r="FD129" s="193">
        <f t="shared" ref="FD129" si="1219">SUM(FD126:FD128)*FD120</f>
        <v>0</v>
      </c>
      <c r="FE129" s="193">
        <f t="shared" ref="FE129" si="1220">SUM(FE126:FE128)*FE120</f>
        <v>0</v>
      </c>
      <c r="FF129" s="193">
        <f t="shared" ref="FF129" si="1221">SUM(FF126:FF128)*FF120</f>
        <v>0</v>
      </c>
      <c r="FG129" s="193">
        <f t="shared" ref="FG129" si="1222">SUM(FG126:FG128)*FG120</f>
        <v>0</v>
      </c>
      <c r="FH129" s="193">
        <f t="shared" ref="FH129" si="1223">SUM(FH126:FH128)*FH120</f>
        <v>0</v>
      </c>
      <c r="FI129" s="193">
        <f t="shared" ref="FI129" si="1224">SUM(FI126:FI128)*FI120</f>
        <v>0</v>
      </c>
      <c r="FJ129" s="193">
        <f t="shared" ref="FJ129" si="1225">SUM(FJ126:FJ128)*FJ120</f>
        <v>0</v>
      </c>
      <c r="FK129" s="193">
        <f t="shared" ref="FK129" si="1226">SUM(FK126:FK128)*FK120</f>
        <v>0</v>
      </c>
      <c r="FL129" s="193">
        <f t="shared" ref="FL129" si="1227">SUM(FL126:FL128)*FL120</f>
        <v>0</v>
      </c>
      <c r="FM129" s="193">
        <f t="shared" ref="FM129" si="1228">SUM(FM126:FM128)*FM120</f>
        <v>0</v>
      </c>
      <c r="FN129" s="193">
        <f t="shared" ref="FN129" si="1229">SUM(FN126:FN128)*FN120</f>
        <v>0</v>
      </c>
      <c r="FO129" s="193">
        <f t="shared" ref="FO129" si="1230">SUM(FO126:FO128)*FO120</f>
        <v>0</v>
      </c>
      <c r="FP129" s="193">
        <f t="shared" ref="FP129" si="1231">SUM(FP126:FP128)*FP120</f>
        <v>0</v>
      </c>
      <c r="FQ129" s="193">
        <f t="shared" ref="FQ129" si="1232">SUM(FQ126:FQ128)*FQ120</f>
        <v>0</v>
      </c>
      <c r="FR129" s="193">
        <f t="shared" ref="FR129" si="1233">SUM(FR126:FR128)*FR120</f>
        <v>0</v>
      </c>
      <c r="FS129" s="193">
        <f t="shared" ref="FS129" si="1234">SUM(FS126:FS128)*FS120</f>
        <v>0</v>
      </c>
      <c r="FT129" s="193">
        <f t="shared" ref="FT129" si="1235">SUM(FT126:FT128)*FT120</f>
        <v>0</v>
      </c>
      <c r="FU129" s="193">
        <f t="shared" ref="FU129" si="1236">SUM(FU126:FU128)*FU120</f>
        <v>0</v>
      </c>
      <c r="FV129" s="193">
        <f t="shared" ref="FV129" si="1237">SUM(FV126:FV128)*FV120</f>
        <v>0</v>
      </c>
      <c r="FW129" s="193">
        <f t="shared" ref="FW129" si="1238">SUM(FW126:FW128)*FW120</f>
        <v>0</v>
      </c>
      <c r="FX129" s="193">
        <f t="shared" ref="FX129" si="1239">SUM(FX126:FX128)*FX120</f>
        <v>0</v>
      </c>
      <c r="FY129" s="193">
        <f t="shared" ref="FY129" si="1240">SUM(FY126:FY128)*FY120</f>
        <v>0</v>
      </c>
      <c r="FZ129" s="193">
        <f t="shared" ref="FZ129" si="1241">SUM(FZ126:FZ128)*FZ120</f>
        <v>0</v>
      </c>
      <c r="GA129" s="193">
        <f t="shared" ref="GA129" si="1242">SUM(GA126:GA128)*GA120</f>
        <v>0</v>
      </c>
      <c r="GB129" s="193">
        <f t="shared" ref="GB129" si="1243">SUM(GB126:GB128)*GB120</f>
        <v>0</v>
      </c>
      <c r="GC129" s="193">
        <f t="shared" ref="GC129" si="1244">SUM(GC126:GC128)*GC120</f>
        <v>0</v>
      </c>
      <c r="GD129" s="193">
        <f t="shared" ref="GD129" si="1245">SUM(GD126:GD128)*GD120</f>
        <v>0</v>
      </c>
      <c r="GE129" s="193">
        <f t="shared" ref="GE129" si="1246">SUM(GE126:GE128)*GE120</f>
        <v>0</v>
      </c>
      <c r="GF129" s="193">
        <f t="shared" ref="GF129" si="1247">SUM(GF126:GF128)*GF120</f>
        <v>0</v>
      </c>
      <c r="GG129" s="193">
        <f t="shared" ref="GG129" si="1248">SUM(GG126:GG128)*GG120</f>
        <v>0</v>
      </c>
      <c r="GH129" s="193">
        <f t="shared" ref="GH129" si="1249">SUM(GH126:GH128)*GH120</f>
        <v>0</v>
      </c>
      <c r="GI129" s="193">
        <f t="shared" ref="GI129" si="1250">SUM(GI126:GI128)*GI120</f>
        <v>0</v>
      </c>
      <c r="GJ129" s="193">
        <f t="shared" ref="GJ129" si="1251">SUM(GJ126:GJ128)*GJ120</f>
        <v>0</v>
      </c>
      <c r="GK129" s="193">
        <f t="shared" ref="GK129" si="1252">SUM(GK126:GK128)*GK120</f>
        <v>0</v>
      </c>
      <c r="GL129" s="193">
        <f t="shared" ref="GL129" si="1253">SUM(GL126:GL128)*GL120</f>
        <v>0</v>
      </c>
      <c r="GM129" s="193">
        <f t="shared" ref="GM129" si="1254">SUM(GM126:GM128)*GM120</f>
        <v>0</v>
      </c>
      <c r="GN129" s="193">
        <f t="shared" ref="GN129" si="1255">SUM(GN126:GN128)*GN120</f>
        <v>0</v>
      </c>
      <c r="GO129" s="193">
        <f t="shared" ref="GO129" si="1256">SUM(GO126:GO128)*GO120</f>
        <v>0</v>
      </c>
      <c r="GP129" s="193">
        <f t="shared" ref="GP129" si="1257">SUM(GP126:GP128)*GP120</f>
        <v>0</v>
      </c>
      <c r="GQ129" s="193">
        <f t="shared" ref="GQ129" si="1258">SUM(GQ126:GQ128)*GQ120</f>
        <v>0</v>
      </c>
    </row>
    <row r="130" spans="2:199" outlineLevel="1">
      <c r="B130" s="190" t="s">
        <v>391</v>
      </c>
      <c r="C130" s="192"/>
      <c r="D130" s="193"/>
      <c r="E130" s="200">
        <f>IF(E122=1,-D133-E129,0)*IF(AND(E112=$C117,$C123=1,$C122=0),0,1)</f>
        <v>0</v>
      </c>
      <c r="F130" s="200">
        <f t="shared" ref="F130:H130" si="1259">IF(F122=1,-E133-F129,0)*IF(AND(F112=$C117,$C123=1,$C122=0),0,1)</f>
        <v>0</v>
      </c>
      <c r="G130" s="200">
        <f t="shared" si="1259"/>
        <v>0</v>
      </c>
      <c r="H130" s="200">
        <f t="shared" si="1259"/>
        <v>0</v>
      </c>
      <c r="I130" s="200">
        <f t="shared" ref="I130" si="1260">IF(I122=1,-H133-I129,0)*IF(AND(I112=$C117,$C123=1,$C122=0),0,1)</f>
        <v>0</v>
      </c>
      <c r="J130" s="200">
        <f t="shared" ref="J130:K130" si="1261">IF(J122=1,-I133-J129,0)*IF(AND(J112=$C117,$C123=1,$C122=0),0,1)</f>
        <v>0</v>
      </c>
      <c r="K130" s="200">
        <f t="shared" si="1261"/>
        <v>-14223.043857354156</v>
      </c>
      <c r="L130" s="200">
        <f t="shared" ref="L130" si="1262">IF(L122=1,-K133-L129,0)*IF(AND(L112=$C117,$C123=1,$C122=0),0,1)</f>
        <v>0</v>
      </c>
      <c r="M130" s="200">
        <f t="shared" ref="M130:N130" si="1263">IF(M122=1,-L133-M129,0)*IF(AND(M112=$C117,$C123=1,$C122=0),0,1)</f>
        <v>0</v>
      </c>
      <c r="N130" s="200">
        <f t="shared" si="1263"/>
        <v>0</v>
      </c>
      <c r="O130" s="200">
        <f t="shared" ref="O130" si="1264">IF(O122=1,-N133-O129,0)*IF(AND(O112=$C117,$C123=1,$C122=0),0,1)</f>
        <v>0</v>
      </c>
      <c r="P130" s="200">
        <f t="shared" ref="P130" si="1265">IF(P122=1,-O133-P129,0)*IF(AND(P112=$C117,$C123=1,$C122=0),0,1)</f>
        <v>0</v>
      </c>
      <c r="Q130" s="200">
        <f t="shared" ref="Q130" si="1266">IF(Q122=1,-P133-Q129,0)*IF(AND(Q112=$C117,$C123=1,$C122=0),0,1)</f>
        <v>-11887.488663529466</v>
      </c>
      <c r="R130" s="200">
        <f t="shared" ref="R130" si="1267">IF(R122=1,-Q133-R129,0)*IF(AND(R112=$C117,$C123=1,$C122=0),0,1)</f>
        <v>0</v>
      </c>
      <c r="S130" s="200">
        <f t="shared" ref="S130" si="1268">IF(S122=1,-R133-S129,0)*IF(AND(S112=$C117,$C123=1,$C122=0),0,1)</f>
        <v>0</v>
      </c>
      <c r="T130" s="200">
        <f t="shared" ref="T130" si="1269">IF(T122=1,-S133-T129,0)*IF(AND(T112=$C117,$C123=1,$C122=0),0,1)</f>
        <v>0</v>
      </c>
      <c r="U130" s="200">
        <f t="shared" ref="U130" si="1270">IF(U122=1,-T133-U129,0)*IF(AND(U112=$C117,$C123=1,$C122=0),0,1)</f>
        <v>0</v>
      </c>
      <c r="V130" s="200">
        <f t="shared" ref="V130:W130" si="1271">IF(V122=1,-U133-V129,0)*IF(AND(V112=$C117,$C123=1,$C122=0),0,1)</f>
        <v>0</v>
      </c>
      <c r="W130" s="200">
        <f t="shared" si="1271"/>
        <v>0</v>
      </c>
      <c r="X130" s="200">
        <f t="shared" ref="X130" si="1272">IF(X122=1,-W133-X129,0)*IF(AND(X112=$C117,$C123=1,$C122=0),0,1)</f>
        <v>0</v>
      </c>
      <c r="Y130" s="200">
        <f t="shared" ref="Y130" si="1273">IF(Y122=1,-X133-Y129,0)*IF(AND(Y112=$C117,$C123=1,$C122=0),0,1)</f>
        <v>0</v>
      </c>
      <c r="Z130" s="200">
        <f t="shared" ref="Z130" si="1274">IF(Z122=1,-Y133-Z129,0)*IF(AND(Z112=$C117,$C123=1,$C122=0),0,1)</f>
        <v>0</v>
      </c>
      <c r="AA130" s="200">
        <f t="shared" ref="AA130" si="1275">IF(AA122=1,-Z133-AA129,0)*IF(AND(AA112=$C117,$C123=1,$C122=0),0,1)</f>
        <v>0</v>
      </c>
      <c r="AB130" s="200">
        <f t="shared" ref="AB130" si="1276">IF(AB122=1,-AA133-AB129,0)*IF(AND(AB112=$C117,$C123=1,$C122=0),0,1)</f>
        <v>0</v>
      </c>
      <c r="AC130" s="200">
        <f t="shared" ref="AC130" si="1277">IF(AC122=1,-AB133-AC129,0)*IF(AND(AC112=$C117,$C123=1,$C122=0),0,1)</f>
        <v>-27710.846954242257</v>
      </c>
      <c r="AD130" s="200">
        <f t="shared" ref="AD130" si="1278">IF(AD122=1,-AC133-AD129,0)*IF(AND(AD112=$C117,$C123=1,$C122=0),0,1)</f>
        <v>0</v>
      </c>
      <c r="AE130" s="200">
        <f t="shared" ref="AE130:AF130" si="1279">IF(AE122=1,-AD133-AE129,0)*IF(AND(AE112=$C117,$C123=1,$C122=0),0,1)</f>
        <v>0</v>
      </c>
      <c r="AF130" s="200">
        <f t="shared" si="1279"/>
        <v>0</v>
      </c>
      <c r="AG130" s="200">
        <f t="shared" ref="AG130" si="1280">IF(AG122=1,-AF133-AG129,0)*IF(AND(AG112=$C117,$C123=1,$C122=0),0,1)</f>
        <v>0</v>
      </c>
      <c r="AH130" s="200">
        <f t="shared" ref="AH130" si="1281">IF(AH122=1,-AG133-AH129,0)*IF(AND(AH112=$C117,$C123=1,$C122=0),0,1)</f>
        <v>0</v>
      </c>
      <c r="AI130" s="200">
        <f t="shared" ref="AI130" si="1282">IF(AI122=1,-AH133-AI129,0)*IF(AND(AI112=$C117,$C123=1,$C122=0),0,1)</f>
        <v>0</v>
      </c>
      <c r="AJ130" s="200">
        <f t="shared" ref="AJ130" si="1283">IF(AJ122=1,-AI133-AJ129,0)*IF(AND(AJ112=$C117,$C123=1,$C122=0),0,1)</f>
        <v>0</v>
      </c>
      <c r="AK130" s="200">
        <f t="shared" ref="AK130" si="1284">IF(AK122=1,-AJ133-AK129,0)*IF(AND(AK112=$C117,$C123=1,$C122=0),0,1)</f>
        <v>0</v>
      </c>
      <c r="AL130" s="200">
        <f t="shared" ref="AL130" si="1285">IF(AL122=1,-AK133-AL129,0)*IF(AND(AL112=$C117,$C123=1,$C122=0),0,1)</f>
        <v>0</v>
      </c>
      <c r="AM130" s="200">
        <f t="shared" ref="AM130" si="1286">IF(AM122=1,-AL133-AM129,0)*IF(AND(AM112=$C117,$C123=1,$C122=0),0,1)</f>
        <v>0</v>
      </c>
      <c r="AN130" s="200">
        <f t="shared" ref="AN130:AO130" si="1287">IF(AN122=1,-AM133-AN129,0)*IF(AND(AN112=$C117,$C123=1,$C122=0),0,1)</f>
        <v>0</v>
      </c>
      <c r="AO130" s="200">
        <f t="shared" si="1287"/>
        <v>-29000.243463159688</v>
      </c>
      <c r="AP130" s="200">
        <f t="shared" ref="AP130" si="1288">IF(AP122=1,-AO133-AP129,0)*IF(AND(AP112=$C117,$C123=1,$C122=0),0,1)</f>
        <v>0</v>
      </c>
      <c r="AQ130" s="200">
        <f t="shared" ref="AQ130" si="1289">IF(AQ122=1,-AP133-AQ129,0)*IF(AND(AQ112=$C117,$C123=1,$C122=0),0,1)</f>
        <v>0</v>
      </c>
      <c r="AR130" s="200">
        <f t="shared" ref="AR130" si="1290">IF(AR122=1,-AQ133-AR129,0)*IF(AND(AR112=$C117,$C123=1,$C122=0),0,1)</f>
        <v>0</v>
      </c>
      <c r="AS130" s="200">
        <f t="shared" ref="AS130" si="1291">IF(AS122=1,-AR133-AS129,0)*IF(AND(AS112=$C117,$C123=1,$C122=0),0,1)</f>
        <v>0</v>
      </c>
      <c r="AT130" s="200">
        <f t="shared" ref="AT130" si="1292">IF(AT122=1,-AS133-AT129,0)*IF(AND(AT112=$C117,$C123=1,$C122=0),0,1)</f>
        <v>0</v>
      </c>
      <c r="AU130" s="200">
        <f t="shared" ref="AU130" si="1293">IF(AU122=1,-AT133-AU129,0)*IF(AND(AU112=$C117,$C123=1,$C122=0),0,1)</f>
        <v>0</v>
      </c>
      <c r="AV130" s="200">
        <f t="shared" ref="AV130" si="1294">IF(AV122=1,-AU133-AV129,0)*IF(AND(AV112=$C117,$C123=1,$C122=0),0,1)</f>
        <v>0</v>
      </c>
      <c r="AW130" s="200">
        <f t="shared" ref="AW130:AX130" si="1295">IF(AW122=1,-AV133-AW129,0)*IF(AND(AW112=$C117,$C123=1,$C122=0),0,1)</f>
        <v>0</v>
      </c>
      <c r="AX130" s="200">
        <f t="shared" si="1295"/>
        <v>0</v>
      </c>
      <c r="AY130" s="200">
        <f t="shared" ref="AY130" si="1296">IF(AY122=1,-AX133-AY129,0)*IF(AND(AY112=$C117,$C123=1,$C122=0),0,1)</f>
        <v>0</v>
      </c>
      <c r="AZ130" s="200">
        <f t="shared" ref="AZ130" si="1297">IF(AZ122=1,-AY133-AZ129,0)*IF(AND(AZ112=$C117,$C123=1,$C122=0),0,1)</f>
        <v>0</v>
      </c>
      <c r="BA130" s="200">
        <f t="shared" ref="BA130" si="1298">IF(BA122=1,-AZ133-BA129,0)*IF(AND(BA112=$C117,$C123=1,$C122=0),0,1)</f>
        <v>-29237.470194983238</v>
      </c>
      <c r="BB130" s="200">
        <f t="shared" ref="BB130" si="1299">IF(BB122=1,-BA133-BB129,0)*IF(AND(BB112=$C117,$C123=1,$C122=0),0,1)</f>
        <v>0</v>
      </c>
      <c r="BC130" s="200">
        <f t="shared" ref="BC130" si="1300">IF(BC122=1,-BB133-BC129,0)*IF(AND(BC112=$C117,$C123=1,$C122=0),0,1)</f>
        <v>0</v>
      </c>
      <c r="BD130" s="200">
        <f t="shared" ref="BD130" si="1301">IF(BD122=1,-BC133-BD129,0)*IF(AND(BD112=$C117,$C123=1,$C122=0),0,1)</f>
        <v>0</v>
      </c>
      <c r="BE130" s="200">
        <f t="shared" ref="BE130" si="1302">IF(BE122=1,-BD133-BE129,0)*IF(AND(BE112=$C117,$C123=1,$C122=0),0,1)</f>
        <v>0</v>
      </c>
      <c r="BF130" s="200">
        <f t="shared" ref="BF130:BG130" si="1303">IF(BF122=1,-BE133-BF129,0)*IF(AND(BF112=$C117,$C123=1,$C122=0),0,1)</f>
        <v>0</v>
      </c>
      <c r="BG130" s="200">
        <f t="shared" si="1303"/>
        <v>0</v>
      </c>
      <c r="BH130" s="200">
        <f t="shared" ref="BH130" si="1304">IF(BH122=1,-BG133-BH129,0)*IF(AND(BH112=$C117,$C123=1,$C122=0),0,1)</f>
        <v>0</v>
      </c>
      <c r="BI130" s="200">
        <f t="shared" ref="BI130" si="1305">IF(BI122=1,-BH133-BI129,0)*IF(AND(BI112=$C117,$C123=1,$C122=0),0,1)</f>
        <v>0</v>
      </c>
      <c r="BJ130" s="200">
        <f t="shared" ref="BJ130" si="1306">IF(BJ122=1,-BI133-BJ129,0)*IF(AND(BJ112=$C117,$C123=1,$C122=0),0,1)</f>
        <v>0</v>
      </c>
      <c r="BK130" s="200">
        <f t="shared" ref="BK130" si="1307">IF(BK122=1,-BJ133-BK129,0)*IF(AND(BK112=$C117,$C123=1,$C122=0),0,1)</f>
        <v>0</v>
      </c>
      <c r="BL130" s="200">
        <f t="shared" ref="BL130" si="1308">IF(BL122=1,-BK133-BL129,0)*IF(AND(BL112=$C117,$C123=1,$C122=0),0,1)</f>
        <v>0</v>
      </c>
      <c r="BM130" s="200">
        <f t="shared" ref="BM130" si="1309">IF(BM122=1,-BL133-BM129,0)*IF(AND(BM112=$C117,$C123=1,$C122=0),0,1)</f>
        <v>-14574.940000000173</v>
      </c>
      <c r="BN130" s="200">
        <f t="shared" ref="BN130" si="1310">IF(BN122=1,-BM133-BN129,0)*IF(AND(BN112=$C117,$C123=1,$C122=0),0,1)</f>
        <v>0</v>
      </c>
      <c r="BO130" s="200">
        <f t="shared" ref="BO130:BP130" si="1311">IF(BO122=1,-BN133-BO129,0)*IF(AND(BO112=$C117,$C123=1,$C122=0),0,1)</f>
        <v>0</v>
      </c>
      <c r="BP130" s="200">
        <f t="shared" si="1311"/>
        <v>0</v>
      </c>
      <c r="BQ130" s="200">
        <f t="shared" ref="BQ130" si="1312">IF(BQ122=1,-BP133-BQ129,0)*IF(AND(BQ112=$C117,$C123=1,$C122=0),0,1)</f>
        <v>0</v>
      </c>
      <c r="BR130" s="200">
        <f t="shared" ref="BR130" si="1313">IF(BR122=1,-BQ133-BR129,0)*IF(AND(BR112=$C117,$C123=1,$C122=0),0,1)</f>
        <v>0</v>
      </c>
      <c r="BS130" s="200">
        <f t="shared" ref="BS130" si="1314">IF(BS122=1,-BR133-BS129,0)*IF(AND(BS112=$C117,$C123=1,$C122=0),0,1)</f>
        <v>0</v>
      </c>
      <c r="BT130" s="200">
        <f t="shared" ref="BT130" si="1315">IF(BT122=1,-BS133-BT129,0)*IF(AND(BT112=$C117,$C123=1,$C122=0),0,1)</f>
        <v>0</v>
      </c>
      <c r="BU130" s="200">
        <f t="shared" ref="BU130" si="1316">IF(BU122=1,-BT133-BU129,0)*IF(AND(BU112=$C117,$C123=1,$C122=0),0,1)</f>
        <v>0</v>
      </c>
      <c r="BV130" s="200">
        <f t="shared" ref="BV130" si="1317">IF(BV122=1,-BU133-BV129,0)*IF(AND(BV112=$C117,$C123=1,$C122=0),0,1)</f>
        <v>0</v>
      </c>
      <c r="BW130" s="200">
        <f t="shared" ref="BW130" si="1318">IF(BW122=1,-BV133-BW129,0)*IF(AND(BW112=$C117,$C123=1,$C122=0),0,1)</f>
        <v>0</v>
      </c>
      <c r="BX130" s="200">
        <f t="shared" ref="BX130:BY130" si="1319">IF(BX122=1,-BW133-BX129,0)*IF(AND(BX112=$C117,$C123=1,$C122=0),0,1)</f>
        <v>0</v>
      </c>
      <c r="BY130" s="200">
        <f t="shared" si="1319"/>
        <v>0</v>
      </c>
      <c r="BZ130" s="200">
        <f t="shared" ref="BZ130" si="1320">IF(BZ122=1,-BY133-BZ129,0)*IF(AND(BZ112=$C117,$C123=1,$C122=0),0,1)</f>
        <v>0</v>
      </c>
      <c r="CA130" s="200">
        <f t="shared" ref="CA130" si="1321">IF(CA122=1,-BZ133-CA129,0)*IF(AND(CA112=$C117,$C123=1,$C122=0),0,1)</f>
        <v>0</v>
      </c>
      <c r="CB130" s="200">
        <f t="shared" ref="CB130" si="1322">IF(CB122=1,-CA133-CB129,0)*IF(AND(CB112=$C117,$C123=1,$C122=0),0,1)</f>
        <v>0</v>
      </c>
      <c r="CC130" s="200">
        <f t="shared" ref="CC130" si="1323">IF(CC122=1,-CB133-CC129,0)*IF(AND(CC112=$C117,$C123=1,$C122=0),0,1)</f>
        <v>0</v>
      </c>
      <c r="CD130" s="200">
        <f t="shared" ref="CD130" si="1324">IF(CD122=1,-CC133-CD129,0)*IF(AND(CD112=$C117,$C123=1,$C122=0),0,1)</f>
        <v>0</v>
      </c>
      <c r="CE130" s="200">
        <f t="shared" ref="CE130" si="1325">IF(CE122=1,-CD133-CE129,0)*IF(AND(CE112=$C117,$C123=1,$C122=0),0,1)</f>
        <v>0</v>
      </c>
      <c r="CF130" s="200">
        <f t="shared" ref="CF130" si="1326">IF(CF122=1,-CE133-CF129,0)*IF(AND(CF112=$C117,$C123=1,$C122=0),0,1)</f>
        <v>0</v>
      </c>
      <c r="CG130" s="200">
        <f t="shared" ref="CG130:CH130" si="1327">IF(CG122=1,-CF133-CG129,0)*IF(AND(CG112=$C117,$C123=1,$C122=0),0,1)</f>
        <v>0</v>
      </c>
      <c r="CH130" s="200">
        <f t="shared" si="1327"/>
        <v>0</v>
      </c>
      <c r="CI130" s="200">
        <f t="shared" ref="CI130" si="1328">IF(CI122=1,-CH133-CI129,0)*IF(AND(CI112=$C117,$C123=1,$C122=0),0,1)</f>
        <v>0</v>
      </c>
      <c r="CJ130" s="200">
        <f t="shared" ref="CJ130" si="1329">IF(CJ122=1,-CI133-CJ129,0)*IF(AND(CJ112=$C117,$C123=1,$C122=0),0,1)</f>
        <v>0</v>
      </c>
      <c r="CK130" s="200">
        <f t="shared" ref="CK130" si="1330">IF(CK122=1,-CJ133-CK129,0)*IF(AND(CK112=$C117,$C123=1,$C122=0),0,1)</f>
        <v>0</v>
      </c>
      <c r="CL130" s="200">
        <f t="shared" ref="CL130" si="1331">IF(CL122=1,-CK133-CL129,0)*IF(AND(CL112=$C117,$C123=1,$C122=0),0,1)</f>
        <v>0</v>
      </c>
      <c r="CM130" s="200">
        <f t="shared" ref="CM130" si="1332">IF(CM122=1,-CL133-CM129,0)*IF(AND(CM112=$C117,$C123=1,$C122=0),0,1)</f>
        <v>0</v>
      </c>
      <c r="CN130" s="200">
        <f t="shared" ref="CN130" si="1333">IF(CN122=1,-CM133-CN129,0)*IF(AND(CN112=$C117,$C123=1,$C122=0),0,1)</f>
        <v>0</v>
      </c>
      <c r="CO130" s="200">
        <f t="shared" ref="CO130" si="1334">IF(CO122=1,-CN133-CO129,0)*IF(AND(CO112=$C117,$C123=1,$C122=0),0,1)</f>
        <v>0</v>
      </c>
      <c r="CP130" s="200">
        <f t="shared" ref="CP130:CQ130" si="1335">IF(CP122=1,-CO133-CP129,0)*IF(AND(CP112=$C117,$C123=1,$C122=0),0,1)</f>
        <v>0</v>
      </c>
      <c r="CQ130" s="200">
        <f t="shared" si="1335"/>
        <v>0</v>
      </c>
      <c r="CR130" s="200">
        <f t="shared" ref="CR130" si="1336">IF(CR122=1,-CQ133-CR129,0)*IF(AND(CR112=$C117,$C123=1,$C122=0),0,1)</f>
        <v>0</v>
      </c>
      <c r="CS130" s="200">
        <f t="shared" ref="CS130" si="1337">IF(CS122=1,-CR133-CS129,0)*IF(AND(CS112=$C117,$C123=1,$C122=0),0,1)</f>
        <v>0</v>
      </c>
      <c r="CT130" s="200">
        <f t="shared" ref="CT130" si="1338">IF(CT122=1,-CS133-CT129,0)*IF(AND(CT112=$C117,$C123=1,$C122=0),0,1)</f>
        <v>0</v>
      </c>
      <c r="CU130" s="200">
        <f t="shared" ref="CU130" si="1339">IF(CU122=1,-CT133-CU129,0)*IF(AND(CU112=$C117,$C123=1,$C122=0),0,1)</f>
        <v>0</v>
      </c>
      <c r="CV130" s="200">
        <f t="shared" ref="CV130" si="1340">IF(CV122=1,-CU133-CV129,0)*IF(AND(CV112=$C117,$C123=1,$C122=0),0,1)</f>
        <v>0</v>
      </c>
      <c r="CW130" s="200">
        <f t="shared" ref="CW130" si="1341">IF(CW122=1,-CV133-CW129,0)*IF(AND(CW112=$C117,$C123=1,$C122=0),0,1)</f>
        <v>0</v>
      </c>
      <c r="CX130" s="200">
        <f t="shared" ref="CX130" si="1342">IF(CX122=1,-CW133-CX129,0)*IF(AND(CX112=$C117,$C123=1,$C122=0),0,1)</f>
        <v>0</v>
      </c>
      <c r="CY130" s="200">
        <f t="shared" ref="CY130:CZ130" si="1343">IF(CY122=1,-CX133-CY129,0)*IF(AND(CY112=$C117,$C123=1,$C122=0),0,1)</f>
        <v>0</v>
      </c>
      <c r="CZ130" s="200">
        <f t="shared" si="1343"/>
        <v>0</v>
      </c>
      <c r="DA130" s="200">
        <f t="shared" ref="DA130" si="1344">IF(DA122=1,-CZ133-DA129,0)*IF(AND(DA112=$C117,$C123=1,$C122=0),0,1)</f>
        <v>0</v>
      </c>
      <c r="DB130" s="200">
        <f t="shared" ref="DB130" si="1345">IF(DB122=1,-DA133-DB129,0)*IF(AND(DB112=$C117,$C123=1,$C122=0),0,1)</f>
        <v>0</v>
      </c>
      <c r="DC130" s="200">
        <f t="shared" ref="DC130" si="1346">IF(DC122=1,-DB133-DC129,0)*IF(AND(DC112=$C117,$C123=1,$C122=0),0,1)</f>
        <v>0</v>
      </c>
      <c r="DD130" s="200">
        <f t="shared" ref="DD130" si="1347">IF(DD122=1,-DC133-DD129,0)*IF(AND(DD112=$C117,$C123=1,$C122=0),0,1)</f>
        <v>0</v>
      </c>
      <c r="DE130" s="200">
        <f t="shared" ref="DE130" si="1348">IF(DE122=1,-DD133-DE129,0)*IF(AND(DE112=$C117,$C123=1,$C122=0),0,1)</f>
        <v>0</v>
      </c>
      <c r="DF130" s="200">
        <f t="shared" ref="DF130" si="1349">IF(DF122=1,-DE133-DF129,0)*IF(AND(DF112=$C117,$C123=1,$C122=0),0,1)</f>
        <v>0</v>
      </c>
      <c r="DG130" s="200">
        <f t="shared" ref="DG130" si="1350">IF(DG122=1,-DF133-DG129,0)*IF(AND(DG112=$C117,$C123=1,$C122=0),0,1)</f>
        <v>0</v>
      </c>
      <c r="DH130" s="200">
        <f t="shared" ref="DH130:DI130" si="1351">IF(DH122=1,-DG133-DH129,0)*IF(AND(DH112=$C117,$C123=1,$C122=0),0,1)</f>
        <v>0</v>
      </c>
      <c r="DI130" s="200">
        <f t="shared" si="1351"/>
        <v>0</v>
      </c>
      <c r="DJ130" s="200">
        <f t="shared" ref="DJ130" si="1352">IF(DJ122=1,-DI133-DJ129,0)*IF(AND(DJ112=$C117,$C123=1,$C122=0),0,1)</f>
        <v>0</v>
      </c>
      <c r="DK130" s="200">
        <f t="shared" ref="DK130" si="1353">IF(DK122=1,-DJ133-DK129,0)*IF(AND(DK112=$C117,$C123=1,$C122=0),0,1)</f>
        <v>0</v>
      </c>
      <c r="DL130" s="200">
        <f t="shared" ref="DL130" si="1354">IF(DL122=1,-DK133-DL129,0)*IF(AND(DL112=$C117,$C123=1,$C122=0),0,1)</f>
        <v>0</v>
      </c>
      <c r="DM130" s="200">
        <f t="shared" ref="DM130" si="1355">IF(DM122=1,-DL133-DM129,0)*IF(AND(DM112=$C117,$C123=1,$C122=0),0,1)</f>
        <v>0</v>
      </c>
      <c r="DN130" s="200">
        <f t="shared" ref="DN130" si="1356">IF(DN122=1,-DM133-DN129,0)*IF(AND(DN112=$C117,$C123=1,$C122=0),0,1)</f>
        <v>0</v>
      </c>
      <c r="DO130" s="200">
        <f t="shared" ref="DO130" si="1357">IF(DO122=1,-DN133-DO129,0)*IF(AND(DO112=$C117,$C123=1,$C122=0),0,1)</f>
        <v>0</v>
      </c>
      <c r="DP130" s="200">
        <f t="shared" ref="DP130" si="1358">IF(DP122=1,-DO133-DP129,0)*IF(AND(DP112=$C117,$C123=1,$C122=0),0,1)</f>
        <v>0</v>
      </c>
      <c r="DQ130" s="200">
        <f t="shared" ref="DQ130:DR130" si="1359">IF(DQ122=1,-DP133-DQ129,0)*IF(AND(DQ112=$C117,$C123=1,$C122=0),0,1)</f>
        <v>0</v>
      </c>
      <c r="DR130" s="200">
        <f t="shared" si="1359"/>
        <v>0</v>
      </c>
      <c r="DS130" s="200">
        <f t="shared" ref="DS130" si="1360">IF(DS122=1,-DR133-DS129,0)*IF(AND(DS112=$C117,$C123=1,$C122=0),0,1)</f>
        <v>0</v>
      </c>
      <c r="DT130" s="200">
        <f t="shared" ref="DT130" si="1361">IF(DT122=1,-DS133-DT129,0)*IF(AND(DT112=$C117,$C123=1,$C122=0),0,1)</f>
        <v>0</v>
      </c>
      <c r="DU130" s="200">
        <f t="shared" ref="DU130" si="1362">IF(DU122=1,-DT133-DU129,0)*IF(AND(DU112=$C117,$C123=1,$C122=0),0,1)</f>
        <v>0</v>
      </c>
      <c r="DV130" s="200">
        <f t="shared" ref="DV130" si="1363">IF(DV122=1,-DU133-DV129,0)*IF(AND(DV112=$C117,$C123=1,$C122=0),0,1)</f>
        <v>0</v>
      </c>
      <c r="DW130" s="200">
        <f t="shared" ref="DW130" si="1364">IF(DW122=1,-DV133-DW129,0)*IF(AND(DW112=$C117,$C123=1,$C122=0),0,1)</f>
        <v>0</v>
      </c>
      <c r="DX130" s="200">
        <f t="shared" ref="DX130" si="1365">IF(DX122=1,-DW133-DX129,0)*IF(AND(DX112=$C117,$C123=1,$C122=0),0,1)</f>
        <v>0</v>
      </c>
      <c r="DY130" s="200">
        <f t="shared" ref="DY130" si="1366">IF(DY122=1,-DX133-DY129,0)*IF(AND(DY112=$C117,$C123=1,$C122=0),0,1)</f>
        <v>0</v>
      </c>
      <c r="DZ130" s="200">
        <f t="shared" ref="DZ130:EA130" si="1367">IF(DZ122=1,-DY133-DZ129,0)*IF(AND(DZ112=$C117,$C123=1,$C122=0),0,1)</f>
        <v>0</v>
      </c>
      <c r="EA130" s="200">
        <f t="shared" si="1367"/>
        <v>0</v>
      </c>
      <c r="EB130" s="200">
        <f t="shared" ref="EB130" si="1368">IF(EB122=1,-EA133-EB129,0)*IF(AND(EB112=$C117,$C123=1,$C122=0),0,1)</f>
        <v>0</v>
      </c>
      <c r="EC130" s="200">
        <f t="shared" ref="EC130" si="1369">IF(EC122=1,-EB133-EC129,0)*IF(AND(EC112=$C117,$C123=1,$C122=0),0,1)</f>
        <v>0</v>
      </c>
      <c r="ED130" s="200">
        <f t="shared" ref="ED130" si="1370">IF(ED122=1,-EC133-ED129,0)*IF(AND(ED112=$C117,$C123=1,$C122=0),0,1)</f>
        <v>0</v>
      </c>
      <c r="EE130" s="200">
        <f t="shared" ref="EE130" si="1371">IF(EE122=1,-ED133-EE129,0)*IF(AND(EE112=$C117,$C123=1,$C122=0),0,1)</f>
        <v>0</v>
      </c>
      <c r="EF130" s="200">
        <f t="shared" ref="EF130" si="1372">IF(EF122=1,-EE133-EF129,0)*IF(AND(EF112=$C117,$C123=1,$C122=0),0,1)</f>
        <v>0</v>
      </c>
      <c r="EG130" s="200">
        <f t="shared" ref="EG130" si="1373">IF(EG122=1,-EF133-EG129,0)*IF(AND(EG112=$C117,$C123=1,$C122=0),0,1)</f>
        <v>0</v>
      </c>
      <c r="EH130" s="200">
        <f t="shared" ref="EH130" si="1374">IF(EH122=1,-EG133-EH129,0)*IF(AND(EH112=$C117,$C123=1,$C122=0),0,1)</f>
        <v>0</v>
      </c>
      <c r="EI130" s="200">
        <f t="shared" ref="EI130:EJ130" si="1375">IF(EI122=1,-EH133-EI129,0)*IF(AND(EI112=$C117,$C123=1,$C122=0),0,1)</f>
        <v>0</v>
      </c>
      <c r="EJ130" s="200">
        <f t="shared" si="1375"/>
        <v>0</v>
      </c>
      <c r="EK130" s="200">
        <f t="shared" ref="EK130" si="1376">IF(EK122=1,-EJ133-EK129,0)*IF(AND(EK112=$C117,$C123=1,$C122=0),0,1)</f>
        <v>0</v>
      </c>
      <c r="EL130" s="200">
        <f t="shared" ref="EL130" si="1377">IF(EL122=1,-EK133-EL129,0)*IF(AND(EL112=$C117,$C123=1,$C122=0),0,1)</f>
        <v>0</v>
      </c>
      <c r="EM130" s="200">
        <f t="shared" ref="EM130" si="1378">IF(EM122=1,-EL133-EM129,0)*IF(AND(EM112=$C117,$C123=1,$C122=0),0,1)</f>
        <v>0</v>
      </c>
      <c r="EN130" s="200">
        <f t="shared" ref="EN130" si="1379">IF(EN122=1,-EM133-EN129,0)*IF(AND(EN112=$C117,$C123=1,$C122=0),0,1)</f>
        <v>0</v>
      </c>
      <c r="EO130" s="200">
        <f t="shared" ref="EO130" si="1380">IF(EO122=1,-EN133-EO129,0)*IF(AND(EO112=$C117,$C123=1,$C122=0),0,1)</f>
        <v>0</v>
      </c>
      <c r="EP130" s="200">
        <f t="shared" ref="EP130" si="1381">IF(EP122=1,-EO133-EP129,0)*IF(AND(EP112=$C117,$C123=1,$C122=0),0,1)</f>
        <v>0</v>
      </c>
      <c r="EQ130" s="200">
        <f t="shared" ref="EQ130" si="1382">IF(EQ122=1,-EP133-EQ129,0)*IF(AND(EQ112=$C117,$C123=1,$C122=0),0,1)</f>
        <v>0</v>
      </c>
      <c r="ER130" s="200">
        <f t="shared" ref="ER130:ES130" si="1383">IF(ER122=1,-EQ133-ER129,0)*IF(AND(ER112=$C117,$C123=1,$C122=0),0,1)</f>
        <v>0</v>
      </c>
      <c r="ES130" s="200">
        <f t="shared" si="1383"/>
        <v>0</v>
      </c>
      <c r="ET130" s="200">
        <f t="shared" ref="ET130" si="1384">IF(ET122=1,-ES133-ET129,0)*IF(AND(ET112=$C117,$C123=1,$C122=0),0,1)</f>
        <v>0</v>
      </c>
      <c r="EU130" s="200">
        <f t="shared" ref="EU130" si="1385">IF(EU122=1,-ET133-EU129,0)*IF(AND(EU112=$C117,$C123=1,$C122=0),0,1)</f>
        <v>0</v>
      </c>
      <c r="EV130" s="200">
        <f t="shared" ref="EV130" si="1386">IF(EV122=1,-EU133-EV129,0)*IF(AND(EV112=$C117,$C123=1,$C122=0),0,1)</f>
        <v>0</v>
      </c>
      <c r="EW130" s="200">
        <f t="shared" ref="EW130" si="1387">IF(EW122=1,-EV133-EW129,0)*IF(AND(EW112=$C117,$C123=1,$C122=0),0,1)</f>
        <v>0</v>
      </c>
      <c r="EX130" s="200">
        <f t="shared" ref="EX130" si="1388">IF(EX122=1,-EW133-EX129,0)*IF(AND(EX112=$C117,$C123=1,$C122=0),0,1)</f>
        <v>0</v>
      </c>
      <c r="EY130" s="200">
        <f t="shared" ref="EY130" si="1389">IF(EY122=1,-EX133-EY129,0)*IF(AND(EY112=$C117,$C123=1,$C122=0),0,1)</f>
        <v>0</v>
      </c>
      <c r="EZ130" s="200">
        <f t="shared" ref="EZ130" si="1390">IF(EZ122=1,-EY133-EZ129,0)*IF(AND(EZ112=$C117,$C123=1,$C122=0),0,1)</f>
        <v>0</v>
      </c>
      <c r="FA130" s="200">
        <f t="shared" ref="FA130:FB130" si="1391">IF(FA122=1,-EZ133-FA129,0)*IF(AND(FA112=$C117,$C123=1,$C122=0),0,1)</f>
        <v>0</v>
      </c>
      <c r="FB130" s="200">
        <f t="shared" si="1391"/>
        <v>0</v>
      </c>
      <c r="FC130" s="200">
        <f t="shared" ref="FC130" si="1392">IF(FC122=1,-FB133-FC129,0)*IF(AND(FC112=$C117,$C123=1,$C122=0),0,1)</f>
        <v>0</v>
      </c>
      <c r="FD130" s="200">
        <f t="shared" ref="FD130" si="1393">IF(FD122=1,-FC133-FD129,0)*IF(AND(FD112=$C117,$C123=1,$C122=0),0,1)</f>
        <v>0</v>
      </c>
      <c r="FE130" s="200">
        <f t="shared" ref="FE130" si="1394">IF(FE122=1,-FD133-FE129,0)*IF(AND(FE112=$C117,$C123=1,$C122=0),0,1)</f>
        <v>0</v>
      </c>
      <c r="FF130" s="200">
        <f t="shared" ref="FF130" si="1395">IF(FF122=1,-FE133-FF129,0)*IF(AND(FF112=$C117,$C123=1,$C122=0),0,1)</f>
        <v>0</v>
      </c>
      <c r="FG130" s="200">
        <f t="shared" ref="FG130" si="1396">IF(FG122=1,-FF133-FG129,0)*IF(AND(FG112=$C117,$C123=1,$C122=0),0,1)</f>
        <v>0</v>
      </c>
      <c r="FH130" s="200">
        <f t="shared" ref="FH130" si="1397">IF(FH122=1,-FG133-FH129,0)*IF(AND(FH112=$C117,$C123=1,$C122=0),0,1)</f>
        <v>0</v>
      </c>
      <c r="FI130" s="200">
        <f t="shared" ref="FI130" si="1398">IF(FI122=1,-FH133-FI129,0)*IF(AND(FI112=$C117,$C123=1,$C122=0),0,1)</f>
        <v>0</v>
      </c>
      <c r="FJ130" s="200">
        <f t="shared" ref="FJ130:FK130" si="1399">IF(FJ122=1,-FI133-FJ129,0)*IF(AND(FJ112=$C117,$C123=1,$C122=0),0,1)</f>
        <v>0</v>
      </c>
      <c r="FK130" s="200">
        <f t="shared" si="1399"/>
        <v>0</v>
      </c>
      <c r="FL130" s="200">
        <f t="shared" ref="FL130" si="1400">IF(FL122=1,-FK133-FL129,0)*IF(AND(FL112=$C117,$C123=1,$C122=0),0,1)</f>
        <v>0</v>
      </c>
      <c r="FM130" s="200">
        <f t="shared" ref="FM130" si="1401">IF(FM122=1,-FL133-FM129,0)*IF(AND(FM112=$C117,$C123=1,$C122=0),0,1)</f>
        <v>0</v>
      </c>
      <c r="FN130" s="200">
        <f t="shared" ref="FN130" si="1402">IF(FN122=1,-FM133-FN129,0)*IF(AND(FN112=$C117,$C123=1,$C122=0),0,1)</f>
        <v>0</v>
      </c>
      <c r="FO130" s="200">
        <f t="shared" ref="FO130" si="1403">IF(FO122=1,-FN133-FO129,0)*IF(AND(FO112=$C117,$C123=1,$C122=0),0,1)</f>
        <v>0</v>
      </c>
      <c r="FP130" s="200">
        <f t="shared" ref="FP130" si="1404">IF(FP122=1,-FO133-FP129,0)*IF(AND(FP112=$C117,$C123=1,$C122=0),0,1)</f>
        <v>0</v>
      </c>
      <c r="FQ130" s="200">
        <f t="shared" ref="FQ130" si="1405">IF(FQ122=1,-FP133-FQ129,0)*IF(AND(FQ112=$C117,$C123=1,$C122=0),0,1)</f>
        <v>0</v>
      </c>
      <c r="FR130" s="200">
        <f t="shared" ref="FR130" si="1406">IF(FR122=1,-FQ133-FR129,0)*IF(AND(FR112=$C117,$C123=1,$C122=0),0,1)</f>
        <v>0</v>
      </c>
      <c r="FS130" s="200">
        <f t="shared" ref="FS130:FT130" si="1407">IF(FS122=1,-FR133-FS129,0)*IF(AND(FS112=$C117,$C123=1,$C122=0),0,1)</f>
        <v>0</v>
      </c>
      <c r="FT130" s="200">
        <f t="shared" si="1407"/>
        <v>0</v>
      </c>
      <c r="FU130" s="200">
        <f t="shared" ref="FU130" si="1408">IF(FU122=1,-FT133-FU129,0)*IF(AND(FU112=$C117,$C123=1,$C122=0),0,1)</f>
        <v>0</v>
      </c>
      <c r="FV130" s="200">
        <f t="shared" ref="FV130" si="1409">IF(FV122=1,-FU133-FV129,0)*IF(AND(FV112=$C117,$C123=1,$C122=0),0,1)</f>
        <v>0</v>
      </c>
      <c r="FW130" s="200">
        <f t="shared" ref="FW130" si="1410">IF(FW122=1,-FV133-FW129,0)*IF(AND(FW112=$C117,$C123=1,$C122=0),0,1)</f>
        <v>0</v>
      </c>
      <c r="FX130" s="200">
        <f t="shared" ref="FX130" si="1411">IF(FX122=1,-FW133-FX129,0)*IF(AND(FX112=$C117,$C123=1,$C122=0),0,1)</f>
        <v>0</v>
      </c>
      <c r="FY130" s="200">
        <f t="shared" ref="FY130" si="1412">IF(FY122=1,-FX133-FY129,0)*IF(AND(FY112=$C117,$C123=1,$C122=0),0,1)</f>
        <v>0</v>
      </c>
      <c r="FZ130" s="200">
        <f t="shared" ref="FZ130" si="1413">IF(FZ122=1,-FY133-FZ129,0)*IF(AND(FZ112=$C117,$C123=1,$C122=0),0,1)</f>
        <v>0</v>
      </c>
      <c r="GA130" s="200">
        <f t="shared" ref="GA130" si="1414">IF(GA122=1,-FZ133-GA129,0)*IF(AND(GA112=$C117,$C123=1,$C122=0),0,1)</f>
        <v>0</v>
      </c>
      <c r="GB130" s="200">
        <f t="shared" ref="GB130:GC130" si="1415">IF(GB122=1,-GA133-GB129,0)*IF(AND(GB112=$C117,$C123=1,$C122=0),0,1)</f>
        <v>0</v>
      </c>
      <c r="GC130" s="200">
        <f t="shared" si="1415"/>
        <v>0</v>
      </c>
      <c r="GD130" s="200">
        <f t="shared" ref="GD130" si="1416">IF(GD122=1,-GC133-GD129,0)*IF(AND(GD112=$C117,$C123=1,$C122=0),0,1)</f>
        <v>0</v>
      </c>
      <c r="GE130" s="200">
        <f t="shared" ref="GE130" si="1417">IF(GE122=1,-GD133-GE129,0)*IF(AND(GE112=$C117,$C123=1,$C122=0),0,1)</f>
        <v>0</v>
      </c>
      <c r="GF130" s="200">
        <f t="shared" ref="GF130" si="1418">IF(GF122=1,-GE133-GF129,0)*IF(AND(GF112=$C117,$C123=1,$C122=0),0,1)</f>
        <v>0</v>
      </c>
      <c r="GG130" s="200">
        <f t="shared" ref="GG130" si="1419">IF(GG122=1,-GF133-GG129,0)*IF(AND(GG112=$C117,$C123=1,$C122=0),0,1)</f>
        <v>0</v>
      </c>
      <c r="GH130" s="200">
        <f t="shared" ref="GH130" si="1420">IF(GH122=1,-GG133-GH129,0)*IF(AND(GH112=$C117,$C123=1,$C122=0),0,1)</f>
        <v>0</v>
      </c>
      <c r="GI130" s="200">
        <f t="shared" ref="GI130" si="1421">IF(GI122=1,-GH133-GI129,0)*IF(AND(GI112=$C117,$C123=1,$C122=0),0,1)</f>
        <v>0</v>
      </c>
      <c r="GJ130" s="200">
        <f t="shared" ref="GJ130" si="1422">IF(GJ122=1,-GI133-GJ129,0)*IF(AND(GJ112=$C117,$C123=1,$C122=0),0,1)</f>
        <v>0</v>
      </c>
      <c r="GK130" s="200">
        <f t="shared" ref="GK130:GL130" si="1423">IF(GK122=1,-GJ133-GK129,0)*IF(AND(GK112=$C117,$C123=1,$C122=0),0,1)</f>
        <v>0</v>
      </c>
      <c r="GL130" s="200">
        <f t="shared" si="1423"/>
        <v>0</v>
      </c>
      <c r="GM130" s="200">
        <f t="shared" ref="GM130" si="1424">IF(GM122=1,-GL133-GM129,0)*IF(AND(GM112=$C117,$C123=1,$C122=0),0,1)</f>
        <v>0</v>
      </c>
      <c r="GN130" s="200">
        <f t="shared" ref="GN130" si="1425">IF(GN122=1,-GM133-GN129,0)*IF(AND(GN112=$C117,$C123=1,$C122=0),0,1)</f>
        <v>0</v>
      </c>
      <c r="GO130" s="200">
        <f t="shared" ref="GO130" si="1426">IF(GO122=1,-GN133-GO129,0)*IF(AND(GO112=$C117,$C123=1,$C122=0),0,1)</f>
        <v>0</v>
      </c>
      <c r="GP130" s="200">
        <f t="shared" ref="GP130" si="1427">IF(GP122=1,-GO133-GP129,0)*IF(AND(GP112=$C117,$C123=1,$C122=0),0,1)</f>
        <v>0</v>
      </c>
      <c r="GQ130" s="200">
        <f t="shared" ref="GQ130" si="1428">IF(GQ122=1,-GP133-GQ129,0)*IF(AND(GQ112=$C117,$C123=1,$C122=0),0,1)</f>
        <v>0</v>
      </c>
    </row>
    <row r="131" spans="2:199" outlineLevel="1">
      <c r="B131" s="190" t="s">
        <v>392</v>
      </c>
      <c r="C131" s="192"/>
      <c r="D131" s="194"/>
      <c r="E131" s="201">
        <f>-E117*LOOKUP($C114,$E112:$GQ112,$E127:$GQ127)</f>
        <v>0</v>
      </c>
      <c r="F131" s="201">
        <f t="shared" ref="F131:BQ131" si="1429">-F117*LOOKUP($C114,$E112:$GQ112,$E127:$GQ127)</f>
        <v>0</v>
      </c>
      <c r="G131" s="201">
        <f t="shared" si="1429"/>
        <v>0</v>
      </c>
      <c r="H131" s="201">
        <f t="shared" si="1429"/>
        <v>0</v>
      </c>
      <c r="I131" s="201">
        <f t="shared" si="1429"/>
        <v>0</v>
      </c>
      <c r="J131" s="201">
        <f t="shared" si="1429"/>
        <v>0</v>
      </c>
      <c r="K131" s="201">
        <f t="shared" si="1429"/>
        <v>0</v>
      </c>
      <c r="L131" s="201">
        <f t="shared" si="1429"/>
        <v>0</v>
      </c>
      <c r="M131" s="201">
        <f t="shared" si="1429"/>
        <v>0</v>
      </c>
      <c r="N131" s="201">
        <f t="shared" si="1429"/>
        <v>0</v>
      </c>
      <c r="O131" s="201">
        <f t="shared" si="1429"/>
        <v>0</v>
      </c>
      <c r="P131" s="201">
        <f t="shared" si="1429"/>
        <v>0</v>
      </c>
      <c r="Q131" s="201">
        <f t="shared" si="1429"/>
        <v>0</v>
      </c>
      <c r="R131" s="201">
        <f t="shared" si="1429"/>
        <v>0</v>
      </c>
      <c r="S131" s="201">
        <f t="shared" si="1429"/>
        <v>0</v>
      </c>
      <c r="T131" s="201">
        <f t="shared" si="1429"/>
        <v>0</v>
      </c>
      <c r="U131" s="201">
        <f t="shared" si="1429"/>
        <v>0</v>
      </c>
      <c r="V131" s="201">
        <f t="shared" si="1429"/>
        <v>0</v>
      </c>
      <c r="W131" s="201">
        <f t="shared" si="1429"/>
        <v>0</v>
      </c>
      <c r="X131" s="201">
        <f t="shared" si="1429"/>
        <v>0</v>
      </c>
      <c r="Y131" s="201">
        <f t="shared" si="1429"/>
        <v>0</v>
      </c>
      <c r="Z131" s="201">
        <f t="shared" si="1429"/>
        <v>0</v>
      </c>
      <c r="AA131" s="201">
        <f t="shared" si="1429"/>
        <v>0</v>
      </c>
      <c r="AB131" s="201">
        <f t="shared" si="1429"/>
        <v>0</v>
      </c>
      <c r="AC131" s="201">
        <f t="shared" si="1429"/>
        <v>0</v>
      </c>
      <c r="AD131" s="201">
        <f t="shared" si="1429"/>
        <v>0</v>
      </c>
      <c r="AE131" s="201">
        <f t="shared" si="1429"/>
        <v>0</v>
      </c>
      <c r="AF131" s="201">
        <f t="shared" si="1429"/>
        <v>0</v>
      </c>
      <c r="AG131" s="201">
        <f t="shared" si="1429"/>
        <v>0</v>
      </c>
      <c r="AH131" s="201">
        <f t="shared" si="1429"/>
        <v>0</v>
      </c>
      <c r="AI131" s="201">
        <f t="shared" si="1429"/>
        <v>0</v>
      </c>
      <c r="AJ131" s="201">
        <f t="shared" si="1429"/>
        <v>0</v>
      </c>
      <c r="AK131" s="201">
        <f t="shared" si="1429"/>
        <v>0</v>
      </c>
      <c r="AL131" s="201">
        <f t="shared" si="1429"/>
        <v>0</v>
      </c>
      <c r="AM131" s="201">
        <f t="shared" si="1429"/>
        <v>0</v>
      </c>
      <c r="AN131" s="201">
        <f t="shared" si="1429"/>
        <v>0</v>
      </c>
      <c r="AO131" s="201">
        <f t="shared" si="1429"/>
        <v>0</v>
      </c>
      <c r="AP131" s="201">
        <f t="shared" si="1429"/>
        <v>0</v>
      </c>
      <c r="AQ131" s="201">
        <f t="shared" si="1429"/>
        <v>0</v>
      </c>
      <c r="AR131" s="201">
        <f t="shared" si="1429"/>
        <v>0</v>
      </c>
      <c r="AS131" s="201">
        <f t="shared" si="1429"/>
        <v>0</v>
      </c>
      <c r="AT131" s="201">
        <f t="shared" si="1429"/>
        <v>0</v>
      </c>
      <c r="AU131" s="201">
        <f t="shared" si="1429"/>
        <v>0</v>
      </c>
      <c r="AV131" s="201">
        <f t="shared" si="1429"/>
        <v>0</v>
      </c>
      <c r="AW131" s="201">
        <f t="shared" si="1429"/>
        <v>0</v>
      </c>
      <c r="AX131" s="201">
        <f t="shared" si="1429"/>
        <v>0</v>
      </c>
      <c r="AY131" s="201">
        <f t="shared" si="1429"/>
        <v>0</v>
      </c>
      <c r="AZ131" s="201">
        <f t="shared" si="1429"/>
        <v>0</v>
      </c>
      <c r="BA131" s="201">
        <f t="shared" si="1429"/>
        <v>-133333.33333333334</v>
      </c>
      <c r="BB131" s="201">
        <f t="shared" si="1429"/>
        <v>0</v>
      </c>
      <c r="BC131" s="201">
        <f t="shared" si="1429"/>
        <v>0</v>
      </c>
      <c r="BD131" s="201">
        <f t="shared" si="1429"/>
        <v>0</v>
      </c>
      <c r="BE131" s="201">
        <f t="shared" si="1429"/>
        <v>0</v>
      </c>
      <c r="BF131" s="201">
        <f t="shared" si="1429"/>
        <v>0</v>
      </c>
      <c r="BG131" s="201">
        <f t="shared" si="1429"/>
        <v>0</v>
      </c>
      <c r="BH131" s="201">
        <f t="shared" si="1429"/>
        <v>0</v>
      </c>
      <c r="BI131" s="201">
        <f t="shared" si="1429"/>
        <v>0</v>
      </c>
      <c r="BJ131" s="201">
        <f t="shared" si="1429"/>
        <v>0</v>
      </c>
      <c r="BK131" s="201">
        <f t="shared" si="1429"/>
        <v>0</v>
      </c>
      <c r="BL131" s="201">
        <f t="shared" si="1429"/>
        <v>0</v>
      </c>
      <c r="BM131" s="201">
        <f t="shared" si="1429"/>
        <v>-133333.33333333334</v>
      </c>
      <c r="BN131" s="201">
        <f t="shared" si="1429"/>
        <v>0</v>
      </c>
      <c r="BO131" s="201">
        <f t="shared" si="1429"/>
        <v>0</v>
      </c>
      <c r="BP131" s="201">
        <f t="shared" si="1429"/>
        <v>0</v>
      </c>
      <c r="BQ131" s="201">
        <f t="shared" si="1429"/>
        <v>0</v>
      </c>
      <c r="BR131" s="201">
        <f t="shared" ref="BR131:EC131" si="1430">-BR117*LOOKUP($C114,$E112:$GQ112,$E127:$GQ127)</f>
        <v>0</v>
      </c>
      <c r="BS131" s="201">
        <f t="shared" si="1430"/>
        <v>0</v>
      </c>
      <c r="BT131" s="201">
        <f t="shared" si="1430"/>
        <v>0</v>
      </c>
      <c r="BU131" s="201">
        <f t="shared" si="1430"/>
        <v>0</v>
      </c>
      <c r="BV131" s="201">
        <f t="shared" si="1430"/>
        <v>0</v>
      </c>
      <c r="BW131" s="201">
        <f t="shared" si="1430"/>
        <v>0</v>
      </c>
      <c r="BX131" s="201">
        <f t="shared" si="1430"/>
        <v>0</v>
      </c>
      <c r="BY131" s="201">
        <f t="shared" si="1430"/>
        <v>0</v>
      </c>
      <c r="BZ131" s="201">
        <f t="shared" si="1430"/>
        <v>0</v>
      </c>
      <c r="CA131" s="201">
        <f t="shared" si="1430"/>
        <v>0</v>
      </c>
      <c r="CB131" s="201">
        <f t="shared" si="1430"/>
        <v>0</v>
      </c>
      <c r="CC131" s="201">
        <f t="shared" si="1430"/>
        <v>0</v>
      </c>
      <c r="CD131" s="201">
        <f t="shared" si="1430"/>
        <v>0</v>
      </c>
      <c r="CE131" s="201">
        <f t="shared" si="1430"/>
        <v>0</v>
      </c>
      <c r="CF131" s="201">
        <f t="shared" si="1430"/>
        <v>0</v>
      </c>
      <c r="CG131" s="201">
        <f t="shared" si="1430"/>
        <v>0</v>
      </c>
      <c r="CH131" s="201">
        <f t="shared" si="1430"/>
        <v>0</v>
      </c>
      <c r="CI131" s="201">
        <f t="shared" si="1430"/>
        <v>0</v>
      </c>
      <c r="CJ131" s="201">
        <f t="shared" si="1430"/>
        <v>0</v>
      </c>
      <c r="CK131" s="201">
        <f t="shared" si="1430"/>
        <v>0</v>
      </c>
      <c r="CL131" s="201">
        <f t="shared" si="1430"/>
        <v>0</v>
      </c>
      <c r="CM131" s="201">
        <f t="shared" si="1430"/>
        <v>0</v>
      </c>
      <c r="CN131" s="201">
        <f t="shared" si="1430"/>
        <v>0</v>
      </c>
      <c r="CO131" s="201">
        <f t="shared" si="1430"/>
        <v>0</v>
      </c>
      <c r="CP131" s="201">
        <f t="shared" si="1430"/>
        <v>0</v>
      </c>
      <c r="CQ131" s="201">
        <f t="shared" si="1430"/>
        <v>0</v>
      </c>
      <c r="CR131" s="201">
        <f t="shared" si="1430"/>
        <v>0</v>
      </c>
      <c r="CS131" s="201">
        <f t="shared" si="1430"/>
        <v>0</v>
      </c>
      <c r="CT131" s="201">
        <f t="shared" si="1430"/>
        <v>0</v>
      </c>
      <c r="CU131" s="201">
        <f t="shared" si="1430"/>
        <v>0</v>
      </c>
      <c r="CV131" s="201">
        <f t="shared" si="1430"/>
        <v>0</v>
      </c>
      <c r="CW131" s="201">
        <f t="shared" si="1430"/>
        <v>0</v>
      </c>
      <c r="CX131" s="201">
        <f t="shared" si="1430"/>
        <v>0</v>
      </c>
      <c r="CY131" s="201">
        <f t="shared" si="1430"/>
        <v>0</v>
      </c>
      <c r="CZ131" s="201">
        <f t="shared" si="1430"/>
        <v>0</v>
      </c>
      <c r="DA131" s="201">
        <f t="shared" si="1430"/>
        <v>0</v>
      </c>
      <c r="DB131" s="201">
        <f t="shared" si="1430"/>
        <v>0</v>
      </c>
      <c r="DC131" s="201">
        <f t="shared" si="1430"/>
        <v>0</v>
      </c>
      <c r="DD131" s="201">
        <f t="shared" si="1430"/>
        <v>0</v>
      </c>
      <c r="DE131" s="201">
        <f t="shared" si="1430"/>
        <v>0</v>
      </c>
      <c r="DF131" s="201">
        <f t="shared" si="1430"/>
        <v>0</v>
      </c>
      <c r="DG131" s="201">
        <f t="shared" si="1430"/>
        <v>0</v>
      </c>
      <c r="DH131" s="201">
        <f t="shared" si="1430"/>
        <v>0</v>
      </c>
      <c r="DI131" s="201">
        <f t="shared" si="1430"/>
        <v>0</v>
      </c>
      <c r="DJ131" s="201">
        <f t="shared" si="1430"/>
        <v>0</v>
      </c>
      <c r="DK131" s="201">
        <f t="shared" si="1430"/>
        <v>0</v>
      </c>
      <c r="DL131" s="201">
        <f t="shared" si="1430"/>
        <v>0</v>
      </c>
      <c r="DM131" s="201">
        <f t="shared" si="1430"/>
        <v>0</v>
      </c>
      <c r="DN131" s="201">
        <f t="shared" si="1430"/>
        <v>0</v>
      </c>
      <c r="DO131" s="201">
        <f t="shared" si="1430"/>
        <v>0</v>
      </c>
      <c r="DP131" s="201">
        <f t="shared" si="1430"/>
        <v>0</v>
      </c>
      <c r="DQ131" s="201">
        <f t="shared" si="1430"/>
        <v>0</v>
      </c>
      <c r="DR131" s="201">
        <f t="shared" si="1430"/>
        <v>0</v>
      </c>
      <c r="DS131" s="201">
        <f t="shared" si="1430"/>
        <v>0</v>
      </c>
      <c r="DT131" s="201">
        <f t="shared" si="1430"/>
        <v>0</v>
      </c>
      <c r="DU131" s="201">
        <f t="shared" si="1430"/>
        <v>0</v>
      </c>
      <c r="DV131" s="201">
        <f t="shared" si="1430"/>
        <v>0</v>
      </c>
      <c r="DW131" s="201">
        <f t="shared" si="1430"/>
        <v>0</v>
      </c>
      <c r="DX131" s="201">
        <f t="shared" si="1430"/>
        <v>0</v>
      </c>
      <c r="DY131" s="201">
        <f t="shared" si="1430"/>
        <v>0</v>
      </c>
      <c r="DZ131" s="201">
        <f t="shared" si="1430"/>
        <v>0</v>
      </c>
      <c r="EA131" s="201">
        <f t="shared" si="1430"/>
        <v>0</v>
      </c>
      <c r="EB131" s="201">
        <f t="shared" si="1430"/>
        <v>0</v>
      </c>
      <c r="EC131" s="201">
        <f t="shared" si="1430"/>
        <v>0</v>
      </c>
      <c r="ED131" s="201">
        <f t="shared" ref="ED131:GO131" si="1431">-ED117*LOOKUP($C114,$E112:$GQ112,$E127:$GQ127)</f>
        <v>0</v>
      </c>
      <c r="EE131" s="201">
        <f t="shared" si="1431"/>
        <v>0</v>
      </c>
      <c r="EF131" s="201">
        <f t="shared" si="1431"/>
        <v>0</v>
      </c>
      <c r="EG131" s="201">
        <f t="shared" si="1431"/>
        <v>0</v>
      </c>
      <c r="EH131" s="201">
        <f t="shared" si="1431"/>
        <v>0</v>
      </c>
      <c r="EI131" s="201">
        <f t="shared" si="1431"/>
        <v>0</v>
      </c>
      <c r="EJ131" s="201">
        <f t="shared" si="1431"/>
        <v>0</v>
      </c>
      <c r="EK131" s="201">
        <f t="shared" si="1431"/>
        <v>0</v>
      </c>
      <c r="EL131" s="201">
        <f t="shared" si="1431"/>
        <v>0</v>
      </c>
      <c r="EM131" s="201">
        <f t="shared" si="1431"/>
        <v>0</v>
      </c>
      <c r="EN131" s="201">
        <f t="shared" si="1431"/>
        <v>0</v>
      </c>
      <c r="EO131" s="201">
        <f t="shared" si="1431"/>
        <v>0</v>
      </c>
      <c r="EP131" s="201">
        <f t="shared" si="1431"/>
        <v>0</v>
      </c>
      <c r="EQ131" s="201">
        <f t="shared" si="1431"/>
        <v>0</v>
      </c>
      <c r="ER131" s="201">
        <f t="shared" si="1431"/>
        <v>0</v>
      </c>
      <c r="ES131" s="201">
        <f t="shared" si="1431"/>
        <v>0</v>
      </c>
      <c r="ET131" s="201">
        <f t="shared" si="1431"/>
        <v>0</v>
      </c>
      <c r="EU131" s="201">
        <f t="shared" si="1431"/>
        <v>0</v>
      </c>
      <c r="EV131" s="201">
        <f t="shared" si="1431"/>
        <v>0</v>
      </c>
      <c r="EW131" s="201">
        <f t="shared" si="1431"/>
        <v>0</v>
      </c>
      <c r="EX131" s="201">
        <f t="shared" si="1431"/>
        <v>0</v>
      </c>
      <c r="EY131" s="201">
        <f t="shared" si="1431"/>
        <v>0</v>
      </c>
      <c r="EZ131" s="201">
        <f t="shared" si="1431"/>
        <v>0</v>
      </c>
      <c r="FA131" s="201">
        <f t="shared" si="1431"/>
        <v>0</v>
      </c>
      <c r="FB131" s="201">
        <f t="shared" si="1431"/>
        <v>0</v>
      </c>
      <c r="FC131" s="201">
        <f t="shared" si="1431"/>
        <v>0</v>
      </c>
      <c r="FD131" s="201">
        <f t="shared" si="1431"/>
        <v>0</v>
      </c>
      <c r="FE131" s="201">
        <f t="shared" si="1431"/>
        <v>0</v>
      </c>
      <c r="FF131" s="201">
        <f t="shared" si="1431"/>
        <v>0</v>
      </c>
      <c r="FG131" s="201">
        <f t="shared" si="1431"/>
        <v>0</v>
      </c>
      <c r="FH131" s="201">
        <f t="shared" si="1431"/>
        <v>0</v>
      </c>
      <c r="FI131" s="201">
        <f t="shared" si="1431"/>
        <v>0</v>
      </c>
      <c r="FJ131" s="201">
        <f t="shared" si="1431"/>
        <v>0</v>
      </c>
      <c r="FK131" s="201">
        <f t="shared" si="1431"/>
        <v>0</v>
      </c>
      <c r="FL131" s="201">
        <f t="shared" si="1431"/>
        <v>0</v>
      </c>
      <c r="FM131" s="201">
        <f t="shared" si="1431"/>
        <v>0</v>
      </c>
      <c r="FN131" s="201">
        <f t="shared" si="1431"/>
        <v>0</v>
      </c>
      <c r="FO131" s="201">
        <f t="shared" si="1431"/>
        <v>0</v>
      </c>
      <c r="FP131" s="201">
        <f t="shared" si="1431"/>
        <v>0</v>
      </c>
      <c r="FQ131" s="201">
        <f t="shared" si="1431"/>
        <v>0</v>
      </c>
      <c r="FR131" s="201">
        <f t="shared" si="1431"/>
        <v>0</v>
      </c>
      <c r="FS131" s="201">
        <f t="shared" si="1431"/>
        <v>0</v>
      </c>
      <c r="FT131" s="201">
        <f t="shared" si="1431"/>
        <v>0</v>
      </c>
      <c r="FU131" s="201">
        <f t="shared" si="1431"/>
        <v>0</v>
      </c>
      <c r="FV131" s="201">
        <f t="shared" si="1431"/>
        <v>0</v>
      </c>
      <c r="FW131" s="201">
        <f t="shared" si="1431"/>
        <v>0</v>
      </c>
      <c r="FX131" s="201">
        <f t="shared" si="1431"/>
        <v>0</v>
      </c>
      <c r="FY131" s="201">
        <f t="shared" si="1431"/>
        <v>0</v>
      </c>
      <c r="FZ131" s="201">
        <f t="shared" si="1431"/>
        <v>0</v>
      </c>
      <c r="GA131" s="201">
        <f t="shared" si="1431"/>
        <v>0</v>
      </c>
      <c r="GB131" s="201">
        <f t="shared" si="1431"/>
        <v>0</v>
      </c>
      <c r="GC131" s="201">
        <f t="shared" si="1431"/>
        <v>0</v>
      </c>
      <c r="GD131" s="201">
        <f t="shared" si="1431"/>
        <v>0</v>
      </c>
      <c r="GE131" s="201">
        <f t="shared" si="1431"/>
        <v>0</v>
      </c>
      <c r="GF131" s="201">
        <f t="shared" si="1431"/>
        <v>0</v>
      </c>
      <c r="GG131" s="201">
        <f t="shared" si="1431"/>
        <v>0</v>
      </c>
      <c r="GH131" s="201">
        <f t="shared" si="1431"/>
        <v>0</v>
      </c>
      <c r="GI131" s="201">
        <f t="shared" si="1431"/>
        <v>0</v>
      </c>
      <c r="GJ131" s="201">
        <f t="shared" si="1431"/>
        <v>0</v>
      </c>
      <c r="GK131" s="201">
        <f t="shared" si="1431"/>
        <v>0</v>
      </c>
      <c r="GL131" s="201">
        <f t="shared" si="1431"/>
        <v>0</v>
      </c>
      <c r="GM131" s="201">
        <f t="shared" si="1431"/>
        <v>0</v>
      </c>
      <c r="GN131" s="201">
        <f t="shared" si="1431"/>
        <v>0</v>
      </c>
      <c r="GO131" s="201">
        <f t="shared" si="1431"/>
        <v>0</v>
      </c>
      <c r="GP131" s="201">
        <f t="shared" ref="GP131:GQ131" si="1432">-GP117*LOOKUP($C114,$E112:$GQ112,$E127:$GQ127)</f>
        <v>0</v>
      </c>
      <c r="GQ131" s="201">
        <f t="shared" si="1432"/>
        <v>0</v>
      </c>
    </row>
    <row r="132" spans="2:199" s="154" customFormat="1" outlineLevel="1">
      <c r="B132" s="190" t="s">
        <v>393</v>
      </c>
      <c r="C132" s="195"/>
      <c r="D132" s="188"/>
      <c r="E132" s="189">
        <f t="shared" ref="E132:BP132" si="1433">IF(SUM(E126:E131)&lt;0.00000001,ROUND(SUM(E126:E131),7),SUM(E126:E131))</f>
        <v>268619.48891441728</v>
      </c>
      <c r="F132" s="189">
        <f t="shared" si="1433"/>
        <v>270737.80390969588</v>
      </c>
      <c r="G132" s="189">
        <f t="shared" si="1433"/>
        <v>272925.29156564572</v>
      </c>
      <c r="H132" s="189">
        <f t="shared" si="1433"/>
        <v>274788.00013639306</v>
      </c>
      <c r="I132" s="189">
        <f t="shared" si="1433"/>
        <v>276921.97435736709</v>
      </c>
      <c r="J132" s="189">
        <f t="shared" si="1433"/>
        <v>278898.78668610437</v>
      </c>
      <c r="K132" s="189">
        <f t="shared" si="1433"/>
        <v>266666.66666666669</v>
      </c>
      <c r="L132" s="189">
        <f t="shared" si="1433"/>
        <v>268737.57148047688</v>
      </c>
      <c r="M132" s="189">
        <f t="shared" si="1433"/>
        <v>270487.46484716097</v>
      </c>
      <c r="N132" s="189">
        <f t="shared" si="1433"/>
        <v>272418.34431788418</v>
      </c>
      <c r="O132" s="189">
        <f t="shared" si="1433"/>
        <v>274533.91604520212</v>
      </c>
      <c r="P132" s="189">
        <f t="shared" si="1433"/>
        <v>276579.78572098922</v>
      </c>
      <c r="Q132" s="189">
        <f t="shared" si="1433"/>
        <v>266666.66666666669</v>
      </c>
      <c r="R132" s="189">
        <f t="shared" si="1433"/>
        <v>268821.2606434325</v>
      </c>
      <c r="S132" s="189">
        <f t="shared" si="1433"/>
        <v>270908.89780363627</v>
      </c>
      <c r="T132" s="189">
        <f t="shared" si="1433"/>
        <v>272980.27047610225</v>
      </c>
      <c r="U132" s="189">
        <f t="shared" si="1433"/>
        <v>275414.56235251768</v>
      </c>
      <c r="V132" s="189">
        <f t="shared" si="1433"/>
        <v>277638.73097362433</v>
      </c>
      <c r="W132" s="189">
        <f t="shared" si="1433"/>
        <v>280028.97429935989</v>
      </c>
      <c r="X132" s="189">
        <f t="shared" si="1433"/>
        <v>282543.19464774494</v>
      </c>
      <c r="Y132" s="189">
        <f t="shared" si="1433"/>
        <v>284871.37225270655</v>
      </c>
      <c r="Z132" s="189">
        <f t="shared" si="1433"/>
        <v>287113.62418830954</v>
      </c>
      <c r="AA132" s="189">
        <f t="shared" si="1433"/>
        <v>289479.46248339914</v>
      </c>
      <c r="AB132" s="189">
        <f t="shared" si="1433"/>
        <v>291971.64486268035</v>
      </c>
      <c r="AC132" s="189">
        <f t="shared" si="1433"/>
        <v>266666.66666666663</v>
      </c>
      <c r="AD132" s="189">
        <f t="shared" si="1433"/>
        <v>269159.41555020254</v>
      </c>
      <c r="AE132" s="189">
        <f t="shared" si="1433"/>
        <v>271476.65887688694</v>
      </c>
      <c r="AF132" s="189">
        <f t="shared" si="1433"/>
        <v>273914.09286587907</v>
      </c>
      <c r="AG132" s="189">
        <f t="shared" si="1433"/>
        <v>276474.58930028969</v>
      </c>
      <c r="AH132" s="189">
        <f t="shared" si="1433"/>
        <v>278752.76113151142</v>
      </c>
      <c r="AI132" s="189">
        <f t="shared" si="1433"/>
        <v>281255.52309019404</v>
      </c>
      <c r="AJ132" s="189">
        <f t="shared" si="1433"/>
        <v>283676.90405003016</v>
      </c>
      <c r="AK132" s="189">
        <f t="shared" si="1433"/>
        <v>285805.12320105627</v>
      </c>
      <c r="AL132" s="189">
        <f t="shared" si="1433"/>
        <v>288371.20429399563</v>
      </c>
      <c r="AM132" s="189">
        <f t="shared" si="1433"/>
        <v>290747.40514565696</v>
      </c>
      <c r="AN132" s="189">
        <f t="shared" si="1433"/>
        <v>293143.18607467477</v>
      </c>
      <c r="AO132" s="189">
        <f t="shared" si="1433"/>
        <v>266666.66666666651</v>
      </c>
      <c r="AP132" s="189">
        <f t="shared" si="1433"/>
        <v>269159.41555020242</v>
      </c>
      <c r="AQ132" s="189">
        <f t="shared" si="1433"/>
        <v>271476.65887688682</v>
      </c>
      <c r="AR132" s="189">
        <f t="shared" si="1433"/>
        <v>273813.85178112582</v>
      </c>
      <c r="AS132" s="189">
        <f t="shared" si="1433"/>
        <v>276171.16601253243</v>
      </c>
      <c r="AT132" s="189">
        <f t="shared" si="1433"/>
        <v>278446.83761257975</v>
      </c>
      <c r="AU132" s="189">
        <f t="shared" si="1433"/>
        <v>280946.8528585757</v>
      </c>
      <c r="AV132" s="189">
        <f t="shared" si="1433"/>
        <v>283386.16828872752</v>
      </c>
      <c r="AW132" s="189">
        <f t="shared" si="1433"/>
        <v>285846.66302630794</v>
      </c>
      <c r="AX132" s="189">
        <f t="shared" si="1433"/>
        <v>288328.52096022997</v>
      </c>
      <c r="AY132" s="189">
        <f t="shared" si="1433"/>
        <v>290831.92757601856</v>
      </c>
      <c r="AZ132" s="189">
        <f t="shared" si="1433"/>
        <v>293357.069969673</v>
      </c>
      <c r="BA132" s="189">
        <f t="shared" si="1433"/>
        <v>133333.33333333323</v>
      </c>
      <c r="BB132" s="189">
        <f t="shared" si="1433"/>
        <v>134490.99733292713</v>
      </c>
      <c r="BC132" s="189">
        <f t="shared" si="1433"/>
        <v>135658.71272704069</v>
      </c>
      <c r="BD132" s="189">
        <f t="shared" si="1433"/>
        <v>136836.56678670578</v>
      </c>
      <c r="BE132" s="189">
        <f t="shared" si="1433"/>
        <v>138024.64754068325</v>
      </c>
      <c r="BF132" s="189">
        <f t="shared" si="1433"/>
        <v>139223.0437820419</v>
      </c>
      <c r="BG132" s="189">
        <f t="shared" si="1433"/>
        <v>140431.84507479458</v>
      </c>
      <c r="BH132" s="189">
        <f t="shared" si="1433"/>
        <v>141651.14176059185</v>
      </c>
      <c r="BI132" s="189">
        <f t="shared" si="1433"/>
        <v>142881.02496547392</v>
      </c>
      <c r="BJ132" s="189">
        <f t="shared" si="1433"/>
        <v>144121.58660668097</v>
      </c>
      <c r="BK132" s="189">
        <f t="shared" si="1433"/>
        <v>145372.9193995228</v>
      </c>
      <c r="BL132" s="189">
        <f t="shared" si="1433"/>
        <v>146635.11686430799</v>
      </c>
      <c r="BM132" s="189">
        <f t="shared" si="1433"/>
        <v>0</v>
      </c>
      <c r="BN132" s="189">
        <f t="shared" si="1433"/>
        <v>0</v>
      </c>
      <c r="BO132" s="189">
        <f t="shared" si="1433"/>
        <v>0</v>
      </c>
      <c r="BP132" s="189">
        <f t="shared" si="1433"/>
        <v>0</v>
      </c>
      <c r="BQ132" s="189">
        <f t="shared" ref="BQ132:EB132" si="1434">IF(SUM(BQ126:BQ131)&lt;0.00000001,ROUND(SUM(BQ126:BQ131),7),SUM(BQ126:BQ131))</f>
        <v>0</v>
      </c>
      <c r="BR132" s="189">
        <f t="shared" si="1434"/>
        <v>0</v>
      </c>
      <c r="BS132" s="189">
        <f t="shared" si="1434"/>
        <v>0</v>
      </c>
      <c r="BT132" s="189">
        <f t="shared" si="1434"/>
        <v>0</v>
      </c>
      <c r="BU132" s="189">
        <f t="shared" si="1434"/>
        <v>0</v>
      </c>
      <c r="BV132" s="189">
        <f t="shared" si="1434"/>
        <v>0</v>
      </c>
      <c r="BW132" s="189">
        <f t="shared" si="1434"/>
        <v>0</v>
      </c>
      <c r="BX132" s="189">
        <f t="shared" si="1434"/>
        <v>0</v>
      </c>
      <c r="BY132" s="189">
        <f t="shared" si="1434"/>
        <v>0</v>
      </c>
      <c r="BZ132" s="189">
        <f t="shared" si="1434"/>
        <v>0</v>
      </c>
      <c r="CA132" s="189">
        <f t="shared" si="1434"/>
        <v>0</v>
      </c>
      <c r="CB132" s="189">
        <f t="shared" si="1434"/>
        <v>0</v>
      </c>
      <c r="CC132" s="189">
        <f t="shared" si="1434"/>
        <v>0</v>
      </c>
      <c r="CD132" s="189">
        <f t="shared" si="1434"/>
        <v>0</v>
      </c>
      <c r="CE132" s="189">
        <f t="shared" si="1434"/>
        <v>0</v>
      </c>
      <c r="CF132" s="189">
        <f t="shared" si="1434"/>
        <v>0</v>
      </c>
      <c r="CG132" s="189">
        <f t="shared" si="1434"/>
        <v>0</v>
      </c>
      <c r="CH132" s="189">
        <f t="shared" si="1434"/>
        <v>0</v>
      </c>
      <c r="CI132" s="189">
        <f t="shared" si="1434"/>
        <v>0</v>
      </c>
      <c r="CJ132" s="189">
        <f t="shared" si="1434"/>
        <v>0</v>
      </c>
      <c r="CK132" s="189">
        <f t="shared" si="1434"/>
        <v>0</v>
      </c>
      <c r="CL132" s="189">
        <f t="shared" si="1434"/>
        <v>0</v>
      </c>
      <c r="CM132" s="189">
        <f t="shared" si="1434"/>
        <v>0</v>
      </c>
      <c r="CN132" s="189">
        <f t="shared" si="1434"/>
        <v>0</v>
      </c>
      <c r="CO132" s="189">
        <f t="shared" si="1434"/>
        <v>0</v>
      </c>
      <c r="CP132" s="189">
        <f t="shared" si="1434"/>
        <v>0</v>
      </c>
      <c r="CQ132" s="189">
        <f t="shared" si="1434"/>
        <v>0</v>
      </c>
      <c r="CR132" s="189">
        <f t="shared" si="1434"/>
        <v>0</v>
      </c>
      <c r="CS132" s="189">
        <f t="shared" si="1434"/>
        <v>0</v>
      </c>
      <c r="CT132" s="189">
        <f t="shared" si="1434"/>
        <v>0</v>
      </c>
      <c r="CU132" s="189">
        <f t="shared" si="1434"/>
        <v>0</v>
      </c>
      <c r="CV132" s="189">
        <f t="shared" si="1434"/>
        <v>0</v>
      </c>
      <c r="CW132" s="189">
        <f t="shared" si="1434"/>
        <v>0</v>
      </c>
      <c r="CX132" s="189">
        <f t="shared" si="1434"/>
        <v>0</v>
      </c>
      <c r="CY132" s="189">
        <f t="shared" si="1434"/>
        <v>0</v>
      </c>
      <c r="CZ132" s="189">
        <f t="shared" si="1434"/>
        <v>0</v>
      </c>
      <c r="DA132" s="189">
        <f t="shared" si="1434"/>
        <v>0</v>
      </c>
      <c r="DB132" s="189">
        <f t="shared" si="1434"/>
        <v>0</v>
      </c>
      <c r="DC132" s="189">
        <f t="shared" si="1434"/>
        <v>0</v>
      </c>
      <c r="DD132" s="189">
        <f t="shared" si="1434"/>
        <v>0</v>
      </c>
      <c r="DE132" s="189">
        <f t="shared" si="1434"/>
        <v>0</v>
      </c>
      <c r="DF132" s="189">
        <f t="shared" si="1434"/>
        <v>0</v>
      </c>
      <c r="DG132" s="189">
        <f t="shared" si="1434"/>
        <v>0</v>
      </c>
      <c r="DH132" s="189">
        <f t="shared" si="1434"/>
        <v>0</v>
      </c>
      <c r="DI132" s="189">
        <f t="shared" si="1434"/>
        <v>0</v>
      </c>
      <c r="DJ132" s="189">
        <f t="shared" si="1434"/>
        <v>0</v>
      </c>
      <c r="DK132" s="189">
        <f t="shared" si="1434"/>
        <v>0</v>
      </c>
      <c r="DL132" s="189">
        <f t="shared" si="1434"/>
        <v>0</v>
      </c>
      <c r="DM132" s="189">
        <f t="shared" si="1434"/>
        <v>0</v>
      </c>
      <c r="DN132" s="189">
        <f t="shared" si="1434"/>
        <v>0</v>
      </c>
      <c r="DO132" s="189">
        <f t="shared" si="1434"/>
        <v>0</v>
      </c>
      <c r="DP132" s="189">
        <f t="shared" si="1434"/>
        <v>0</v>
      </c>
      <c r="DQ132" s="189">
        <f t="shared" si="1434"/>
        <v>0</v>
      </c>
      <c r="DR132" s="189">
        <f t="shared" si="1434"/>
        <v>0</v>
      </c>
      <c r="DS132" s="189">
        <f t="shared" si="1434"/>
        <v>0</v>
      </c>
      <c r="DT132" s="189">
        <f t="shared" si="1434"/>
        <v>0</v>
      </c>
      <c r="DU132" s="189">
        <f t="shared" si="1434"/>
        <v>0</v>
      </c>
      <c r="DV132" s="189">
        <f t="shared" si="1434"/>
        <v>0</v>
      </c>
      <c r="DW132" s="189">
        <f t="shared" si="1434"/>
        <v>0</v>
      </c>
      <c r="DX132" s="189">
        <f t="shared" si="1434"/>
        <v>0</v>
      </c>
      <c r="DY132" s="189">
        <f t="shared" si="1434"/>
        <v>0</v>
      </c>
      <c r="DZ132" s="189">
        <f t="shared" si="1434"/>
        <v>0</v>
      </c>
      <c r="EA132" s="189">
        <f t="shared" si="1434"/>
        <v>0</v>
      </c>
      <c r="EB132" s="189">
        <f t="shared" si="1434"/>
        <v>0</v>
      </c>
      <c r="EC132" s="189">
        <f t="shared" ref="EC132:GN132" si="1435">IF(SUM(EC126:EC131)&lt;0.00000001,ROUND(SUM(EC126:EC131),7),SUM(EC126:EC131))</f>
        <v>0</v>
      </c>
      <c r="ED132" s="189">
        <f t="shared" si="1435"/>
        <v>0</v>
      </c>
      <c r="EE132" s="189">
        <f t="shared" si="1435"/>
        <v>0</v>
      </c>
      <c r="EF132" s="189">
        <f t="shared" si="1435"/>
        <v>0</v>
      </c>
      <c r="EG132" s="189">
        <f t="shared" si="1435"/>
        <v>0</v>
      </c>
      <c r="EH132" s="189">
        <f t="shared" si="1435"/>
        <v>0</v>
      </c>
      <c r="EI132" s="189">
        <f t="shared" si="1435"/>
        <v>0</v>
      </c>
      <c r="EJ132" s="189">
        <f t="shared" si="1435"/>
        <v>0</v>
      </c>
      <c r="EK132" s="189">
        <f t="shared" si="1435"/>
        <v>0</v>
      </c>
      <c r="EL132" s="189">
        <f t="shared" si="1435"/>
        <v>0</v>
      </c>
      <c r="EM132" s="189">
        <f t="shared" si="1435"/>
        <v>0</v>
      </c>
      <c r="EN132" s="189">
        <f t="shared" si="1435"/>
        <v>0</v>
      </c>
      <c r="EO132" s="189">
        <f t="shared" si="1435"/>
        <v>0</v>
      </c>
      <c r="EP132" s="189">
        <f t="shared" si="1435"/>
        <v>0</v>
      </c>
      <c r="EQ132" s="189">
        <f t="shared" si="1435"/>
        <v>0</v>
      </c>
      <c r="ER132" s="189">
        <f t="shared" si="1435"/>
        <v>0</v>
      </c>
      <c r="ES132" s="189">
        <f t="shared" si="1435"/>
        <v>0</v>
      </c>
      <c r="ET132" s="189">
        <f t="shared" si="1435"/>
        <v>0</v>
      </c>
      <c r="EU132" s="189">
        <f t="shared" si="1435"/>
        <v>0</v>
      </c>
      <c r="EV132" s="189">
        <f t="shared" si="1435"/>
        <v>0</v>
      </c>
      <c r="EW132" s="189">
        <f t="shared" si="1435"/>
        <v>0</v>
      </c>
      <c r="EX132" s="189">
        <f t="shared" si="1435"/>
        <v>0</v>
      </c>
      <c r="EY132" s="189">
        <f t="shared" si="1435"/>
        <v>0</v>
      </c>
      <c r="EZ132" s="189">
        <f t="shared" si="1435"/>
        <v>0</v>
      </c>
      <c r="FA132" s="189">
        <f t="shared" si="1435"/>
        <v>0</v>
      </c>
      <c r="FB132" s="189">
        <f t="shared" si="1435"/>
        <v>0</v>
      </c>
      <c r="FC132" s="189">
        <f t="shared" si="1435"/>
        <v>0</v>
      </c>
      <c r="FD132" s="189">
        <f t="shared" si="1435"/>
        <v>0</v>
      </c>
      <c r="FE132" s="189">
        <f t="shared" si="1435"/>
        <v>0</v>
      </c>
      <c r="FF132" s="189">
        <f t="shared" si="1435"/>
        <v>0</v>
      </c>
      <c r="FG132" s="189">
        <f t="shared" si="1435"/>
        <v>0</v>
      </c>
      <c r="FH132" s="189">
        <f t="shared" si="1435"/>
        <v>0</v>
      </c>
      <c r="FI132" s="189">
        <f t="shared" si="1435"/>
        <v>0</v>
      </c>
      <c r="FJ132" s="189">
        <f t="shared" si="1435"/>
        <v>0</v>
      </c>
      <c r="FK132" s="189">
        <f t="shared" si="1435"/>
        <v>0</v>
      </c>
      <c r="FL132" s="189">
        <f t="shared" si="1435"/>
        <v>0</v>
      </c>
      <c r="FM132" s="189">
        <f t="shared" si="1435"/>
        <v>0</v>
      </c>
      <c r="FN132" s="189">
        <f t="shared" si="1435"/>
        <v>0</v>
      </c>
      <c r="FO132" s="189">
        <f t="shared" si="1435"/>
        <v>0</v>
      </c>
      <c r="FP132" s="189">
        <f t="shared" si="1435"/>
        <v>0</v>
      </c>
      <c r="FQ132" s="189">
        <f t="shared" si="1435"/>
        <v>0</v>
      </c>
      <c r="FR132" s="189">
        <f t="shared" si="1435"/>
        <v>0</v>
      </c>
      <c r="FS132" s="189">
        <f t="shared" si="1435"/>
        <v>0</v>
      </c>
      <c r="FT132" s="189">
        <f t="shared" si="1435"/>
        <v>0</v>
      </c>
      <c r="FU132" s="189">
        <f t="shared" si="1435"/>
        <v>0</v>
      </c>
      <c r="FV132" s="189">
        <f t="shared" si="1435"/>
        <v>0</v>
      </c>
      <c r="FW132" s="189">
        <f t="shared" si="1435"/>
        <v>0</v>
      </c>
      <c r="FX132" s="189">
        <f t="shared" si="1435"/>
        <v>0</v>
      </c>
      <c r="FY132" s="189">
        <f t="shared" si="1435"/>
        <v>0</v>
      </c>
      <c r="FZ132" s="189">
        <f t="shared" si="1435"/>
        <v>0</v>
      </c>
      <c r="GA132" s="189">
        <f t="shared" si="1435"/>
        <v>0</v>
      </c>
      <c r="GB132" s="189">
        <f t="shared" si="1435"/>
        <v>0</v>
      </c>
      <c r="GC132" s="189">
        <f t="shared" si="1435"/>
        <v>0</v>
      </c>
      <c r="GD132" s="189">
        <f t="shared" si="1435"/>
        <v>0</v>
      </c>
      <c r="GE132" s="189">
        <f t="shared" si="1435"/>
        <v>0</v>
      </c>
      <c r="GF132" s="189">
        <f t="shared" si="1435"/>
        <v>0</v>
      </c>
      <c r="GG132" s="189">
        <f t="shared" si="1435"/>
        <v>0</v>
      </c>
      <c r="GH132" s="189">
        <f t="shared" si="1435"/>
        <v>0</v>
      </c>
      <c r="GI132" s="189">
        <f t="shared" si="1435"/>
        <v>0</v>
      </c>
      <c r="GJ132" s="189">
        <f t="shared" si="1435"/>
        <v>0</v>
      </c>
      <c r="GK132" s="189">
        <f t="shared" si="1435"/>
        <v>0</v>
      </c>
      <c r="GL132" s="189">
        <f t="shared" si="1435"/>
        <v>0</v>
      </c>
      <c r="GM132" s="189">
        <f t="shared" si="1435"/>
        <v>0</v>
      </c>
      <c r="GN132" s="189">
        <f t="shared" si="1435"/>
        <v>0</v>
      </c>
      <c r="GO132" s="189">
        <f t="shared" ref="GO132:GQ132" si="1436">IF(SUM(GO126:GO131)&lt;0.00000001,ROUND(SUM(GO126:GO131),7),SUM(GO126:GO131))</f>
        <v>0</v>
      </c>
      <c r="GP132" s="189">
        <f t="shared" si="1436"/>
        <v>0</v>
      </c>
      <c r="GQ132" s="189">
        <f t="shared" si="1436"/>
        <v>0</v>
      </c>
    </row>
    <row r="133" spans="2:199" outlineLevel="1">
      <c r="B133" s="196" t="s">
        <v>396</v>
      </c>
      <c r="C133" s="197"/>
      <c r="D133" s="198"/>
      <c r="E133" s="210">
        <f>(E129+D133+E130)*IF(AND(E112=$C117,$C123),0,1)</f>
        <v>1952.8222477505965</v>
      </c>
      <c r="F133" s="210">
        <f>(F129+E133+F130)*IF(AND(F112=$C117,$C123),0,1)</f>
        <v>4071.1372430292149</v>
      </c>
      <c r="G133" s="210">
        <f t="shared" ref="G133:BR133" si="1437">(G129+F133+G130)*IF(AND(G112=$C117,$C123),0,1)</f>
        <v>6258.6248989790574</v>
      </c>
      <c r="H133" s="210">
        <f t="shared" si="1437"/>
        <v>8121.3334697263854</v>
      </c>
      <c r="I133" s="210">
        <f t="shared" si="1437"/>
        <v>10255.307690700407</v>
      </c>
      <c r="J133" s="210">
        <f t="shared" si="1437"/>
        <v>12232.120019437683</v>
      </c>
      <c r="K133" s="210">
        <f t="shared" si="1437"/>
        <v>0</v>
      </c>
      <c r="L133" s="210">
        <f t="shared" si="1437"/>
        <v>2070.9048138102189</v>
      </c>
      <c r="M133" s="210">
        <f t="shared" si="1437"/>
        <v>3820.7981804943097</v>
      </c>
      <c r="N133" s="210">
        <f t="shared" si="1437"/>
        <v>5751.6776512175056</v>
      </c>
      <c r="O133" s="210">
        <f t="shared" si="1437"/>
        <v>7867.24937853544</v>
      </c>
      <c r="P133" s="210">
        <f t="shared" si="1437"/>
        <v>9913.1190543225384</v>
      </c>
      <c r="Q133" s="210">
        <f t="shared" si="1437"/>
        <v>0</v>
      </c>
      <c r="R133" s="210">
        <f t="shared" si="1437"/>
        <v>2154.593976765836</v>
      </c>
      <c r="S133" s="210">
        <f t="shared" si="1437"/>
        <v>4242.2311369695854</v>
      </c>
      <c r="T133" s="210">
        <f t="shared" si="1437"/>
        <v>6313.6038094355645</v>
      </c>
      <c r="U133" s="210">
        <f t="shared" si="1437"/>
        <v>8747.8956858509937</v>
      </c>
      <c r="V133" s="210">
        <f t="shared" si="1437"/>
        <v>10972.064306957654</v>
      </c>
      <c r="W133" s="210">
        <f t="shared" si="1437"/>
        <v>13362.307632693233</v>
      </c>
      <c r="X133" s="210">
        <f t="shared" si="1437"/>
        <v>15876.527981078298</v>
      </c>
      <c r="Y133" s="210">
        <f t="shared" si="1437"/>
        <v>18204.705586039912</v>
      </c>
      <c r="Z133" s="210">
        <f t="shared" si="1437"/>
        <v>20446.957521642882</v>
      </c>
      <c r="AA133" s="210">
        <f t="shared" si="1437"/>
        <v>22812.795816732476</v>
      </c>
      <c r="AB133" s="210">
        <f t="shared" si="1437"/>
        <v>25304.978196013704</v>
      </c>
      <c r="AC133" s="210">
        <f t="shared" si="1437"/>
        <v>0</v>
      </c>
      <c r="AD133" s="210">
        <f t="shared" si="1437"/>
        <v>2492.7488835359072</v>
      </c>
      <c r="AE133" s="210">
        <f t="shared" si="1437"/>
        <v>4809.9922102203218</v>
      </c>
      <c r="AF133" s="210">
        <f t="shared" si="1437"/>
        <v>7247.4261992124393</v>
      </c>
      <c r="AG133" s="210">
        <f t="shared" si="1437"/>
        <v>9807.9226336230804</v>
      </c>
      <c r="AH133" s="210">
        <f t="shared" si="1437"/>
        <v>12086.094464844824</v>
      </c>
      <c r="AI133" s="210">
        <f t="shared" si="1437"/>
        <v>14588.856423527441</v>
      </c>
      <c r="AJ133" s="210">
        <f t="shared" si="1437"/>
        <v>17010.23738336359</v>
      </c>
      <c r="AK133" s="210">
        <f t="shared" si="1437"/>
        <v>19138.45653438969</v>
      </c>
      <c r="AL133" s="210">
        <f t="shared" si="1437"/>
        <v>21704.537627329075</v>
      </c>
      <c r="AM133" s="210">
        <f t="shared" si="1437"/>
        <v>24080.738478990428</v>
      </c>
      <c r="AN133" s="210">
        <f t="shared" si="1437"/>
        <v>26476.519408008251</v>
      </c>
      <c r="AO133" s="210">
        <f t="shared" si="1437"/>
        <v>0</v>
      </c>
      <c r="AP133" s="210">
        <f t="shared" si="1437"/>
        <v>2492.7488835359063</v>
      </c>
      <c r="AQ133" s="210">
        <f t="shared" si="1437"/>
        <v>4809.99221022032</v>
      </c>
      <c r="AR133" s="210">
        <f t="shared" si="1437"/>
        <v>7147.1851144593111</v>
      </c>
      <c r="AS133" s="210">
        <f t="shared" si="1437"/>
        <v>9504.4993458658882</v>
      </c>
      <c r="AT133" s="210">
        <f t="shared" si="1437"/>
        <v>11780.170945913205</v>
      </c>
      <c r="AU133" s="210">
        <f t="shared" si="1437"/>
        <v>14280.186191909135</v>
      </c>
      <c r="AV133" s="210">
        <f t="shared" si="1437"/>
        <v>16719.501622060972</v>
      </c>
      <c r="AW133" s="210">
        <f t="shared" si="1437"/>
        <v>19179.996359641362</v>
      </c>
      <c r="AX133" s="210">
        <f t="shared" si="1437"/>
        <v>21661.854293563407</v>
      </c>
      <c r="AY133" s="210">
        <f t="shared" si="1437"/>
        <v>24165.260909352011</v>
      </c>
      <c r="AZ133" s="210">
        <f t="shared" si="1437"/>
        <v>26690.403303006442</v>
      </c>
      <c r="BA133" s="210">
        <f t="shared" si="1437"/>
        <v>0</v>
      </c>
      <c r="BB133" s="210">
        <f t="shared" si="1437"/>
        <v>1157.6639995939006</v>
      </c>
      <c r="BC133" s="210">
        <f t="shared" si="1437"/>
        <v>2325.3793937074697</v>
      </c>
      <c r="BD133" s="210">
        <f t="shared" si="1437"/>
        <v>3503.2334533725652</v>
      </c>
      <c r="BE133" s="210">
        <f t="shared" si="1437"/>
        <v>4691.3142073500339</v>
      </c>
      <c r="BF133" s="210">
        <f t="shared" si="1437"/>
        <v>5889.7104487086781</v>
      </c>
      <c r="BG133" s="210">
        <f t="shared" si="1437"/>
        <v>7098.5117414613442</v>
      </c>
      <c r="BH133" s="210">
        <f t="shared" si="1437"/>
        <v>8317.8084272586275</v>
      </c>
      <c r="BI133" s="210">
        <f t="shared" si="1437"/>
        <v>9547.6916321406989</v>
      </c>
      <c r="BJ133" s="210">
        <f t="shared" si="1437"/>
        <v>10788.253273347749</v>
      </c>
      <c r="BK133" s="210">
        <f t="shared" si="1437"/>
        <v>12039.586066189568</v>
      </c>
      <c r="BL133" s="210">
        <f t="shared" si="1437"/>
        <v>13301.783530974768</v>
      </c>
      <c r="BM133" s="210">
        <f t="shared" si="1437"/>
        <v>0</v>
      </c>
      <c r="BN133" s="210">
        <f t="shared" si="1437"/>
        <v>0</v>
      </c>
      <c r="BO133" s="210">
        <f t="shared" si="1437"/>
        <v>0</v>
      </c>
      <c r="BP133" s="210">
        <f t="shared" si="1437"/>
        <v>0</v>
      </c>
      <c r="BQ133" s="210">
        <f t="shared" si="1437"/>
        <v>0</v>
      </c>
      <c r="BR133" s="210">
        <f t="shared" si="1437"/>
        <v>0</v>
      </c>
      <c r="BS133" s="210">
        <f t="shared" ref="BS133:ED133" si="1438">(BS129+BR133+BS130)*IF(AND(BS112=$C117,$C123),0,1)</f>
        <v>0</v>
      </c>
      <c r="BT133" s="210">
        <f t="shared" si="1438"/>
        <v>0</v>
      </c>
      <c r="BU133" s="210">
        <f t="shared" si="1438"/>
        <v>0</v>
      </c>
      <c r="BV133" s="210">
        <f t="shared" si="1438"/>
        <v>0</v>
      </c>
      <c r="BW133" s="210">
        <f t="shared" si="1438"/>
        <v>0</v>
      </c>
      <c r="BX133" s="210">
        <f t="shared" si="1438"/>
        <v>0</v>
      </c>
      <c r="BY133" s="210">
        <f t="shared" si="1438"/>
        <v>0</v>
      </c>
      <c r="BZ133" s="210">
        <f t="shared" si="1438"/>
        <v>0</v>
      </c>
      <c r="CA133" s="210">
        <f t="shared" si="1438"/>
        <v>0</v>
      </c>
      <c r="CB133" s="210">
        <f t="shared" si="1438"/>
        <v>0</v>
      </c>
      <c r="CC133" s="210">
        <f t="shared" si="1438"/>
        <v>0</v>
      </c>
      <c r="CD133" s="210">
        <f t="shared" si="1438"/>
        <v>0</v>
      </c>
      <c r="CE133" s="210">
        <f t="shared" si="1438"/>
        <v>0</v>
      </c>
      <c r="CF133" s="210">
        <f t="shared" si="1438"/>
        <v>0</v>
      </c>
      <c r="CG133" s="210">
        <f t="shared" si="1438"/>
        <v>0</v>
      </c>
      <c r="CH133" s="210">
        <f t="shared" si="1438"/>
        <v>0</v>
      </c>
      <c r="CI133" s="210">
        <f t="shared" si="1438"/>
        <v>0</v>
      </c>
      <c r="CJ133" s="210">
        <f t="shared" si="1438"/>
        <v>0</v>
      </c>
      <c r="CK133" s="210">
        <f t="shared" si="1438"/>
        <v>0</v>
      </c>
      <c r="CL133" s="210">
        <f t="shared" si="1438"/>
        <v>0</v>
      </c>
      <c r="CM133" s="210">
        <f t="shared" si="1438"/>
        <v>0</v>
      </c>
      <c r="CN133" s="210">
        <f t="shared" si="1438"/>
        <v>0</v>
      </c>
      <c r="CO133" s="210">
        <f t="shared" si="1438"/>
        <v>0</v>
      </c>
      <c r="CP133" s="210">
        <f t="shared" si="1438"/>
        <v>0</v>
      </c>
      <c r="CQ133" s="210">
        <f t="shared" si="1438"/>
        <v>0</v>
      </c>
      <c r="CR133" s="210">
        <f t="shared" si="1438"/>
        <v>0</v>
      </c>
      <c r="CS133" s="210">
        <f t="shared" si="1438"/>
        <v>0</v>
      </c>
      <c r="CT133" s="210">
        <f t="shared" si="1438"/>
        <v>0</v>
      </c>
      <c r="CU133" s="210">
        <f t="shared" si="1438"/>
        <v>0</v>
      </c>
      <c r="CV133" s="210">
        <f t="shared" si="1438"/>
        <v>0</v>
      </c>
      <c r="CW133" s="210">
        <f t="shared" si="1438"/>
        <v>0</v>
      </c>
      <c r="CX133" s="210">
        <f t="shared" si="1438"/>
        <v>0</v>
      </c>
      <c r="CY133" s="210">
        <f t="shared" si="1438"/>
        <v>0</v>
      </c>
      <c r="CZ133" s="210">
        <f t="shared" si="1438"/>
        <v>0</v>
      </c>
      <c r="DA133" s="210">
        <f t="shared" si="1438"/>
        <v>0</v>
      </c>
      <c r="DB133" s="210">
        <f t="shared" si="1438"/>
        <v>0</v>
      </c>
      <c r="DC133" s="210">
        <f t="shared" si="1438"/>
        <v>0</v>
      </c>
      <c r="DD133" s="210">
        <f t="shared" si="1438"/>
        <v>0</v>
      </c>
      <c r="DE133" s="210">
        <f t="shared" si="1438"/>
        <v>0</v>
      </c>
      <c r="DF133" s="210">
        <f t="shared" si="1438"/>
        <v>0</v>
      </c>
      <c r="DG133" s="210">
        <f t="shared" si="1438"/>
        <v>0</v>
      </c>
      <c r="DH133" s="210">
        <f t="shared" si="1438"/>
        <v>0</v>
      </c>
      <c r="DI133" s="210">
        <f t="shared" si="1438"/>
        <v>0</v>
      </c>
      <c r="DJ133" s="210">
        <f t="shared" si="1438"/>
        <v>0</v>
      </c>
      <c r="DK133" s="210">
        <f t="shared" si="1438"/>
        <v>0</v>
      </c>
      <c r="DL133" s="210">
        <f t="shared" si="1438"/>
        <v>0</v>
      </c>
      <c r="DM133" s="210">
        <f t="shared" si="1438"/>
        <v>0</v>
      </c>
      <c r="DN133" s="210">
        <f t="shared" si="1438"/>
        <v>0</v>
      </c>
      <c r="DO133" s="210">
        <f t="shared" si="1438"/>
        <v>0</v>
      </c>
      <c r="DP133" s="210">
        <f t="shared" si="1438"/>
        <v>0</v>
      </c>
      <c r="DQ133" s="210">
        <f t="shared" si="1438"/>
        <v>0</v>
      </c>
      <c r="DR133" s="210">
        <f t="shared" si="1438"/>
        <v>0</v>
      </c>
      <c r="DS133" s="210">
        <f t="shared" si="1438"/>
        <v>0</v>
      </c>
      <c r="DT133" s="210">
        <f t="shared" si="1438"/>
        <v>0</v>
      </c>
      <c r="DU133" s="210">
        <f t="shared" si="1438"/>
        <v>0</v>
      </c>
      <c r="DV133" s="210">
        <f t="shared" si="1438"/>
        <v>0</v>
      </c>
      <c r="DW133" s="210">
        <f t="shared" si="1438"/>
        <v>0</v>
      </c>
      <c r="DX133" s="210">
        <f t="shared" si="1438"/>
        <v>0</v>
      </c>
      <c r="DY133" s="210">
        <f t="shared" si="1438"/>
        <v>0</v>
      </c>
      <c r="DZ133" s="210">
        <f t="shared" si="1438"/>
        <v>0</v>
      </c>
      <c r="EA133" s="210">
        <f t="shared" si="1438"/>
        <v>0</v>
      </c>
      <c r="EB133" s="210">
        <f t="shared" si="1438"/>
        <v>0</v>
      </c>
      <c r="EC133" s="210">
        <f t="shared" si="1438"/>
        <v>0</v>
      </c>
      <c r="ED133" s="210">
        <f t="shared" si="1438"/>
        <v>0</v>
      </c>
      <c r="EE133" s="210">
        <f t="shared" ref="EE133:GP133" si="1439">(EE129+ED133+EE130)*IF(AND(EE112=$C117,$C123),0,1)</f>
        <v>0</v>
      </c>
      <c r="EF133" s="210">
        <f t="shared" si="1439"/>
        <v>0</v>
      </c>
      <c r="EG133" s="210">
        <f t="shared" si="1439"/>
        <v>0</v>
      </c>
      <c r="EH133" s="210">
        <f t="shared" si="1439"/>
        <v>0</v>
      </c>
      <c r="EI133" s="210">
        <f t="shared" si="1439"/>
        <v>0</v>
      </c>
      <c r="EJ133" s="210">
        <f t="shared" si="1439"/>
        <v>0</v>
      </c>
      <c r="EK133" s="210">
        <f t="shared" si="1439"/>
        <v>0</v>
      </c>
      <c r="EL133" s="210">
        <f t="shared" si="1439"/>
        <v>0</v>
      </c>
      <c r="EM133" s="210">
        <f t="shared" si="1439"/>
        <v>0</v>
      </c>
      <c r="EN133" s="210">
        <f t="shared" si="1439"/>
        <v>0</v>
      </c>
      <c r="EO133" s="210">
        <f t="shared" si="1439"/>
        <v>0</v>
      </c>
      <c r="EP133" s="210">
        <f t="shared" si="1439"/>
        <v>0</v>
      </c>
      <c r="EQ133" s="210">
        <f t="shared" si="1439"/>
        <v>0</v>
      </c>
      <c r="ER133" s="210">
        <f t="shared" si="1439"/>
        <v>0</v>
      </c>
      <c r="ES133" s="210">
        <f t="shared" si="1439"/>
        <v>0</v>
      </c>
      <c r="ET133" s="210">
        <f t="shared" si="1439"/>
        <v>0</v>
      </c>
      <c r="EU133" s="210">
        <f t="shared" si="1439"/>
        <v>0</v>
      </c>
      <c r="EV133" s="210">
        <f t="shared" si="1439"/>
        <v>0</v>
      </c>
      <c r="EW133" s="210">
        <f t="shared" si="1439"/>
        <v>0</v>
      </c>
      <c r="EX133" s="210">
        <f t="shared" si="1439"/>
        <v>0</v>
      </c>
      <c r="EY133" s="210">
        <f t="shared" si="1439"/>
        <v>0</v>
      </c>
      <c r="EZ133" s="210">
        <f t="shared" si="1439"/>
        <v>0</v>
      </c>
      <c r="FA133" s="210">
        <f t="shared" si="1439"/>
        <v>0</v>
      </c>
      <c r="FB133" s="210">
        <f t="shared" si="1439"/>
        <v>0</v>
      </c>
      <c r="FC133" s="210">
        <f t="shared" si="1439"/>
        <v>0</v>
      </c>
      <c r="FD133" s="210">
        <f t="shared" si="1439"/>
        <v>0</v>
      </c>
      <c r="FE133" s="210">
        <f t="shared" si="1439"/>
        <v>0</v>
      </c>
      <c r="FF133" s="210">
        <f t="shared" si="1439"/>
        <v>0</v>
      </c>
      <c r="FG133" s="210">
        <f t="shared" si="1439"/>
        <v>0</v>
      </c>
      <c r="FH133" s="210">
        <f t="shared" si="1439"/>
        <v>0</v>
      </c>
      <c r="FI133" s="210">
        <f t="shared" si="1439"/>
        <v>0</v>
      </c>
      <c r="FJ133" s="210">
        <f t="shared" si="1439"/>
        <v>0</v>
      </c>
      <c r="FK133" s="210">
        <f t="shared" si="1439"/>
        <v>0</v>
      </c>
      <c r="FL133" s="210">
        <f t="shared" si="1439"/>
        <v>0</v>
      </c>
      <c r="FM133" s="210">
        <f t="shared" si="1439"/>
        <v>0</v>
      </c>
      <c r="FN133" s="210">
        <f t="shared" si="1439"/>
        <v>0</v>
      </c>
      <c r="FO133" s="210">
        <f t="shared" si="1439"/>
        <v>0</v>
      </c>
      <c r="FP133" s="210">
        <f t="shared" si="1439"/>
        <v>0</v>
      </c>
      <c r="FQ133" s="210">
        <f t="shared" si="1439"/>
        <v>0</v>
      </c>
      <c r="FR133" s="210">
        <f t="shared" si="1439"/>
        <v>0</v>
      </c>
      <c r="FS133" s="210">
        <f t="shared" si="1439"/>
        <v>0</v>
      </c>
      <c r="FT133" s="210">
        <f t="shared" si="1439"/>
        <v>0</v>
      </c>
      <c r="FU133" s="210">
        <f t="shared" si="1439"/>
        <v>0</v>
      </c>
      <c r="FV133" s="210">
        <f t="shared" si="1439"/>
        <v>0</v>
      </c>
      <c r="FW133" s="210">
        <f t="shared" si="1439"/>
        <v>0</v>
      </c>
      <c r="FX133" s="210">
        <f t="shared" si="1439"/>
        <v>0</v>
      </c>
      <c r="FY133" s="210">
        <f t="shared" si="1439"/>
        <v>0</v>
      </c>
      <c r="FZ133" s="210">
        <f t="shared" si="1439"/>
        <v>0</v>
      </c>
      <c r="GA133" s="210">
        <f t="shared" si="1439"/>
        <v>0</v>
      </c>
      <c r="GB133" s="210">
        <f t="shared" si="1439"/>
        <v>0</v>
      </c>
      <c r="GC133" s="210">
        <f t="shared" si="1439"/>
        <v>0</v>
      </c>
      <c r="GD133" s="210">
        <f t="shared" si="1439"/>
        <v>0</v>
      </c>
      <c r="GE133" s="210">
        <f t="shared" si="1439"/>
        <v>0</v>
      </c>
      <c r="GF133" s="210">
        <f t="shared" si="1439"/>
        <v>0</v>
      </c>
      <c r="GG133" s="210">
        <f t="shared" si="1439"/>
        <v>0</v>
      </c>
      <c r="GH133" s="210">
        <f t="shared" si="1439"/>
        <v>0</v>
      </c>
      <c r="GI133" s="210">
        <f t="shared" si="1439"/>
        <v>0</v>
      </c>
      <c r="GJ133" s="210">
        <f t="shared" si="1439"/>
        <v>0</v>
      </c>
      <c r="GK133" s="210">
        <f t="shared" si="1439"/>
        <v>0</v>
      </c>
      <c r="GL133" s="210">
        <f t="shared" si="1439"/>
        <v>0</v>
      </c>
      <c r="GM133" s="210">
        <f t="shared" si="1439"/>
        <v>0</v>
      </c>
      <c r="GN133" s="210">
        <f t="shared" si="1439"/>
        <v>0</v>
      </c>
      <c r="GO133" s="210">
        <f t="shared" si="1439"/>
        <v>0</v>
      </c>
      <c r="GP133" s="210">
        <f t="shared" si="1439"/>
        <v>0</v>
      </c>
      <c r="GQ133" s="210">
        <f t="shared" ref="GQ133" si="1440">(GQ129+GP133+GQ130)*IF(AND(GQ112=$C117,$C123),0,1)</f>
        <v>0</v>
      </c>
    </row>
    <row r="134" spans="2:199" outlineLevel="1">
      <c r="B134" s="183"/>
      <c r="C134" s="169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  <c r="AG134" s="171"/>
      <c r="AH134" s="171"/>
      <c r="AI134" s="171"/>
      <c r="AJ134" s="171"/>
      <c r="AK134" s="171"/>
      <c r="AL134" s="171"/>
      <c r="AM134" s="171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71"/>
      <c r="AX134" s="171"/>
      <c r="AY134" s="171"/>
      <c r="AZ134" s="171"/>
      <c r="BA134" s="171"/>
      <c r="BB134" s="171"/>
      <c r="BC134" s="171"/>
      <c r="BD134" s="171"/>
      <c r="BE134" s="171"/>
      <c r="BF134" s="171"/>
      <c r="BG134" s="171"/>
      <c r="BH134" s="171"/>
      <c r="BI134" s="171"/>
      <c r="BJ134" s="171"/>
      <c r="BK134" s="171"/>
      <c r="BL134" s="171"/>
      <c r="BM134" s="171"/>
      <c r="BN134" s="171"/>
      <c r="BO134" s="171"/>
      <c r="BP134" s="171"/>
      <c r="BQ134" s="171"/>
      <c r="BR134" s="171"/>
      <c r="BS134" s="171"/>
      <c r="BT134" s="171"/>
      <c r="BU134" s="171"/>
      <c r="BV134" s="171"/>
      <c r="BW134" s="171"/>
      <c r="BX134" s="171"/>
      <c r="BY134" s="171"/>
      <c r="BZ134" s="171"/>
      <c r="CA134" s="171"/>
      <c r="CB134" s="171"/>
      <c r="CC134" s="171"/>
      <c r="CD134" s="171"/>
      <c r="CE134" s="171"/>
      <c r="CF134" s="171"/>
      <c r="CG134" s="171"/>
      <c r="CH134" s="171"/>
      <c r="CI134" s="171"/>
      <c r="CJ134" s="171"/>
      <c r="CK134" s="171"/>
      <c r="CL134" s="171"/>
      <c r="CM134" s="171"/>
      <c r="CN134" s="171"/>
      <c r="CO134" s="171"/>
      <c r="CP134" s="171"/>
      <c r="CQ134" s="171"/>
      <c r="CR134" s="171"/>
      <c r="CS134" s="171"/>
      <c r="CT134" s="171"/>
      <c r="CU134" s="171"/>
      <c r="CV134" s="171"/>
      <c r="CW134" s="171"/>
      <c r="CX134" s="171"/>
      <c r="CY134" s="171"/>
      <c r="CZ134" s="171"/>
      <c r="DA134" s="171"/>
      <c r="DB134" s="171"/>
      <c r="DC134" s="171"/>
      <c r="DD134" s="171"/>
      <c r="DE134" s="171"/>
      <c r="DF134" s="171"/>
      <c r="DG134" s="171"/>
      <c r="DH134" s="171"/>
      <c r="DI134" s="171"/>
      <c r="DJ134" s="171"/>
      <c r="DK134" s="171"/>
      <c r="DL134" s="171"/>
      <c r="DM134" s="171"/>
      <c r="DN134" s="171"/>
      <c r="DO134" s="171"/>
      <c r="DP134" s="171"/>
      <c r="DQ134" s="171"/>
      <c r="DR134" s="171"/>
      <c r="DS134" s="171"/>
      <c r="DT134" s="171"/>
      <c r="DU134" s="171"/>
      <c r="DV134" s="171"/>
      <c r="DW134" s="171"/>
      <c r="DX134" s="171"/>
      <c r="DY134" s="171"/>
      <c r="DZ134" s="171"/>
      <c r="EA134" s="171"/>
      <c r="EB134" s="171"/>
      <c r="EC134" s="171"/>
      <c r="ED134" s="171"/>
      <c r="EE134" s="171"/>
      <c r="EF134" s="171"/>
      <c r="EG134" s="171"/>
      <c r="EH134" s="171"/>
      <c r="EI134" s="171"/>
      <c r="EJ134" s="171"/>
      <c r="EK134" s="171"/>
      <c r="EL134" s="171"/>
      <c r="EM134" s="171"/>
      <c r="EN134" s="171"/>
      <c r="EO134" s="171"/>
      <c r="EP134" s="171"/>
      <c r="EQ134" s="171"/>
      <c r="ER134" s="171"/>
      <c r="ES134" s="171"/>
      <c r="ET134" s="171"/>
      <c r="EU134" s="171"/>
      <c r="EV134" s="171"/>
      <c r="EW134" s="171"/>
      <c r="EX134" s="171"/>
      <c r="EY134" s="171"/>
      <c r="EZ134" s="171"/>
      <c r="FA134" s="171"/>
      <c r="FB134" s="171"/>
      <c r="FC134" s="171"/>
      <c r="FD134" s="171"/>
      <c r="FE134" s="171"/>
      <c r="FF134" s="171"/>
      <c r="FG134" s="171"/>
      <c r="FH134" s="171"/>
      <c r="FI134" s="171"/>
      <c r="FJ134" s="171"/>
      <c r="FK134" s="171"/>
      <c r="FL134" s="171"/>
      <c r="FM134" s="171"/>
      <c r="FN134" s="171"/>
      <c r="FO134" s="171"/>
      <c r="FP134" s="171"/>
      <c r="FQ134" s="171"/>
      <c r="FR134" s="171"/>
      <c r="FS134" s="171"/>
      <c r="FT134" s="171"/>
      <c r="FU134" s="171"/>
      <c r="FV134" s="171"/>
      <c r="FW134" s="171"/>
      <c r="FX134" s="171"/>
      <c r="FY134" s="171"/>
      <c r="FZ134" s="171"/>
      <c r="GA134" s="171"/>
      <c r="GB134" s="171"/>
      <c r="GC134" s="171"/>
      <c r="GD134" s="171"/>
      <c r="GE134" s="171"/>
      <c r="GF134" s="171"/>
      <c r="GG134" s="171"/>
      <c r="GH134" s="171"/>
      <c r="GI134" s="171"/>
      <c r="GJ134" s="171"/>
      <c r="GK134" s="171"/>
      <c r="GL134" s="171"/>
      <c r="GM134" s="171"/>
      <c r="GN134" s="171"/>
      <c r="GO134" s="171"/>
      <c r="GP134" s="171"/>
      <c r="GQ134" s="171"/>
    </row>
    <row r="135" spans="2:199" outlineLevel="1">
      <c r="B135" s="182" t="s">
        <v>397</v>
      </c>
      <c r="C135" s="158"/>
      <c r="D135" s="171"/>
      <c r="E135" s="172">
        <f t="shared" ref="E135:BP135" si="1441">E131+E130</f>
        <v>0</v>
      </c>
      <c r="F135" s="172">
        <f t="shared" si="1441"/>
        <v>0</v>
      </c>
      <c r="G135" s="172">
        <f t="shared" si="1441"/>
        <v>0</v>
      </c>
      <c r="H135" s="172">
        <f t="shared" si="1441"/>
        <v>0</v>
      </c>
      <c r="I135" s="172">
        <f t="shared" si="1441"/>
        <v>0</v>
      </c>
      <c r="J135" s="172">
        <f t="shared" si="1441"/>
        <v>0</v>
      </c>
      <c r="K135" s="172">
        <f t="shared" si="1441"/>
        <v>-14223.043857354156</v>
      </c>
      <c r="L135" s="172">
        <f t="shared" si="1441"/>
        <v>0</v>
      </c>
      <c r="M135" s="172">
        <f t="shared" si="1441"/>
        <v>0</v>
      </c>
      <c r="N135" s="172">
        <f t="shared" si="1441"/>
        <v>0</v>
      </c>
      <c r="O135" s="172">
        <f t="shared" si="1441"/>
        <v>0</v>
      </c>
      <c r="P135" s="172">
        <f t="shared" si="1441"/>
        <v>0</v>
      </c>
      <c r="Q135" s="172">
        <f t="shared" si="1441"/>
        <v>-11887.488663529466</v>
      </c>
      <c r="R135" s="172">
        <f t="shared" si="1441"/>
        <v>0</v>
      </c>
      <c r="S135" s="172">
        <f t="shared" si="1441"/>
        <v>0</v>
      </c>
      <c r="T135" s="172">
        <f t="shared" si="1441"/>
        <v>0</v>
      </c>
      <c r="U135" s="172">
        <f t="shared" si="1441"/>
        <v>0</v>
      </c>
      <c r="V135" s="172">
        <f t="shared" si="1441"/>
        <v>0</v>
      </c>
      <c r="W135" s="172">
        <f t="shared" si="1441"/>
        <v>0</v>
      </c>
      <c r="X135" s="172">
        <f t="shared" si="1441"/>
        <v>0</v>
      </c>
      <c r="Y135" s="172">
        <f t="shared" si="1441"/>
        <v>0</v>
      </c>
      <c r="Z135" s="172">
        <f t="shared" si="1441"/>
        <v>0</v>
      </c>
      <c r="AA135" s="172">
        <f t="shared" si="1441"/>
        <v>0</v>
      </c>
      <c r="AB135" s="172">
        <f t="shared" si="1441"/>
        <v>0</v>
      </c>
      <c r="AC135" s="172">
        <f t="shared" si="1441"/>
        <v>-27710.846954242257</v>
      </c>
      <c r="AD135" s="172">
        <f t="shared" si="1441"/>
        <v>0</v>
      </c>
      <c r="AE135" s="172">
        <f t="shared" si="1441"/>
        <v>0</v>
      </c>
      <c r="AF135" s="172">
        <f t="shared" si="1441"/>
        <v>0</v>
      </c>
      <c r="AG135" s="172">
        <f t="shared" si="1441"/>
        <v>0</v>
      </c>
      <c r="AH135" s="172">
        <f t="shared" si="1441"/>
        <v>0</v>
      </c>
      <c r="AI135" s="172">
        <f t="shared" si="1441"/>
        <v>0</v>
      </c>
      <c r="AJ135" s="172">
        <f t="shared" si="1441"/>
        <v>0</v>
      </c>
      <c r="AK135" s="172">
        <f t="shared" si="1441"/>
        <v>0</v>
      </c>
      <c r="AL135" s="172">
        <f t="shared" si="1441"/>
        <v>0</v>
      </c>
      <c r="AM135" s="172">
        <f t="shared" si="1441"/>
        <v>0</v>
      </c>
      <c r="AN135" s="172">
        <f t="shared" si="1441"/>
        <v>0</v>
      </c>
      <c r="AO135" s="172">
        <f t="shared" si="1441"/>
        <v>-29000.243463159688</v>
      </c>
      <c r="AP135" s="172">
        <f t="shared" si="1441"/>
        <v>0</v>
      </c>
      <c r="AQ135" s="172">
        <f t="shared" si="1441"/>
        <v>0</v>
      </c>
      <c r="AR135" s="172">
        <f t="shared" si="1441"/>
        <v>0</v>
      </c>
      <c r="AS135" s="172">
        <f t="shared" si="1441"/>
        <v>0</v>
      </c>
      <c r="AT135" s="172">
        <f t="shared" si="1441"/>
        <v>0</v>
      </c>
      <c r="AU135" s="172">
        <f t="shared" si="1441"/>
        <v>0</v>
      </c>
      <c r="AV135" s="172">
        <f t="shared" si="1441"/>
        <v>0</v>
      </c>
      <c r="AW135" s="172">
        <f t="shared" si="1441"/>
        <v>0</v>
      </c>
      <c r="AX135" s="172">
        <f t="shared" si="1441"/>
        <v>0</v>
      </c>
      <c r="AY135" s="172">
        <f t="shared" si="1441"/>
        <v>0</v>
      </c>
      <c r="AZ135" s="172">
        <f t="shared" si="1441"/>
        <v>0</v>
      </c>
      <c r="BA135" s="172">
        <f t="shared" si="1441"/>
        <v>-162570.80352831658</v>
      </c>
      <c r="BB135" s="172">
        <f t="shared" si="1441"/>
        <v>0</v>
      </c>
      <c r="BC135" s="172">
        <f t="shared" si="1441"/>
        <v>0</v>
      </c>
      <c r="BD135" s="172">
        <f t="shared" si="1441"/>
        <v>0</v>
      </c>
      <c r="BE135" s="172">
        <f t="shared" si="1441"/>
        <v>0</v>
      </c>
      <c r="BF135" s="172">
        <f t="shared" si="1441"/>
        <v>0</v>
      </c>
      <c r="BG135" s="172">
        <f t="shared" si="1441"/>
        <v>0</v>
      </c>
      <c r="BH135" s="172">
        <f t="shared" si="1441"/>
        <v>0</v>
      </c>
      <c r="BI135" s="172">
        <f t="shared" si="1441"/>
        <v>0</v>
      </c>
      <c r="BJ135" s="172">
        <f t="shared" si="1441"/>
        <v>0</v>
      </c>
      <c r="BK135" s="172">
        <f t="shared" si="1441"/>
        <v>0</v>
      </c>
      <c r="BL135" s="172">
        <f t="shared" si="1441"/>
        <v>0</v>
      </c>
      <c r="BM135" s="172">
        <f t="shared" si="1441"/>
        <v>-147908.27333333352</v>
      </c>
      <c r="BN135" s="172">
        <f t="shared" si="1441"/>
        <v>0</v>
      </c>
      <c r="BO135" s="172">
        <f t="shared" si="1441"/>
        <v>0</v>
      </c>
      <c r="BP135" s="172">
        <f t="shared" si="1441"/>
        <v>0</v>
      </c>
      <c r="BQ135" s="172">
        <f t="shared" ref="BQ135:EB135" si="1442">BQ131+BQ130</f>
        <v>0</v>
      </c>
      <c r="BR135" s="172">
        <f t="shared" si="1442"/>
        <v>0</v>
      </c>
      <c r="BS135" s="172">
        <f t="shared" si="1442"/>
        <v>0</v>
      </c>
      <c r="BT135" s="172">
        <f t="shared" si="1442"/>
        <v>0</v>
      </c>
      <c r="BU135" s="172">
        <f t="shared" si="1442"/>
        <v>0</v>
      </c>
      <c r="BV135" s="172">
        <f t="shared" si="1442"/>
        <v>0</v>
      </c>
      <c r="BW135" s="172">
        <f t="shared" si="1442"/>
        <v>0</v>
      </c>
      <c r="BX135" s="172">
        <f t="shared" si="1442"/>
        <v>0</v>
      </c>
      <c r="BY135" s="172">
        <f t="shared" si="1442"/>
        <v>0</v>
      </c>
      <c r="BZ135" s="172">
        <f t="shared" si="1442"/>
        <v>0</v>
      </c>
      <c r="CA135" s="172">
        <f t="shared" si="1442"/>
        <v>0</v>
      </c>
      <c r="CB135" s="172">
        <f t="shared" si="1442"/>
        <v>0</v>
      </c>
      <c r="CC135" s="172">
        <f t="shared" si="1442"/>
        <v>0</v>
      </c>
      <c r="CD135" s="172">
        <f t="shared" si="1442"/>
        <v>0</v>
      </c>
      <c r="CE135" s="172">
        <f t="shared" si="1442"/>
        <v>0</v>
      </c>
      <c r="CF135" s="172">
        <f t="shared" si="1442"/>
        <v>0</v>
      </c>
      <c r="CG135" s="172">
        <f t="shared" si="1442"/>
        <v>0</v>
      </c>
      <c r="CH135" s="172">
        <f t="shared" si="1442"/>
        <v>0</v>
      </c>
      <c r="CI135" s="172">
        <f t="shared" si="1442"/>
        <v>0</v>
      </c>
      <c r="CJ135" s="172">
        <f t="shared" si="1442"/>
        <v>0</v>
      </c>
      <c r="CK135" s="172">
        <f t="shared" si="1442"/>
        <v>0</v>
      </c>
      <c r="CL135" s="172">
        <f t="shared" si="1442"/>
        <v>0</v>
      </c>
      <c r="CM135" s="172">
        <f t="shared" si="1442"/>
        <v>0</v>
      </c>
      <c r="CN135" s="172">
        <f t="shared" si="1442"/>
        <v>0</v>
      </c>
      <c r="CO135" s="172">
        <f t="shared" si="1442"/>
        <v>0</v>
      </c>
      <c r="CP135" s="172">
        <f t="shared" si="1442"/>
        <v>0</v>
      </c>
      <c r="CQ135" s="172">
        <f t="shared" si="1442"/>
        <v>0</v>
      </c>
      <c r="CR135" s="172">
        <f t="shared" si="1442"/>
        <v>0</v>
      </c>
      <c r="CS135" s="172">
        <f t="shared" si="1442"/>
        <v>0</v>
      </c>
      <c r="CT135" s="172">
        <f t="shared" si="1442"/>
        <v>0</v>
      </c>
      <c r="CU135" s="172">
        <f t="shared" si="1442"/>
        <v>0</v>
      </c>
      <c r="CV135" s="172">
        <f t="shared" si="1442"/>
        <v>0</v>
      </c>
      <c r="CW135" s="172">
        <f t="shared" si="1442"/>
        <v>0</v>
      </c>
      <c r="CX135" s="172">
        <f t="shared" si="1442"/>
        <v>0</v>
      </c>
      <c r="CY135" s="172">
        <f t="shared" si="1442"/>
        <v>0</v>
      </c>
      <c r="CZ135" s="172">
        <f t="shared" si="1442"/>
        <v>0</v>
      </c>
      <c r="DA135" s="172">
        <f t="shared" si="1442"/>
        <v>0</v>
      </c>
      <c r="DB135" s="172">
        <f t="shared" si="1442"/>
        <v>0</v>
      </c>
      <c r="DC135" s="172">
        <f t="shared" si="1442"/>
        <v>0</v>
      </c>
      <c r="DD135" s="172">
        <f t="shared" si="1442"/>
        <v>0</v>
      </c>
      <c r="DE135" s="172">
        <f t="shared" si="1442"/>
        <v>0</v>
      </c>
      <c r="DF135" s="172">
        <f t="shared" si="1442"/>
        <v>0</v>
      </c>
      <c r="DG135" s="172">
        <f t="shared" si="1442"/>
        <v>0</v>
      </c>
      <c r="DH135" s="172">
        <f t="shared" si="1442"/>
        <v>0</v>
      </c>
      <c r="DI135" s="172">
        <f t="shared" si="1442"/>
        <v>0</v>
      </c>
      <c r="DJ135" s="172">
        <f t="shared" si="1442"/>
        <v>0</v>
      </c>
      <c r="DK135" s="172">
        <f t="shared" si="1442"/>
        <v>0</v>
      </c>
      <c r="DL135" s="172">
        <f t="shared" si="1442"/>
        <v>0</v>
      </c>
      <c r="DM135" s="172">
        <f t="shared" si="1442"/>
        <v>0</v>
      </c>
      <c r="DN135" s="172">
        <f t="shared" si="1442"/>
        <v>0</v>
      </c>
      <c r="DO135" s="172">
        <f t="shared" si="1442"/>
        <v>0</v>
      </c>
      <c r="DP135" s="172">
        <f t="shared" si="1442"/>
        <v>0</v>
      </c>
      <c r="DQ135" s="172">
        <f t="shared" si="1442"/>
        <v>0</v>
      </c>
      <c r="DR135" s="172">
        <f t="shared" si="1442"/>
        <v>0</v>
      </c>
      <c r="DS135" s="172">
        <f t="shared" si="1442"/>
        <v>0</v>
      </c>
      <c r="DT135" s="172">
        <f t="shared" si="1442"/>
        <v>0</v>
      </c>
      <c r="DU135" s="172">
        <f t="shared" si="1442"/>
        <v>0</v>
      </c>
      <c r="DV135" s="172">
        <f t="shared" si="1442"/>
        <v>0</v>
      </c>
      <c r="DW135" s="172">
        <f t="shared" si="1442"/>
        <v>0</v>
      </c>
      <c r="DX135" s="172">
        <f t="shared" si="1442"/>
        <v>0</v>
      </c>
      <c r="DY135" s="172">
        <f t="shared" si="1442"/>
        <v>0</v>
      </c>
      <c r="DZ135" s="172">
        <f t="shared" si="1442"/>
        <v>0</v>
      </c>
      <c r="EA135" s="172">
        <f t="shared" si="1442"/>
        <v>0</v>
      </c>
      <c r="EB135" s="172">
        <f t="shared" si="1442"/>
        <v>0</v>
      </c>
      <c r="EC135" s="172">
        <f t="shared" ref="EC135:GN135" si="1443">EC131+EC130</f>
        <v>0</v>
      </c>
      <c r="ED135" s="172">
        <f t="shared" si="1443"/>
        <v>0</v>
      </c>
      <c r="EE135" s="172">
        <f t="shared" si="1443"/>
        <v>0</v>
      </c>
      <c r="EF135" s="172">
        <f t="shared" si="1443"/>
        <v>0</v>
      </c>
      <c r="EG135" s="172">
        <f t="shared" si="1443"/>
        <v>0</v>
      </c>
      <c r="EH135" s="172">
        <f t="shared" si="1443"/>
        <v>0</v>
      </c>
      <c r="EI135" s="172">
        <f t="shared" si="1443"/>
        <v>0</v>
      </c>
      <c r="EJ135" s="172">
        <f t="shared" si="1443"/>
        <v>0</v>
      </c>
      <c r="EK135" s="172">
        <f t="shared" si="1443"/>
        <v>0</v>
      </c>
      <c r="EL135" s="172">
        <f t="shared" si="1443"/>
        <v>0</v>
      </c>
      <c r="EM135" s="172">
        <f t="shared" si="1443"/>
        <v>0</v>
      </c>
      <c r="EN135" s="172">
        <f t="shared" si="1443"/>
        <v>0</v>
      </c>
      <c r="EO135" s="172">
        <f t="shared" si="1443"/>
        <v>0</v>
      </c>
      <c r="EP135" s="172">
        <f t="shared" si="1443"/>
        <v>0</v>
      </c>
      <c r="EQ135" s="172">
        <f t="shared" si="1443"/>
        <v>0</v>
      </c>
      <c r="ER135" s="172">
        <f t="shared" si="1443"/>
        <v>0</v>
      </c>
      <c r="ES135" s="172">
        <f t="shared" si="1443"/>
        <v>0</v>
      </c>
      <c r="ET135" s="172">
        <f t="shared" si="1443"/>
        <v>0</v>
      </c>
      <c r="EU135" s="172">
        <f t="shared" si="1443"/>
        <v>0</v>
      </c>
      <c r="EV135" s="172">
        <f t="shared" si="1443"/>
        <v>0</v>
      </c>
      <c r="EW135" s="172">
        <f t="shared" si="1443"/>
        <v>0</v>
      </c>
      <c r="EX135" s="172">
        <f t="shared" si="1443"/>
        <v>0</v>
      </c>
      <c r="EY135" s="172">
        <f t="shared" si="1443"/>
        <v>0</v>
      </c>
      <c r="EZ135" s="172">
        <f t="shared" si="1443"/>
        <v>0</v>
      </c>
      <c r="FA135" s="172">
        <f t="shared" si="1443"/>
        <v>0</v>
      </c>
      <c r="FB135" s="172">
        <f t="shared" si="1443"/>
        <v>0</v>
      </c>
      <c r="FC135" s="172">
        <f t="shared" si="1443"/>
        <v>0</v>
      </c>
      <c r="FD135" s="172">
        <f t="shared" si="1443"/>
        <v>0</v>
      </c>
      <c r="FE135" s="172">
        <f t="shared" si="1443"/>
        <v>0</v>
      </c>
      <c r="FF135" s="172">
        <f t="shared" si="1443"/>
        <v>0</v>
      </c>
      <c r="FG135" s="172">
        <f t="shared" si="1443"/>
        <v>0</v>
      </c>
      <c r="FH135" s="172">
        <f t="shared" si="1443"/>
        <v>0</v>
      </c>
      <c r="FI135" s="172">
        <f t="shared" si="1443"/>
        <v>0</v>
      </c>
      <c r="FJ135" s="172">
        <f t="shared" si="1443"/>
        <v>0</v>
      </c>
      <c r="FK135" s="172">
        <f t="shared" si="1443"/>
        <v>0</v>
      </c>
      <c r="FL135" s="172">
        <f t="shared" si="1443"/>
        <v>0</v>
      </c>
      <c r="FM135" s="172">
        <f t="shared" si="1443"/>
        <v>0</v>
      </c>
      <c r="FN135" s="172">
        <f t="shared" si="1443"/>
        <v>0</v>
      </c>
      <c r="FO135" s="172">
        <f t="shared" si="1443"/>
        <v>0</v>
      </c>
      <c r="FP135" s="172">
        <f t="shared" si="1443"/>
        <v>0</v>
      </c>
      <c r="FQ135" s="172">
        <f t="shared" si="1443"/>
        <v>0</v>
      </c>
      <c r="FR135" s="172">
        <f t="shared" si="1443"/>
        <v>0</v>
      </c>
      <c r="FS135" s="172">
        <f t="shared" si="1443"/>
        <v>0</v>
      </c>
      <c r="FT135" s="172">
        <f t="shared" si="1443"/>
        <v>0</v>
      </c>
      <c r="FU135" s="172">
        <f t="shared" si="1443"/>
        <v>0</v>
      </c>
      <c r="FV135" s="172">
        <f t="shared" si="1443"/>
        <v>0</v>
      </c>
      <c r="FW135" s="172">
        <f t="shared" si="1443"/>
        <v>0</v>
      </c>
      <c r="FX135" s="172">
        <f t="shared" si="1443"/>
        <v>0</v>
      </c>
      <c r="FY135" s="172">
        <f t="shared" si="1443"/>
        <v>0</v>
      </c>
      <c r="FZ135" s="172">
        <f t="shared" si="1443"/>
        <v>0</v>
      </c>
      <c r="GA135" s="172">
        <f t="shared" si="1443"/>
        <v>0</v>
      </c>
      <c r="GB135" s="172">
        <f t="shared" si="1443"/>
        <v>0</v>
      </c>
      <c r="GC135" s="172">
        <f t="shared" si="1443"/>
        <v>0</v>
      </c>
      <c r="GD135" s="172">
        <f t="shared" si="1443"/>
        <v>0</v>
      </c>
      <c r="GE135" s="172">
        <f t="shared" si="1443"/>
        <v>0</v>
      </c>
      <c r="GF135" s="172">
        <f t="shared" si="1443"/>
        <v>0</v>
      </c>
      <c r="GG135" s="172">
        <f t="shared" si="1443"/>
        <v>0</v>
      </c>
      <c r="GH135" s="172">
        <f t="shared" si="1443"/>
        <v>0</v>
      </c>
      <c r="GI135" s="172">
        <f t="shared" si="1443"/>
        <v>0</v>
      </c>
      <c r="GJ135" s="172">
        <f t="shared" si="1443"/>
        <v>0</v>
      </c>
      <c r="GK135" s="172">
        <f t="shared" si="1443"/>
        <v>0</v>
      </c>
      <c r="GL135" s="172">
        <f t="shared" si="1443"/>
        <v>0</v>
      </c>
      <c r="GM135" s="172">
        <f t="shared" si="1443"/>
        <v>0</v>
      </c>
      <c r="GN135" s="172">
        <f t="shared" si="1443"/>
        <v>0</v>
      </c>
      <c r="GO135" s="172">
        <f t="shared" ref="GO135:GQ135" si="1444">GO131+GO130</f>
        <v>0</v>
      </c>
      <c r="GP135" s="172">
        <f t="shared" si="1444"/>
        <v>0</v>
      </c>
      <c r="GQ135" s="172">
        <f t="shared" si="1444"/>
        <v>0</v>
      </c>
    </row>
    <row r="136" spans="2:199" outlineLevel="1">
      <c r="B136" s="182" t="s">
        <v>417</v>
      </c>
      <c r="C136" s="154">
        <v>1</v>
      </c>
      <c r="D136" s="168"/>
      <c r="E136" s="213">
        <f>IF(E112&gt;=$C114,1+E119,1)</f>
        <v>1</v>
      </c>
      <c r="F136" s="213">
        <f t="shared" ref="F136:BQ136" si="1445">IF(F112&gt;=$C114,1+F119,1)</f>
        <v>1</v>
      </c>
      <c r="G136" s="213">
        <f t="shared" si="1445"/>
        <v>1</v>
      </c>
      <c r="H136" s="213">
        <f t="shared" si="1445"/>
        <v>1</v>
      </c>
      <c r="I136" s="213">
        <f t="shared" si="1445"/>
        <v>1</v>
      </c>
      <c r="J136" s="213">
        <f t="shared" si="1445"/>
        <v>1</v>
      </c>
      <c r="K136" s="213">
        <f t="shared" si="1445"/>
        <v>1</v>
      </c>
      <c r="L136" s="213">
        <f t="shared" si="1445"/>
        <v>1</v>
      </c>
      <c r="M136" s="213">
        <f t="shared" si="1445"/>
        <v>1</v>
      </c>
      <c r="N136" s="213">
        <f t="shared" si="1445"/>
        <v>1</v>
      </c>
      <c r="O136" s="213">
        <f t="shared" si="1445"/>
        <v>1</v>
      </c>
      <c r="P136" s="213">
        <f t="shared" si="1445"/>
        <v>1</v>
      </c>
      <c r="Q136" s="213">
        <f t="shared" si="1445"/>
        <v>1</v>
      </c>
      <c r="R136" s="213">
        <f t="shared" si="1445"/>
        <v>1</v>
      </c>
      <c r="S136" s="213">
        <f t="shared" si="1445"/>
        <v>1</v>
      </c>
      <c r="T136" s="213">
        <f t="shared" si="1445"/>
        <v>1</v>
      </c>
      <c r="U136" s="213">
        <f t="shared" si="1445"/>
        <v>1</v>
      </c>
      <c r="V136" s="213">
        <f t="shared" si="1445"/>
        <v>1</v>
      </c>
      <c r="W136" s="213">
        <f t="shared" si="1445"/>
        <v>1</v>
      </c>
      <c r="X136" s="213">
        <f t="shared" si="1445"/>
        <v>1</v>
      </c>
      <c r="Y136" s="213">
        <f t="shared" si="1445"/>
        <v>1</v>
      </c>
      <c r="Z136" s="213">
        <f t="shared" si="1445"/>
        <v>1</v>
      </c>
      <c r="AA136" s="213">
        <f t="shared" si="1445"/>
        <v>1</v>
      </c>
      <c r="AB136" s="213">
        <f t="shared" si="1445"/>
        <v>1</v>
      </c>
      <c r="AC136" s="213">
        <f t="shared" si="1445"/>
        <v>1</v>
      </c>
      <c r="AD136" s="213">
        <f t="shared" si="1445"/>
        <v>1</v>
      </c>
      <c r="AE136" s="213">
        <f t="shared" si="1445"/>
        <v>1</v>
      </c>
      <c r="AF136" s="213">
        <f t="shared" si="1445"/>
        <v>1</v>
      </c>
      <c r="AG136" s="213">
        <f t="shared" si="1445"/>
        <v>1</v>
      </c>
      <c r="AH136" s="213">
        <f t="shared" si="1445"/>
        <v>1</v>
      </c>
      <c r="AI136" s="213">
        <f t="shared" si="1445"/>
        <v>1</v>
      </c>
      <c r="AJ136" s="213">
        <f t="shared" si="1445"/>
        <v>1</v>
      </c>
      <c r="AK136" s="213">
        <f t="shared" si="1445"/>
        <v>1</v>
      </c>
      <c r="AL136" s="213">
        <f t="shared" si="1445"/>
        <v>1</v>
      </c>
      <c r="AM136" s="213">
        <f t="shared" si="1445"/>
        <v>1</v>
      </c>
      <c r="AN136" s="213">
        <f t="shared" si="1445"/>
        <v>1</v>
      </c>
      <c r="AO136" s="213">
        <f t="shared" si="1445"/>
        <v>1</v>
      </c>
      <c r="AP136" s="213">
        <f t="shared" si="1445"/>
        <v>1</v>
      </c>
      <c r="AQ136" s="213">
        <f t="shared" si="1445"/>
        <v>1</v>
      </c>
      <c r="AR136" s="213">
        <f t="shared" si="1445"/>
        <v>1</v>
      </c>
      <c r="AS136" s="213">
        <f t="shared" si="1445"/>
        <v>1</v>
      </c>
      <c r="AT136" s="213">
        <f t="shared" si="1445"/>
        <v>1</v>
      </c>
      <c r="AU136" s="213">
        <f t="shared" si="1445"/>
        <v>1</v>
      </c>
      <c r="AV136" s="213">
        <f t="shared" si="1445"/>
        <v>1</v>
      </c>
      <c r="AW136" s="213">
        <f t="shared" si="1445"/>
        <v>1</v>
      </c>
      <c r="AX136" s="213">
        <f t="shared" si="1445"/>
        <v>1</v>
      </c>
      <c r="AY136" s="213">
        <f t="shared" si="1445"/>
        <v>1</v>
      </c>
      <c r="AZ136" s="213">
        <f t="shared" si="1445"/>
        <v>1</v>
      </c>
      <c r="BA136" s="213">
        <f t="shared" si="1445"/>
        <v>1</v>
      </c>
      <c r="BB136" s="213">
        <f t="shared" si="1445"/>
        <v>1</v>
      </c>
      <c r="BC136" s="213">
        <f t="shared" si="1445"/>
        <v>1</v>
      </c>
      <c r="BD136" s="213">
        <f t="shared" si="1445"/>
        <v>1</v>
      </c>
      <c r="BE136" s="213">
        <f t="shared" si="1445"/>
        <v>1</v>
      </c>
      <c r="BF136" s="213">
        <f t="shared" si="1445"/>
        <v>1</v>
      </c>
      <c r="BG136" s="213">
        <f t="shared" si="1445"/>
        <v>1</v>
      </c>
      <c r="BH136" s="213">
        <f t="shared" si="1445"/>
        <v>1</v>
      </c>
      <c r="BI136" s="213">
        <f t="shared" si="1445"/>
        <v>1</v>
      </c>
      <c r="BJ136" s="213">
        <f t="shared" si="1445"/>
        <v>1</v>
      </c>
      <c r="BK136" s="213">
        <f t="shared" si="1445"/>
        <v>1</v>
      </c>
      <c r="BL136" s="213">
        <f t="shared" si="1445"/>
        <v>1</v>
      </c>
      <c r="BM136" s="213">
        <f t="shared" si="1445"/>
        <v>1</v>
      </c>
      <c r="BN136" s="213">
        <f t="shared" si="1445"/>
        <v>1</v>
      </c>
      <c r="BO136" s="213">
        <f t="shared" si="1445"/>
        <v>1</v>
      </c>
      <c r="BP136" s="213">
        <f t="shared" si="1445"/>
        <v>1</v>
      </c>
      <c r="BQ136" s="213">
        <f t="shared" si="1445"/>
        <v>1</v>
      </c>
      <c r="BR136" s="213">
        <f t="shared" ref="BR136:EC136" si="1446">IF(BR112&gt;=$C114,1+BR119,1)</f>
        <v>1</v>
      </c>
      <c r="BS136" s="213">
        <f t="shared" si="1446"/>
        <v>1</v>
      </c>
      <c r="BT136" s="213">
        <f t="shared" si="1446"/>
        <v>1</v>
      </c>
      <c r="BU136" s="213">
        <f t="shared" si="1446"/>
        <v>1</v>
      </c>
      <c r="BV136" s="213">
        <f t="shared" si="1446"/>
        <v>1</v>
      </c>
      <c r="BW136" s="213">
        <f t="shared" si="1446"/>
        <v>1</v>
      </c>
      <c r="BX136" s="213">
        <f t="shared" si="1446"/>
        <v>1</v>
      </c>
      <c r="BY136" s="213">
        <f t="shared" si="1446"/>
        <v>1</v>
      </c>
      <c r="BZ136" s="213">
        <f t="shared" si="1446"/>
        <v>1</v>
      </c>
      <c r="CA136" s="213">
        <f t="shared" si="1446"/>
        <v>1</v>
      </c>
      <c r="CB136" s="213">
        <f t="shared" si="1446"/>
        <v>1</v>
      </c>
      <c r="CC136" s="213">
        <f t="shared" si="1446"/>
        <v>1</v>
      </c>
      <c r="CD136" s="213">
        <f t="shared" si="1446"/>
        <v>1</v>
      </c>
      <c r="CE136" s="213">
        <f t="shared" si="1446"/>
        <v>1</v>
      </c>
      <c r="CF136" s="213">
        <f t="shared" si="1446"/>
        <v>1</v>
      </c>
      <c r="CG136" s="213">
        <f t="shared" si="1446"/>
        <v>1</v>
      </c>
      <c r="CH136" s="213">
        <f t="shared" si="1446"/>
        <v>1</v>
      </c>
      <c r="CI136" s="213">
        <f t="shared" si="1446"/>
        <v>1</v>
      </c>
      <c r="CJ136" s="213">
        <f t="shared" si="1446"/>
        <v>1</v>
      </c>
      <c r="CK136" s="213">
        <f t="shared" si="1446"/>
        <v>1</v>
      </c>
      <c r="CL136" s="213">
        <f t="shared" si="1446"/>
        <v>1</v>
      </c>
      <c r="CM136" s="213">
        <f t="shared" si="1446"/>
        <v>1</v>
      </c>
      <c r="CN136" s="213">
        <f t="shared" si="1446"/>
        <v>1</v>
      </c>
      <c r="CO136" s="213">
        <f t="shared" si="1446"/>
        <v>1</v>
      </c>
      <c r="CP136" s="213">
        <f t="shared" si="1446"/>
        <v>1</v>
      </c>
      <c r="CQ136" s="213">
        <f t="shared" si="1446"/>
        <v>1</v>
      </c>
      <c r="CR136" s="213">
        <f t="shared" si="1446"/>
        <v>1</v>
      </c>
      <c r="CS136" s="213">
        <f t="shared" si="1446"/>
        <v>1</v>
      </c>
      <c r="CT136" s="213">
        <f t="shared" si="1446"/>
        <v>1</v>
      </c>
      <c r="CU136" s="213">
        <f t="shared" si="1446"/>
        <v>1</v>
      </c>
      <c r="CV136" s="213">
        <f t="shared" si="1446"/>
        <v>1</v>
      </c>
      <c r="CW136" s="213">
        <f t="shared" si="1446"/>
        <v>1</v>
      </c>
      <c r="CX136" s="213">
        <f t="shared" si="1446"/>
        <v>1</v>
      </c>
      <c r="CY136" s="213">
        <f t="shared" si="1446"/>
        <v>1</v>
      </c>
      <c r="CZ136" s="213">
        <f t="shared" si="1446"/>
        <v>1</v>
      </c>
      <c r="DA136" s="213">
        <f t="shared" si="1446"/>
        <v>1</v>
      </c>
      <c r="DB136" s="213">
        <f t="shared" si="1446"/>
        <v>1</v>
      </c>
      <c r="DC136" s="213">
        <f t="shared" si="1446"/>
        <v>1</v>
      </c>
      <c r="DD136" s="213">
        <f t="shared" si="1446"/>
        <v>1</v>
      </c>
      <c r="DE136" s="213">
        <f t="shared" si="1446"/>
        <v>1</v>
      </c>
      <c r="DF136" s="213">
        <f t="shared" si="1446"/>
        <v>1</v>
      </c>
      <c r="DG136" s="213">
        <f t="shared" si="1446"/>
        <v>1</v>
      </c>
      <c r="DH136" s="213">
        <f t="shared" si="1446"/>
        <v>1</v>
      </c>
      <c r="DI136" s="213">
        <f t="shared" si="1446"/>
        <v>1</v>
      </c>
      <c r="DJ136" s="213">
        <f t="shared" si="1446"/>
        <v>1</v>
      </c>
      <c r="DK136" s="213">
        <f t="shared" si="1446"/>
        <v>1</v>
      </c>
      <c r="DL136" s="213">
        <f t="shared" si="1446"/>
        <v>1</v>
      </c>
      <c r="DM136" s="213">
        <f t="shared" si="1446"/>
        <v>1</v>
      </c>
      <c r="DN136" s="213">
        <f t="shared" si="1446"/>
        <v>1</v>
      </c>
      <c r="DO136" s="213">
        <f t="shared" si="1446"/>
        <v>1</v>
      </c>
      <c r="DP136" s="213">
        <f t="shared" si="1446"/>
        <v>1</v>
      </c>
      <c r="DQ136" s="213">
        <f t="shared" si="1446"/>
        <v>1</v>
      </c>
      <c r="DR136" s="213">
        <f t="shared" si="1446"/>
        <v>1</v>
      </c>
      <c r="DS136" s="213">
        <f t="shared" si="1446"/>
        <v>1</v>
      </c>
      <c r="DT136" s="213">
        <f t="shared" si="1446"/>
        <v>1</v>
      </c>
      <c r="DU136" s="213">
        <f t="shared" si="1446"/>
        <v>1</v>
      </c>
      <c r="DV136" s="213">
        <f t="shared" si="1446"/>
        <v>1</v>
      </c>
      <c r="DW136" s="213">
        <f t="shared" si="1446"/>
        <v>1</v>
      </c>
      <c r="DX136" s="213">
        <f t="shared" si="1446"/>
        <v>1</v>
      </c>
      <c r="DY136" s="213">
        <f t="shared" si="1446"/>
        <v>1</v>
      </c>
      <c r="DZ136" s="213">
        <f t="shared" si="1446"/>
        <v>1</v>
      </c>
      <c r="EA136" s="213">
        <f t="shared" si="1446"/>
        <v>1</v>
      </c>
      <c r="EB136" s="213">
        <f t="shared" si="1446"/>
        <v>1</v>
      </c>
      <c r="EC136" s="213">
        <f t="shared" si="1446"/>
        <v>1</v>
      </c>
      <c r="ED136" s="213">
        <f t="shared" ref="ED136:GO136" si="1447">IF(ED112&gt;=$C114,1+ED119,1)</f>
        <v>1</v>
      </c>
      <c r="EE136" s="213">
        <f t="shared" si="1447"/>
        <v>1</v>
      </c>
      <c r="EF136" s="213">
        <f t="shared" si="1447"/>
        <v>1</v>
      </c>
      <c r="EG136" s="213">
        <f t="shared" si="1447"/>
        <v>1</v>
      </c>
      <c r="EH136" s="213">
        <f t="shared" si="1447"/>
        <v>1</v>
      </c>
      <c r="EI136" s="213">
        <f t="shared" si="1447"/>
        <v>1</v>
      </c>
      <c r="EJ136" s="213">
        <f t="shared" si="1447"/>
        <v>1</v>
      </c>
      <c r="EK136" s="213">
        <f t="shared" si="1447"/>
        <v>1</v>
      </c>
      <c r="EL136" s="213">
        <f t="shared" si="1447"/>
        <v>1</v>
      </c>
      <c r="EM136" s="213">
        <f t="shared" si="1447"/>
        <v>1</v>
      </c>
      <c r="EN136" s="213">
        <f t="shared" si="1447"/>
        <v>1</v>
      </c>
      <c r="EO136" s="213">
        <f t="shared" si="1447"/>
        <v>1</v>
      </c>
      <c r="EP136" s="213">
        <f t="shared" si="1447"/>
        <v>1</v>
      </c>
      <c r="EQ136" s="213">
        <f t="shared" si="1447"/>
        <v>1</v>
      </c>
      <c r="ER136" s="213">
        <f t="shared" si="1447"/>
        <v>1</v>
      </c>
      <c r="ES136" s="213">
        <f t="shared" si="1447"/>
        <v>1</v>
      </c>
      <c r="ET136" s="213">
        <f t="shared" si="1447"/>
        <v>1</v>
      </c>
      <c r="EU136" s="213">
        <f t="shared" si="1447"/>
        <v>1</v>
      </c>
      <c r="EV136" s="213">
        <f t="shared" si="1447"/>
        <v>1</v>
      </c>
      <c r="EW136" s="213">
        <f t="shared" si="1447"/>
        <v>1</v>
      </c>
      <c r="EX136" s="213">
        <f t="shared" si="1447"/>
        <v>1</v>
      </c>
      <c r="EY136" s="213">
        <f t="shared" si="1447"/>
        <v>1</v>
      </c>
      <c r="EZ136" s="213">
        <f t="shared" si="1447"/>
        <v>1</v>
      </c>
      <c r="FA136" s="213">
        <f t="shared" si="1447"/>
        <v>1</v>
      </c>
      <c r="FB136" s="213">
        <f t="shared" si="1447"/>
        <v>1</v>
      </c>
      <c r="FC136" s="213">
        <f t="shared" si="1447"/>
        <v>1</v>
      </c>
      <c r="FD136" s="213">
        <f t="shared" si="1447"/>
        <v>1</v>
      </c>
      <c r="FE136" s="213">
        <f t="shared" si="1447"/>
        <v>1</v>
      </c>
      <c r="FF136" s="213">
        <f t="shared" si="1447"/>
        <v>1</v>
      </c>
      <c r="FG136" s="213">
        <f t="shared" si="1447"/>
        <v>1</v>
      </c>
      <c r="FH136" s="213">
        <f t="shared" si="1447"/>
        <v>1</v>
      </c>
      <c r="FI136" s="213">
        <f t="shared" si="1447"/>
        <v>1</v>
      </c>
      <c r="FJ136" s="213">
        <f t="shared" si="1447"/>
        <v>1</v>
      </c>
      <c r="FK136" s="213">
        <f t="shared" si="1447"/>
        <v>1</v>
      </c>
      <c r="FL136" s="213">
        <f t="shared" si="1447"/>
        <v>1</v>
      </c>
      <c r="FM136" s="213">
        <f t="shared" si="1447"/>
        <v>1</v>
      </c>
      <c r="FN136" s="213">
        <f t="shared" si="1447"/>
        <v>1</v>
      </c>
      <c r="FO136" s="213">
        <f t="shared" si="1447"/>
        <v>1</v>
      </c>
      <c r="FP136" s="213">
        <f t="shared" si="1447"/>
        <v>1</v>
      </c>
      <c r="FQ136" s="213">
        <f t="shared" si="1447"/>
        <v>1</v>
      </c>
      <c r="FR136" s="213">
        <f t="shared" si="1447"/>
        <v>1</v>
      </c>
      <c r="FS136" s="213">
        <f t="shared" si="1447"/>
        <v>1</v>
      </c>
      <c r="FT136" s="213">
        <f t="shared" si="1447"/>
        <v>1</v>
      </c>
      <c r="FU136" s="213">
        <f t="shared" si="1447"/>
        <v>1</v>
      </c>
      <c r="FV136" s="213">
        <f t="shared" si="1447"/>
        <v>1</v>
      </c>
      <c r="FW136" s="213">
        <f t="shared" si="1447"/>
        <v>1</v>
      </c>
      <c r="FX136" s="213">
        <f t="shared" si="1447"/>
        <v>1</v>
      </c>
      <c r="FY136" s="213">
        <f t="shared" si="1447"/>
        <v>1</v>
      </c>
      <c r="FZ136" s="213">
        <f t="shared" si="1447"/>
        <v>1</v>
      </c>
      <c r="GA136" s="213">
        <f t="shared" si="1447"/>
        <v>1</v>
      </c>
      <c r="GB136" s="213">
        <f t="shared" si="1447"/>
        <v>1</v>
      </c>
      <c r="GC136" s="213">
        <f t="shared" si="1447"/>
        <v>1</v>
      </c>
      <c r="GD136" s="213">
        <f t="shared" si="1447"/>
        <v>1</v>
      </c>
      <c r="GE136" s="213">
        <f t="shared" si="1447"/>
        <v>1</v>
      </c>
      <c r="GF136" s="213">
        <f t="shared" si="1447"/>
        <v>1</v>
      </c>
      <c r="GG136" s="213">
        <f t="shared" si="1447"/>
        <v>1</v>
      </c>
      <c r="GH136" s="213">
        <f t="shared" si="1447"/>
        <v>1</v>
      </c>
      <c r="GI136" s="213">
        <f t="shared" si="1447"/>
        <v>1</v>
      </c>
      <c r="GJ136" s="213">
        <f t="shared" si="1447"/>
        <v>1</v>
      </c>
      <c r="GK136" s="213">
        <f t="shared" si="1447"/>
        <v>1</v>
      </c>
      <c r="GL136" s="213">
        <f t="shared" si="1447"/>
        <v>1</v>
      </c>
      <c r="GM136" s="213">
        <f t="shared" si="1447"/>
        <v>1</v>
      </c>
      <c r="GN136" s="213">
        <f t="shared" si="1447"/>
        <v>1</v>
      </c>
      <c r="GO136" s="213">
        <f t="shared" si="1447"/>
        <v>1</v>
      </c>
      <c r="GP136" s="213">
        <f t="shared" ref="GP136:GQ136" si="1448">IF(GP112&gt;=$C114,1+GP119,1)</f>
        <v>1</v>
      </c>
      <c r="GQ136" s="213">
        <f t="shared" si="1448"/>
        <v>1</v>
      </c>
    </row>
    <row r="137" spans="2:199" outlineLevel="1">
      <c r="B137" s="182" t="s">
        <v>416</v>
      </c>
      <c r="C137" s="161">
        <v>1</v>
      </c>
      <c r="D137" s="168"/>
      <c r="E137" s="213">
        <f>C137*E136</f>
        <v>1</v>
      </c>
      <c r="F137" s="213">
        <f>E137*F136</f>
        <v>1</v>
      </c>
      <c r="G137" s="213">
        <f t="shared" ref="G137:AC137" si="1449">F137*G136</f>
        <v>1</v>
      </c>
      <c r="H137" s="213">
        <f t="shared" si="1449"/>
        <v>1</v>
      </c>
      <c r="I137" s="213">
        <f t="shared" si="1449"/>
        <v>1</v>
      </c>
      <c r="J137" s="213">
        <f t="shared" si="1449"/>
        <v>1</v>
      </c>
      <c r="K137" s="213">
        <f t="shared" si="1449"/>
        <v>1</v>
      </c>
      <c r="L137" s="213">
        <f t="shared" si="1449"/>
        <v>1</v>
      </c>
      <c r="M137" s="213">
        <f t="shared" si="1449"/>
        <v>1</v>
      </c>
      <c r="N137" s="213">
        <f t="shared" si="1449"/>
        <v>1</v>
      </c>
      <c r="O137" s="213">
        <f t="shared" si="1449"/>
        <v>1</v>
      </c>
      <c r="P137" s="213">
        <f t="shared" si="1449"/>
        <v>1</v>
      </c>
      <c r="Q137" s="213">
        <f t="shared" si="1449"/>
        <v>1</v>
      </c>
      <c r="R137" s="213">
        <f t="shared" si="1449"/>
        <v>1</v>
      </c>
      <c r="S137" s="213">
        <f t="shared" si="1449"/>
        <v>1</v>
      </c>
      <c r="T137" s="213">
        <f t="shared" si="1449"/>
        <v>1</v>
      </c>
      <c r="U137" s="213">
        <f t="shared" si="1449"/>
        <v>1</v>
      </c>
      <c r="V137" s="213">
        <f t="shared" si="1449"/>
        <v>1</v>
      </c>
      <c r="W137" s="213">
        <f t="shared" si="1449"/>
        <v>1</v>
      </c>
      <c r="X137" s="213">
        <f t="shared" si="1449"/>
        <v>1</v>
      </c>
      <c r="Y137" s="213">
        <f t="shared" si="1449"/>
        <v>1</v>
      </c>
      <c r="Z137" s="213">
        <f t="shared" si="1449"/>
        <v>1</v>
      </c>
      <c r="AA137" s="213">
        <f t="shared" si="1449"/>
        <v>1</v>
      </c>
      <c r="AB137" s="213">
        <f t="shared" si="1449"/>
        <v>1</v>
      </c>
      <c r="AC137" s="213">
        <f t="shared" si="1449"/>
        <v>1</v>
      </c>
      <c r="AD137" s="213">
        <f t="shared" ref="AD137" si="1450">AC137*AD136</f>
        <v>1</v>
      </c>
      <c r="AE137" s="213">
        <f t="shared" ref="AE137" si="1451">AD137*AE136</f>
        <v>1</v>
      </c>
      <c r="AF137" s="213">
        <f t="shared" ref="AF137" si="1452">AE137*AF136</f>
        <v>1</v>
      </c>
      <c r="AG137" s="213">
        <f t="shared" ref="AG137" si="1453">AF137*AG136</f>
        <v>1</v>
      </c>
      <c r="AH137" s="213">
        <f t="shared" ref="AH137" si="1454">AG137*AH136</f>
        <v>1</v>
      </c>
      <c r="AI137" s="213">
        <f t="shared" ref="AI137" si="1455">AH137*AI136</f>
        <v>1</v>
      </c>
      <c r="AJ137" s="213">
        <f t="shared" ref="AJ137" si="1456">AI137*AJ136</f>
        <v>1</v>
      </c>
      <c r="AK137" s="213">
        <f t="shared" ref="AK137" si="1457">AJ137*AK136</f>
        <v>1</v>
      </c>
      <c r="AL137" s="213">
        <f t="shared" ref="AL137" si="1458">AK137*AL136</f>
        <v>1</v>
      </c>
      <c r="AM137" s="213">
        <f t="shared" ref="AM137" si="1459">AL137*AM136</f>
        <v>1</v>
      </c>
      <c r="AN137" s="213">
        <f t="shared" ref="AN137" si="1460">AM137*AN136</f>
        <v>1</v>
      </c>
      <c r="AO137" s="213">
        <f t="shared" ref="AO137" si="1461">AN137*AO136</f>
        <v>1</v>
      </c>
      <c r="AP137" s="213">
        <f t="shared" ref="AP137" si="1462">AO137*AP136</f>
        <v>1</v>
      </c>
      <c r="AQ137" s="213">
        <f t="shared" ref="AQ137" si="1463">AP137*AQ136</f>
        <v>1</v>
      </c>
      <c r="AR137" s="213">
        <f t="shared" ref="AR137" si="1464">AQ137*AR136</f>
        <v>1</v>
      </c>
      <c r="AS137" s="213">
        <f t="shared" ref="AS137" si="1465">AR137*AS136</f>
        <v>1</v>
      </c>
      <c r="AT137" s="213">
        <f t="shared" ref="AT137" si="1466">AS137*AT136</f>
        <v>1</v>
      </c>
      <c r="AU137" s="213">
        <f t="shared" ref="AU137" si="1467">AT137*AU136</f>
        <v>1</v>
      </c>
      <c r="AV137" s="213">
        <f t="shared" ref="AV137" si="1468">AU137*AV136</f>
        <v>1</v>
      </c>
      <c r="AW137" s="213">
        <f t="shared" ref="AW137" si="1469">AV137*AW136</f>
        <v>1</v>
      </c>
      <c r="AX137" s="213">
        <f t="shared" ref="AX137" si="1470">AW137*AX136</f>
        <v>1</v>
      </c>
      <c r="AY137" s="213">
        <f t="shared" ref="AY137:AZ137" si="1471">AX137*AY136</f>
        <v>1</v>
      </c>
      <c r="AZ137" s="213">
        <f t="shared" si="1471"/>
        <v>1</v>
      </c>
      <c r="BA137" s="213">
        <f t="shared" ref="BA137" si="1472">AZ137*BA136</f>
        <v>1</v>
      </c>
      <c r="BB137" s="213">
        <f t="shared" ref="BB137" si="1473">BA137*BB136</f>
        <v>1</v>
      </c>
      <c r="BC137" s="213">
        <f t="shared" ref="BC137" si="1474">BB137*BC136</f>
        <v>1</v>
      </c>
      <c r="BD137" s="213">
        <f t="shared" ref="BD137" si="1475">BC137*BD136</f>
        <v>1</v>
      </c>
      <c r="BE137" s="213">
        <f t="shared" ref="BE137" si="1476">BD137*BE136</f>
        <v>1</v>
      </c>
      <c r="BF137" s="213">
        <f t="shared" ref="BF137" si="1477">BE137*BF136</f>
        <v>1</v>
      </c>
      <c r="BG137" s="213">
        <f t="shared" ref="BG137" si="1478">BF137*BG136</f>
        <v>1</v>
      </c>
      <c r="BH137" s="213">
        <f t="shared" ref="BH137" si="1479">BG137*BH136</f>
        <v>1</v>
      </c>
      <c r="BI137" s="213">
        <f t="shared" ref="BI137" si="1480">BH137*BI136</f>
        <v>1</v>
      </c>
      <c r="BJ137" s="213">
        <f t="shared" ref="BJ137" si="1481">BI137*BJ136</f>
        <v>1</v>
      </c>
      <c r="BK137" s="213">
        <f t="shared" ref="BK137" si="1482">BJ137*BK136</f>
        <v>1</v>
      </c>
      <c r="BL137" s="213">
        <f t="shared" ref="BL137" si="1483">BK137*BL136</f>
        <v>1</v>
      </c>
      <c r="BM137" s="213">
        <f t="shared" ref="BM137" si="1484">BL137*BM136</f>
        <v>1</v>
      </c>
      <c r="BN137" s="213">
        <f t="shared" ref="BN137" si="1485">BM137*BN136</f>
        <v>1</v>
      </c>
      <c r="BO137" s="213">
        <f t="shared" ref="BO137" si="1486">BN137*BO136</f>
        <v>1</v>
      </c>
      <c r="BP137" s="213">
        <f t="shared" ref="BP137" si="1487">BO137*BP136</f>
        <v>1</v>
      </c>
      <c r="BQ137" s="213">
        <f t="shared" ref="BQ137" si="1488">BP137*BQ136</f>
        <v>1</v>
      </c>
      <c r="BR137" s="213">
        <f t="shared" ref="BR137" si="1489">BQ137*BR136</f>
        <v>1</v>
      </c>
      <c r="BS137" s="213">
        <f t="shared" ref="BS137" si="1490">BR137*BS136</f>
        <v>1</v>
      </c>
      <c r="BT137" s="213">
        <f t="shared" ref="BT137" si="1491">BS137*BT136</f>
        <v>1</v>
      </c>
      <c r="BU137" s="213">
        <f t="shared" ref="BU137" si="1492">BT137*BU136</f>
        <v>1</v>
      </c>
      <c r="BV137" s="213">
        <f t="shared" ref="BV137:BW137" si="1493">BU137*BV136</f>
        <v>1</v>
      </c>
      <c r="BW137" s="213">
        <f t="shared" si="1493"/>
        <v>1</v>
      </c>
      <c r="BX137" s="213">
        <f t="shared" ref="BX137" si="1494">BW137*BX136</f>
        <v>1</v>
      </c>
      <c r="BY137" s="213">
        <f t="shared" ref="BY137" si="1495">BX137*BY136</f>
        <v>1</v>
      </c>
      <c r="BZ137" s="213">
        <f t="shared" ref="BZ137" si="1496">BY137*BZ136</f>
        <v>1</v>
      </c>
      <c r="CA137" s="213">
        <f t="shared" ref="CA137" si="1497">BZ137*CA136</f>
        <v>1</v>
      </c>
      <c r="CB137" s="213">
        <f t="shared" ref="CB137" si="1498">CA137*CB136</f>
        <v>1</v>
      </c>
      <c r="CC137" s="213">
        <f t="shared" ref="CC137" si="1499">CB137*CC136</f>
        <v>1</v>
      </c>
      <c r="CD137" s="213">
        <f t="shared" ref="CD137" si="1500">CC137*CD136</f>
        <v>1</v>
      </c>
      <c r="CE137" s="213">
        <f t="shared" ref="CE137" si="1501">CD137*CE136</f>
        <v>1</v>
      </c>
      <c r="CF137" s="213">
        <f t="shared" ref="CF137" si="1502">CE137*CF136</f>
        <v>1</v>
      </c>
      <c r="CG137" s="213">
        <f t="shared" ref="CG137" si="1503">CF137*CG136</f>
        <v>1</v>
      </c>
      <c r="CH137" s="213">
        <f t="shared" ref="CH137" si="1504">CG137*CH136</f>
        <v>1</v>
      </c>
      <c r="CI137" s="213">
        <f t="shared" ref="CI137" si="1505">CH137*CI136</f>
        <v>1</v>
      </c>
      <c r="CJ137" s="213">
        <f t="shared" ref="CJ137" si="1506">CI137*CJ136</f>
        <v>1</v>
      </c>
      <c r="CK137" s="213">
        <f t="shared" ref="CK137" si="1507">CJ137*CK136</f>
        <v>1</v>
      </c>
      <c r="CL137" s="213">
        <f t="shared" ref="CL137" si="1508">CK137*CL136</f>
        <v>1</v>
      </c>
      <c r="CM137" s="213">
        <f t="shared" ref="CM137" si="1509">CL137*CM136</f>
        <v>1</v>
      </c>
      <c r="CN137" s="213">
        <f t="shared" ref="CN137" si="1510">CM137*CN136</f>
        <v>1</v>
      </c>
      <c r="CO137" s="213">
        <f t="shared" ref="CO137" si="1511">CN137*CO136</f>
        <v>1</v>
      </c>
      <c r="CP137" s="213">
        <f t="shared" ref="CP137" si="1512">CO137*CP136</f>
        <v>1</v>
      </c>
      <c r="CQ137" s="213">
        <f t="shared" ref="CQ137" si="1513">CP137*CQ136</f>
        <v>1</v>
      </c>
      <c r="CR137" s="213">
        <f t="shared" ref="CR137" si="1514">CQ137*CR136</f>
        <v>1</v>
      </c>
      <c r="CS137" s="213">
        <f t="shared" ref="CS137:CT137" si="1515">CR137*CS136</f>
        <v>1</v>
      </c>
      <c r="CT137" s="213">
        <f t="shared" si="1515"/>
        <v>1</v>
      </c>
      <c r="CU137" s="213">
        <f t="shared" ref="CU137" si="1516">CT137*CU136</f>
        <v>1</v>
      </c>
      <c r="CV137" s="213">
        <f t="shared" ref="CV137" si="1517">CU137*CV136</f>
        <v>1</v>
      </c>
      <c r="CW137" s="213">
        <f t="shared" ref="CW137" si="1518">CV137*CW136</f>
        <v>1</v>
      </c>
      <c r="CX137" s="213">
        <f t="shared" ref="CX137" si="1519">CW137*CX136</f>
        <v>1</v>
      </c>
      <c r="CY137" s="213">
        <f t="shared" ref="CY137" si="1520">CX137*CY136</f>
        <v>1</v>
      </c>
      <c r="CZ137" s="213">
        <f t="shared" ref="CZ137" si="1521">CY137*CZ136</f>
        <v>1</v>
      </c>
      <c r="DA137" s="213">
        <f t="shared" ref="DA137" si="1522">CZ137*DA136</f>
        <v>1</v>
      </c>
      <c r="DB137" s="213">
        <f t="shared" ref="DB137" si="1523">DA137*DB136</f>
        <v>1</v>
      </c>
      <c r="DC137" s="213">
        <f t="shared" ref="DC137" si="1524">DB137*DC136</f>
        <v>1</v>
      </c>
      <c r="DD137" s="213">
        <f t="shared" ref="DD137" si="1525">DC137*DD136</f>
        <v>1</v>
      </c>
      <c r="DE137" s="213">
        <f t="shared" ref="DE137" si="1526">DD137*DE136</f>
        <v>1</v>
      </c>
      <c r="DF137" s="213">
        <f t="shared" ref="DF137" si="1527">DE137*DF136</f>
        <v>1</v>
      </c>
      <c r="DG137" s="213">
        <f t="shared" ref="DG137" si="1528">DF137*DG136</f>
        <v>1</v>
      </c>
      <c r="DH137" s="213">
        <f t="shared" ref="DH137" si="1529">DG137*DH136</f>
        <v>1</v>
      </c>
      <c r="DI137" s="213">
        <f t="shared" ref="DI137" si="1530">DH137*DI136</f>
        <v>1</v>
      </c>
      <c r="DJ137" s="213">
        <f t="shared" ref="DJ137" si="1531">DI137*DJ136</f>
        <v>1</v>
      </c>
      <c r="DK137" s="213">
        <f t="shared" ref="DK137" si="1532">DJ137*DK136</f>
        <v>1</v>
      </c>
      <c r="DL137" s="213">
        <f t="shared" ref="DL137" si="1533">DK137*DL136</f>
        <v>1</v>
      </c>
      <c r="DM137" s="213">
        <f t="shared" ref="DM137" si="1534">DL137*DM136</f>
        <v>1</v>
      </c>
      <c r="DN137" s="213">
        <f t="shared" ref="DN137" si="1535">DM137*DN136</f>
        <v>1</v>
      </c>
      <c r="DO137" s="213">
        <f t="shared" ref="DO137" si="1536">DN137*DO136</f>
        <v>1</v>
      </c>
      <c r="DP137" s="213">
        <f t="shared" ref="DP137:DQ137" si="1537">DO137*DP136</f>
        <v>1</v>
      </c>
      <c r="DQ137" s="213">
        <f t="shared" si="1537"/>
        <v>1</v>
      </c>
      <c r="DR137" s="213">
        <f t="shared" ref="DR137" si="1538">DQ137*DR136</f>
        <v>1</v>
      </c>
      <c r="DS137" s="213">
        <f t="shared" ref="DS137" si="1539">DR137*DS136</f>
        <v>1</v>
      </c>
      <c r="DT137" s="213">
        <f t="shared" ref="DT137" si="1540">DS137*DT136</f>
        <v>1</v>
      </c>
      <c r="DU137" s="213">
        <f t="shared" ref="DU137" si="1541">DT137*DU136</f>
        <v>1</v>
      </c>
      <c r="DV137" s="213">
        <f t="shared" ref="DV137" si="1542">DU137*DV136</f>
        <v>1</v>
      </c>
      <c r="DW137" s="213">
        <f t="shared" ref="DW137" si="1543">DV137*DW136</f>
        <v>1</v>
      </c>
      <c r="DX137" s="213">
        <f t="shared" ref="DX137" si="1544">DW137*DX136</f>
        <v>1</v>
      </c>
      <c r="DY137" s="213">
        <f t="shared" ref="DY137" si="1545">DX137*DY136</f>
        <v>1</v>
      </c>
      <c r="DZ137" s="213">
        <f t="shared" ref="DZ137" si="1546">DY137*DZ136</f>
        <v>1</v>
      </c>
      <c r="EA137" s="213">
        <f t="shared" ref="EA137" si="1547">DZ137*EA136</f>
        <v>1</v>
      </c>
      <c r="EB137" s="213">
        <f t="shared" ref="EB137" si="1548">EA137*EB136</f>
        <v>1</v>
      </c>
      <c r="EC137" s="213">
        <f t="shared" ref="EC137" si="1549">EB137*EC136</f>
        <v>1</v>
      </c>
      <c r="ED137" s="213">
        <f t="shared" ref="ED137" si="1550">EC137*ED136</f>
        <v>1</v>
      </c>
      <c r="EE137" s="213">
        <f t="shared" ref="EE137" si="1551">ED137*EE136</f>
        <v>1</v>
      </c>
      <c r="EF137" s="213">
        <f t="shared" ref="EF137" si="1552">EE137*EF136</f>
        <v>1</v>
      </c>
      <c r="EG137" s="213">
        <f t="shared" ref="EG137" si="1553">EF137*EG136</f>
        <v>1</v>
      </c>
      <c r="EH137" s="213">
        <f t="shared" ref="EH137" si="1554">EG137*EH136</f>
        <v>1</v>
      </c>
      <c r="EI137" s="213">
        <f t="shared" ref="EI137" si="1555">EH137*EI136</f>
        <v>1</v>
      </c>
      <c r="EJ137" s="213">
        <f t="shared" ref="EJ137" si="1556">EI137*EJ136</f>
        <v>1</v>
      </c>
      <c r="EK137" s="213">
        <f t="shared" ref="EK137" si="1557">EJ137*EK136</f>
        <v>1</v>
      </c>
      <c r="EL137" s="213">
        <f t="shared" ref="EL137" si="1558">EK137*EL136</f>
        <v>1</v>
      </c>
      <c r="EM137" s="213">
        <f t="shared" ref="EM137:EN137" si="1559">EL137*EM136</f>
        <v>1</v>
      </c>
      <c r="EN137" s="213">
        <f t="shared" si="1559"/>
        <v>1</v>
      </c>
      <c r="EO137" s="213">
        <f t="shared" ref="EO137" si="1560">EN137*EO136</f>
        <v>1</v>
      </c>
      <c r="EP137" s="213">
        <f t="shared" ref="EP137" si="1561">EO137*EP136</f>
        <v>1</v>
      </c>
      <c r="EQ137" s="213">
        <f t="shared" ref="EQ137" si="1562">EP137*EQ136</f>
        <v>1</v>
      </c>
      <c r="ER137" s="213">
        <f t="shared" ref="ER137" si="1563">EQ137*ER136</f>
        <v>1</v>
      </c>
      <c r="ES137" s="213">
        <f t="shared" ref="ES137" si="1564">ER137*ES136</f>
        <v>1</v>
      </c>
      <c r="ET137" s="213">
        <f t="shared" ref="ET137" si="1565">ES137*ET136</f>
        <v>1</v>
      </c>
      <c r="EU137" s="213">
        <f t="shared" ref="EU137" si="1566">ET137*EU136</f>
        <v>1</v>
      </c>
      <c r="EV137" s="213">
        <f t="shared" ref="EV137" si="1567">EU137*EV136</f>
        <v>1</v>
      </c>
      <c r="EW137" s="213">
        <f t="shared" ref="EW137" si="1568">EV137*EW136</f>
        <v>1</v>
      </c>
      <c r="EX137" s="213">
        <f t="shared" ref="EX137" si="1569">EW137*EX136</f>
        <v>1</v>
      </c>
      <c r="EY137" s="213">
        <f t="shared" ref="EY137" si="1570">EX137*EY136</f>
        <v>1</v>
      </c>
      <c r="EZ137" s="213">
        <f t="shared" ref="EZ137" si="1571">EY137*EZ136</f>
        <v>1</v>
      </c>
      <c r="FA137" s="213">
        <f t="shared" ref="FA137" si="1572">EZ137*FA136</f>
        <v>1</v>
      </c>
      <c r="FB137" s="213">
        <f t="shared" ref="FB137" si="1573">FA137*FB136</f>
        <v>1</v>
      </c>
      <c r="FC137" s="213">
        <f t="shared" ref="FC137" si="1574">FB137*FC136</f>
        <v>1</v>
      </c>
      <c r="FD137" s="213">
        <f t="shared" ref="FD137" si="1575">FC137*FD136</f>
        <v>1</v>
      </c>
      <c r="FE137" s="213">
        <f t="shared" ref="FE137" si="1576">FD137*FE136</f>
        <v>1</v>
      </c>
      <c r="FF137" s="213">
        <f t="shared" ref="FF137" si="1577">FE137*FF136</f>
        <v>1</v>
      </c>
      <c r="FG137" s="213">
        <f t="shared" ref="FG137" si="1578">FF137*FG136</f>
        <v>1</v>
      </c>
      <c r="FH137" s="213">
        <f t="shared" ref="FH137" si="1579">FG137*FH136</f>
        <v>1</v>
      </c>
      <c r="FI137" s="213">
        <f t="shared" ref="FI137" si="1580">FH137*FI136</f>
        <v>1</v>
      </c>
      <c r="FJ137" s="213">
        <f t="shared" ref="FJ137:FK137" si="1581">FI137*FJ136</f>
        <v>1</v>
      </c>
      <c r="FK137" s="213">
        <f t="shared" si="1581"/>
        <v>1</v>
      </c>
      <c r="FL137" s="213">
        <f t="shared" ref="FL137" si="1582">FK137*FL136</f>
        <v>1</v>
      </c>
      <c r="FM137" s="213">
        <f t="shared" ref="FM137" si="1583">FL137*FM136</f>
        <v>1</v>
      </c>
      <c r="FN137" s="213">
        <f t="shared" ref="FN137" si="1584">FM137*FN136</f>
        <v>1</v>
      </c>
      <c r="FO137" s="213">
        <f t="shared" ref="FO137" si="1585">FN137*FO136</f>
        <v>1</v>
      </c>
      <c r="FP137" s="213">
        <f t="shared" ref="FP137" si="1586">FO137*FP136</f>
        <v>1</v>
      </c>
      <c r="FQ137" s="213">
        <f t="shared" ref="FQ137" si="1587">FP137*FQ136</f>
        <v>1</v>
      </c>
      <c r="FR137" s="213">
        <f t="shared" ref="FR137" si="1588">FQ137*FR136</f>
        <v>1</v>
      </c>
      <c r="FS137" s="213">
        <f t="shared" ref="FS137" si="1589">FR137*FS136</f>
        <v>1</v>
      </c>
      <c r="FT137" s="213">
        <f t="shared" ref="FT137" si="1590">FS137*FT136</f>
        <v>1</v>
      </c>
      <c r="FU137" s="213">
        <f t="shared" ref="FU137" si="1591">FT137*FU136</f>
        <v>1</v>
      </c>
      <c r="FV137" s="213">
        <f t="shared" ref="FV137" si="1592">FU137*FV136</f>
        <v>1</v>
      </c>
      <c r="FW137" s="213">
        <f t="shared" ref="FW137" si="1593">FV137*FW136</f>
        <v>1</v>
      </c>
      <c r="FX137" s="213">
        <f t="shared" ref="FX137" si="1594">FW137*FX136</f>
        <v>1</v>
      </c>
      <c r="FY137" s="213">
        <f t="shared" ref="FY137" si="1595">FX137*FY136</f>
        <v>1</v>
      </c>
      <c r="FZ137" s="213">
        <f t="shared" ref="FZ137" si="1596">FY137*FZ136</f>
        <v>1</v>
      </c>
      <c r="GA137" s="213">
        <f t="shared" ref="GA137" si="1597">FZ137*GA136</f>
        <v>1</v>
      </c>
      <c r="GB137" s="213">
        <f t="shared" ref="GB137" si="1598">GA137*GB136</f>
        <v>1</v>
      </c>
      <c r="GC137" s="213">
        <f t="shared" ref="GC137" si="1599">GB137*GC136</f>
        <v>1</v>
      </c>
      <c r="GD137" s="213">
        <f t="shared" ref="GD137" si="1600">GC137*GD136</f>
        <v>1</v>
      </c>
      <c r="GE137" s="213">
        <f t="shared" ref="GE137" si="1601">GD137*GE136</f>
        <v>1</v>
      </c>
      <c r="GF137" s="213">
        <f t="shared" ref="GF137" si="1602">GE137*GF136</f>
        <v>1</v>
      </c>
      <c r="GG137" s="213">
        <f t="shared" ref="GG137:GH137" si="1603">GF137*GG136</f>
        <v>1</v>
      </c>
      <c r="GH137" s="213">
        <f t="shared" si="1603"/>
        <v>1</v>
      </c>
      <c r="GI137" s="213">
        <f t="shared" ref="GI137" si="1604">GH137*GI136</f>
        <v>1</v>
      </c>
      <c r="GJ137" s="213">
        <f t="shared" ref="GJ137" si="1605">GI137*GJ136</f>
        <v>1</v>
      </c>
      <c r="GK137" s="213">
        <f t="shared" ref="GK137" si="1606">GJ137*GK136</f>
        <v>1</v>
      </c>
      <c r="GL137" s="213">
        <f t="shared" ref="GL137" si="1607">GK137*GL136</f>
        <v>1</v>
      </c>
      <c r="GM137" s="213">
        <f t="shared" ref="GM137" si="1608">GL137*GM136</f>
        <v>1</v>
      </c>
      <c r="GN137" s="213">
        <f t="shared" ref="GN137" si="1609">GM137*GN136</f>
        <v>1</v>
      </c>
      <c r="GO137" s="213">
        <f t="shared" ref="GO137" si="1610">GN137*GO136</f>
        <v>1</v>
      </c>
      <c r="GP137" s="213">
        <f t="shared" ref="GP137" si="1611">GO137*GP136</f>
        <v>1</v>
      </c>
      <c r="GQ137" s="213">
        <f t="shared" ref="GQ137" si="1612">GP137*GQ136</f>
        <v>1</v>
      </c>
    </row>
    <row r="138" spans="2:199" outlineLevel="1">
      <c r="B138" s="182" t="s">
        <v>415</v>
      </c>
      <c r="C138" s="161">
        <v>1</v>
      </c>
      <c r="D138" s="168"/>
      <c r="E138" s="213">
        <f>IF(E112&gt;$C117,(1+E119)*C138,1)</f>
        <v>1</v>
      </c>
      <c r="F138" s="213">
        <f t="shared" ref="F138" si="1613">IF(F112&gt;$C117,(1+F119)*D138,1)</f>
        <v>1</v>
      </c>
      <c r="G138" s="213">
        <f t="shared" ref="G138" si="1614">IF(G112&gt;$C117,(1+G119)*E138,1)</f>
        <v>1</v>
      </c>
      <c r="H138" s="213">
        <f t="shared" ref="H138" si="1615">IF(H112&gt;$C117,(1+H119)*F138,1)</f>
        <v>1</v>
      </c>
      <c r="I138" s="213">
        <f t="shared" ref="I138" si="1616">IF(I112&gt;$C117,(1+I119)*G138,1)</f>
        <v>1</v>
      </c>
      <c r="J138" s="213">
        <f t="shared" ref="J138" si="1617">IF(J112&gt;$C117,(1+J119)*H138,1)</f>
        <v>1</v>
      </c>
      <c r="K138" s="213">
        <f t="shared" ref="K138" si="1618">IF(K112&gt;$C117,(1+K119)*I138,1)</f>
        <v>1</v>
      </c>
      <c r="L138" s="213">
        <f t="shared" ref="L138" si="1619">IF(L112&gt;$C117,(1+L119)*J138,1)</f>
        <v>1</v>
      </c>
      <c r="M138" s="213">
        <f t="shared" ref="M138" si="1620">IF(M112&gt;$C117,(1+M119)*K138,1)</f>
        <v>1</v>
      </c>
      <c r="N138" s="213">
        <f t="shared" ref="N138" si="1621">IF(N112&gt;$C117,(1+N119)*L138,1)</f>
        <v>1</v>
      </c>
      <c r="O138" s="213">
        <f t="shared" ref="O138" si="1622">IF(O112&gt;$C117,(1+O119)*M138,1)</f>
        <v>1</v>
      </c>
      <c r="P138" s="213">
        <f t="shared" ref="P138" si="1623">IF(P112&gt;$C117,(1+P119)*N138,1)</f>
        <v>1</v>
      </c>
      <c r="Q138" s="213">
        <f t="shared" ref="Q138" si="1624">IF(Q112&gt;$C117,(1+Q119)*O138,1)</f>
        <v>1</v>
      </c>
      <c r="R138" s="213">
        <f t="shared" ref="R138" si="1625">IF(R112&gt;$C117,(1+R119)*P138,1)</f>
        <v>1</v>
      </c>
      <c r="S138" s="213">
        <f t="shared" ref="S138" si="1626">IF(S112&gt;$C117,(1+S119)*Q138,1)</f>
        <v>1</v>
      </c>
      <c r="T138" s="213">
        <f t="shared" ref="T138" si="1627">IF(T112&gt;$C117,(1+T119)*R138,1)</f>
        <v>1</v>
      </c>
      <c r="U138" s="213">
        <f t="shared" ref="U138" si="1628">IF(U112&gt;$C117,(1+U119)*S138,1)</f>
        <v>1</v>
      </c>
      <c r="V138" s="213">
        <f t="shared" ref="V138" si="1629">IF(V112&gt;$C117,(1+V119)*T138,1)</f>
        <v>1</v>
      </c>
      <c r="W138" s="213">
        <f t="shared" ref="W138" si="1630">IF(W112&gt;$C117,(1+W119)*U138,1)</f>
        <v>1</v>
      </c>
      <c r="X138" s="213">
        <f t="shared" ref="X138" si="1631">IF(X112&gt;$C117,(1+X119)*V138,1)</f>
        <v>1</v>
      </c>
      <c r="Y138" s="213">
        <f t="shared" ref="Y138" si="1632">IF(Y112&gt;$C117,(1+Y119)*W138,1)</f>
        <v>1</v>
      </c>
      <c r="Z138" s="213">
        <f t="shared" ref="Z138" si="1633">IF(Z112&gt;$C117,(1+Z119)*X138,1)</f>
        <v>1</v>
      </c>
      <c r="AA138" s="213">
        <f t="shared" ref="AA138" si="1634">IF(AA112&gt;$C117,(1+AA119)*Y138,1)</f>
        <v>1</v>
      </c>
      <c r="AB138" s="213">
        <f t="shared" ref="AB138" si="1635">IF(AB112&gt;$C117,(1+AB119)*Z138,1)</f>
        <v>1</v>
      </c>
      <c r="AC138" s="213">
        <f t="shared" ref="AC138" si="1636">IF(AC112&gt;$C117,(1+AC119)*AA138,1)</f>
        <v>1</v>
      </c>
      <c r="AD138" s="213">
        <f t="shared" ref="AD138" si="1637">IF(AD112&gt;$C117,(1+AD119)*AB138,1)</f>
        <v>1</v>
      </c>
      <c r="AE138" s="213">
        <f t="shared" ref="AE138" si="1638">IF(AE112&gt;$C117,(1+AE119)*AC138,1)</f>
        <v>1</v>
      </c>
      <c r="AF138" s="213">
        <f t="shared" ref="AF138" si="1639">IF(AF112&gt;$C117,(1+AF119)*AD138,1)</f>
        <v>1</v>
      </c>
      <c r="AG138" s="213">
        <f t="shared" ref="AG138" si="1640">IF(AG112&gt;$C117,(1+AG119)*AE138,1)</f>
        <v>1</v>
      </c>
      <c r="AH138" s="213">
        <f t="shared" ref="AH138" si="1641">IF(AH112&gt;$C117,(1+AH119)*AF138,1)</f>
        <v>1</v>
      </c>
      <c r="AI138" s="213">
        <f t="shared" ref="AI138" si="1642">IF(AI112&gt;$C117,(1+AI119)*AG138,1)</f>
        <v>1</v>
      </c>
      <c r="AJ138" s="213">
        <f t="shared" ref="AJ138" si="1643">IF(AJ112&gt;$C117,(1+AJ119)*AH138,1)</f>
        <v>1</v>
      </c>
      <c r="AK138" s="213">
        <f t="shared" ref="AK138" si="1644">IF(AK112&gt;$C117,(1+AK119)*AI138,1)</f>
        <v>1</v>
      </c>
      <c r="AL138" s="213">
        <f t="shared" ref="AL138" si="1645">IF(AL112&gt;$C117,(1+AL119)*AJ138,1)</f>
        <v>1</v>
      </c>
      <c r="AM138" s="213">
        <f t="shared" ref="AM138" si="1646">IF(AM112&gt;$C117,(1+AM119)*AK138,1)</f>
        <v>1</v>
      </c>
      <c r="AN138" s="213">
        <f t="shared" ref="AN138" si="1647">IF(AN112&gt;$C117,(1+AN119)*AL138,1)</f>
        <v>1</v>
      </c>
      <c r="AO138" s="213">
        <f t="shared" ref="AO138" si="1648">IF(AO112&gt;$C117,(1+AO119)*AM138,1)</f>
        <v>1</v>
      </c>
      <c r="AP138" s="213">
        <f t="shared" ref="AP138" si="1649">IF(AP112&gt;$C117,(1+AP119)*AN138,1)</f>
        <v>1</v>
      </c>
      <c r="AQ138" s="213">
        <f t="shared" ref="AQ138" si="1650">IF(AQ112&gt;$C117,(1+AQ119)*AO138,1)</f>
        <v>1</v>
      </c>
      <c r="AR138" s="213">
        <f t="shared" ref="AR138" si="1651">IF(AR112&gt;$C117,(1+AR119)*AP138,1)</f>
        <v>1</v>
      </c>
      <c r="AS138" s="213">
        <f t="shared" ref="AS138" si="1652">IF(AS112&gt;$C117,(1+AS119)*AQ138,1)</f>
        <v>1</v>
      </c>
      <c r="AT138" s="213">
        <f t="shared" ref="AT138" si="1653">IF(AT112&gt;$C117,(1+AT119)*AR138,1)</f>
        <v>1</v>
      </c>
      <c r="AU138" s="213">
        <f t="shared" ref="AU138" si="1654">IF(AU112&gt;$C117,(1+AU119)*AS138,1)</f>
        <v>1</v>
      </c>
      <c r="AV138" s="213">
        <f t="shared" ref="AV138" si="1655">IF(AV112&gt;$C117,(1+AV119)*AT138,1)</f>
        <v>1</v>
      </c>
      <c r="AW138" s="213">
        <f t="shared" ref="AW138" si="1656">IF(AW112&gt;$C117,(1+AW119)*AU138,1)</f>
        <v>1</v>
      </c>
      <c r="AX138" s="213">
        <f t="shared" ref="AX138" si="1657">IF(AX112&gt;$C117,(1+AX119)*AV138,1)</f>
        <v>1</v>
      </c>
      <c r="AY138" s="213">
        <f t="shared" ref="AY138" si="1658">IF(AY112&gt;$C117,(1+AY119)*AW138,1)</f>
        <v>1</v>
      </c>
      <c r="AZ138" s="213">
        <f t="shared" ref="AZ138" si="1659">IF(AZ112&gt;$C117,(1+AZ119)*AX138,1)</f>
        <v>1</v>
      </c>
      <c r="BA138" s="213">
        <f t="shared" ref="BA138" si="1660">IF(BA112&gt;$C117,(1+BA119)*AY138,1)</f>
        <v>1</v>
      </c>
      <c r="BB138" s="213">
        <f t="shared" ref="BB138" si="1661">IF(BB112&gt;$C117,(1+BB119)*AZ138,1)</f>
        <v>1</v>
      </c>
      <c r="BC138" s="213">
        <f t="shared" ref="BC138" si="1662">IF(BC112&gt;$C117,(1+BC119)*BA138,1)</f>
        <v>1</v>
      </c>
      <c r="BD138" s="213">
        <f t="shared" ref="BD138" si="1663">IF(BD112&gt;$C117,(1+BD119)*BB138,1)</f>
        <v>1</v>
      </c>
      <c r="BE138" s="213">
        <f t="shared" ref="BE138" si="1664">IF(BE112&gt;$C117,(1+BE119)*BC138,1)</f>
        <v>1</v>
      </c>
      <c r="BF138" s="213">
        <f t="shared" ref="BF138" si="1665">IF(BF112&gt;$C117,(1+BF119)*BD138,1)</f>
        <v>1</v>
      </c>
      <c r="BG138" s="213">
        <f t="shared" ref="BG138" si="1666">IF(BG112&gt;$C117,(1+BG119)*BE138,1)</f>
        <v>1</v>
      </c>
      <c r="BH138" s="213">
        <f t="shared" ref="BH138" si="1667">IF(BH112&gt;$C117,(1+BH119)*BF138,1)</f>
        <v>1</v>
      </c>
      <c r="BI138" s="213">
        <f t="shared" ref="BI138" si="1668">IF(BI112&gt;$C117,(1+BI119)*BG138,1)</f>
        <v>1</v>
      </c>
      <c r="BJ138" s="213">
        <f t="shared" ref="BJ138" si="1669">IF(BJ112&gt;$C117,(1+BJ119)*BH138,1)</f>
        <v>1</v>
      </c>
      <c r="BK138" s="213">
        <f t="shared" ref="BK138" si="1670">IF(BK112&gt;$C117,(1+BK119)*BI138,1)</f>
        <v>1</v>
      </c>
      <c r="BL138" s="213">
        <f t="shared" ref="BL138" si="1671">IF(BL112&gt;$C117,(1+BL119)*BJ138,1)</f>
        <v>1</v>
      </c>
      <c r="BM138" s="213">
        <f t="shared" ref="BM138" si="1672">IF(BM112&gt;$C117,(1+BM119)*BK138,1)</f>
        <v>1</v>
      </c>
      <c r="BN138" s="213">
        <f t="shared" ref="BN138" si="1673">IF(BN112&gt;$C117,(1+BN119)*BL138,1)</f>
        <v>1</v>
      </c>
      <c r="BO138" s="213">
        <f t="shared" ref="BO138" si="1674">IF(BO112&gt;$C117,(1+BO119)*BM138,1)</f>
        <v>1</v>
      </c>
      <c r="BP138" s="213">
        <f t="shared" ref="BP138" si="1675">IF(BP112&gt;$C117,(1+BP119)*BN138,1)</f>
        <v>1</v>
      </c>
      <c r="BQ138" s="213">
        <f t="shared" ref="BQ138" si="1676">IF(BQ112&gt;$C117,(1+BQ119)*BO138,1)</f>
        <v>1</v>
      </c>
      <c r="BR138" s="213">
        <f t="shared" ref="BR138" si="1677">IF(BR112&gt;$C117,(1+BR119)*BP138,1)</f>
        <v>1</v>
      </c>
      <c r="BS138" s="213">
        <f t="shared" ref="BS138" si="1678">IF(BS112&gt;$C117,(1+BS119)*BQ138,1)</f>
        <v>1</v>
      </c>
      <c r="BT138" s="213">
        <f t="shared" ref="BT138" si="1679">IF(BT112&gt;$C117,(1+BT119)*BR138,1)</f>
        <v>1</v>
      </c>
      <c r="BU138" s="213">
        <f t="shared" ref="BU138" si="1680">IF(BU112&gt;$C117,(1+BU119)*BS138,1)</f>
        <v>1</v>
      </c>
      <c r="BV138" s="213">
        <f t="shared" ref="BV138" si="1681">IF(BV112&gt;$C117,(1+BV119)*BT138,1)</f>
        <v>1</v>
      </c>
      <c r="BW138" s="213">
        <f t="shared" ref="BW138" si="1682">IF(BW112&gt;$C117,(1+BW119)*BU138,1)</f>
        <v>1</v>
      </c>
      <c r="BX138" s="213">
        <f t="shared" ref="BX138" si="1683">IF(BX112&gt;$C117,(1+BX119)*BV138,1)</f>
        <v>1</v>
      </c>
      <c r="BY138" s="213">
        <f t="shared" ref="BY138" si="1684">IF(BY112&gt;$C117,(1+BY119)*BW138,1)</f>
        <v>1</v>
      </c>
      <c r="BZ138" s="213">
        <f t="shared" ref="BZ138" si="1685">IF(BZ112&gt;$C117,(1+BZ119)*BX138,1)</f>
        <v>1</v>
      </c>
      <c r="CA138" s="213">
        <f t="shared" ref="CA138" si="1686">IF(CA112&gt;$C117,(1+CA119)*BY138,1)</f>
        <v>1</v>
      </c>
      <c r="CB138" s="213">
        <f t="shared" ref="CB138" si="1687">IF(CB112&gt;$C117,(1+CB119)*BZ138,1)</f>
        <v>1</v>
      </c>
      <c r="CC138" s="213">
        <f t="shared" ref="CC138" si="1688">IF(CC112&gt;$C117,(1+CC119)*CA138,1)</f>
        <v>1</v>
      </c>
      <c r="CD138" s="213">
        <f t="shared" ref="CD138" si="1689">IF(CD112&gt;$C117,(1+CD119)*CB138,1)</f>
        <v>1</v>
      </c>
      <c r="CE138" s="213">
        <f t="shared" ref="CE138" si="1690">IF(CE112&gt;$C117,(1+CE119)*CC138,1)</f>
        <v>1</v>
      </c>
      <c r="CF138" s="213">
        <f t="shared" ref="CF138" si="1691">IF(CF112&gt;$C117,(1+CF119)*CD138,1)</f>
        <v>1</v>
      </c>
      <c r="CG138" s="213">
        <f t="shared" ref="CG138" si="1692">IF(CG112&gt;$C117,(1+CG119)*CE138,1)</f>
        <v>1</v>
      </c>
      <c r="CH138" s="213">
        <f t="shared" ref="CH138" si="1693">IF(CH112&gt;$C117,(1+CH119)*CF138,1)</f>
        <v>1</v>
      </c>
      <c r="CI138" s="213">
        <f t="shared" ref="CI138" si="1694">IF(CI112&gt;$C117,(1+CI119)*CG138,1)</f>
        <v>1</v>
      </c>
      <c r="CJ138" s="213">
        <f t="shared" ref="CJ138" si="1695">IF(CJ112&gt;$C117,(1+CJ119)*CH138,1)</f>
        <v>1</v>
      </c>
      <c r="CK138" s="213">
        <f t="shared" ref="CK138" si="1696">IF(CK112&gt;$C117,(1+CK119)*CI138,1)</f>
        <v>1</v>
      </c>
      <c r="CL138" s="213">
        <f t="shared" ref="CL138" si="1697">IF(CL112&gt;$C117,(1+CL119)*CJ138,1)</f>
        <v>1</v>
      </c>
      <c r="CM138" s="213">
        <f t="shared" ref="CM138" si="1698">IF(CM112&gt;$C117,(1+CM119)*CK138,1)</f>
        <v>1</v>
      </c>
      <c r="CN138" s="213">
        <f t="shared" ref="CN138" si="1699">IF(CN112&gt;$C117,(1+CN119)*CL138,1)</f>
        <v>1</v>
      </c>
      <c r="CO138" s="213">
        <f t="shared" ref="CO138" si="1700">IF(CO112&gt;$C117,(1+CO119)*CM138,1)</f>
        <v>1</v>
      </c>
      <c r="CP138" s="213">
        <f t="shared" ref="CP138" si="1701">IF(CP112&gt;$C117,(1+CP119)*CN138,1)</f>
        <v>1</v>
      </c>
      <c r="CQ138" s="213">
        <f t="shared" ref="CQ138" si="1702">IF(CQ112&gt;$C117,(1+CQ119)*CO138,1)</f>
        <v>1</v>
      </c>
      <c r="CR138" s="213">
        <f t="shared" ref="CR138" si="1703">IF(CR112&gt;$C117,(1+CR119)*CP138,1)</f>
        <v>1</v>
      </c>
      <c r="CS138" s="213">
        <f t="shared" ref="CS138" si="1704">IF(CS112&gt;$C117,(1+CS119)*CQ138,1)</f>
        <v>1</v>
      </c>
      <c r="CT138" s="213">
        <f t="shared" ref="CT138" si="1705">IF(CT112&gt;$C117,(1+CT119)*CR138,1)</f>
        <v>1</v>
      </c>
      <c r="CU138" s="213">
        <f t="shared" ref="CU138" si="1706">IF(CU112&gt;$C117,(1+CU119)*CS138,1)</f>
        <v>1</v>
      </c>
      <c r="CV138" s="213">
        <f t="shared" ref="CV138" si="1707">IF(CV112&gt;$C117,(1+CV119)*CT138,1)</f>
        <v>1</v>
      </c>
      <c r="CW138" s="213">
        <f t="shared" ref="CW138" si="1708">IF(CW112&gt;$C117,(1+CW119)*CU138,1)</f>
        <v>1</v>
      </c>
      <c r="CX138" s="213">
        <f t="shared" ref="CX138" si="1709">IF(CX112&gt;$C117,(1+CX119)*CV138,1)</f>
        <v>1</v>
      </c>
      <c r="CY138" s="213">
        <f t="shared" ref="CY138" si="1710">IF(CY112&gt;$C117,(1+CY119)*CW138,1)</f>
        <v>1</v>
      </c>
      <c r="CZ138" s="213">
        <f t="shared" ref="CZ138" si="1711">IF(CZ112&gt;$C117,(1+CZ119)*CX138,1)</f>
        <v>1</v>
      </c>
      <c r="DA138" s="213">
        <f t="shared" ref="DA138" si="1712">IF(DA112&gt;$C117,(1+DA119)*CY138,1)</f>
        <v>1</v>
      </c>
      <c r="DB138" s="213">
        <f t="shared" ref="DB138" si="1713">IF(DB112&gt;$C117,(1+DB119)*CZ138,1)</f>
        <v>1</v>
      </c>
      <c r="DC138" s="213">
        <f t="shared" ref="DC138" si="1714">IF(DC112&gt;$C117,(1+DC119)*DA138,1)</f>
        <v>1</v>
      </c>
      <c r="DD138" s="213">
        <f t="shared" ref="DD138" si="1715">IF(DD112&gt;$C117,(1+DD119)*DB138,1)</f>
        <v>1</v>
      </c>
      <c r="DE138" s="213">
        <f t="shared" ref="DE138" si="1716">IF(DE112&gt;$C117,(1+DE119)*DC138,1)</f>
        <v>1</v>
      </c>
      <c r="DF138" s="213">
        <f t="shared" ref="DF138" si="1717">IF(DF112&gt;$C117,(1+DF119)*DD138,1)</f>
        <v>1</v>
      </c>
      <c r="DG138" s="213">
        <f t="shared" ref="DG138" si="1718">IF(DG112&gt;$C117,(1+DG119)*DE138,1)</f>
        <v>1</v>
      </c>
      <c r="DH138" s="213">
        <f t="shared" ref="DH138" si="1719">IF(DH112&gt;$C117,(1+DH119)*DF138,1)</f>
        <v>1</v>
      </c>
      <c r="DI138" s="213">
        <f t="shared" ref="DI138" si="1720">IF(DI112&gt;$C117,(1+DI119)*DG138,1)</f>
        <v>1</v>
      </c>
      <c r="DJ138" s="213">
        <f t="shared" ref="DJ138" si="1721">IF(DJ112&gt;$C117,(1+DJ119)*DH138,1)</f>
        <v>1</v>
      </c>
      <c r="DK138" s="213">
        <f t="shared" ref="DK138" si="1722">IF(DK112&gt;$C117,(1+DK119)*DI138,1)</f>
        <v>1</v>
      </c>
      <c r="DL138" s="213">
        <f t="shared" ref="DL138" si="1723">IF(DL112&gt;$C117,(1+DL119)*DJ138,1)</f>
        <v>1</v>
      </c>
      <c r="DM138" s="213">
        <f t="shared" ref="DM138" si="1724">IF(DM112&gt;$C117,(1+DM119)*DK138,1)</f>
        <v>1</v>
      </c>
      <c r="DN138" s="213">
        <f t="shared" ref="DN138" si="1725">IF(DN112&gt;$C117,(1+DN119)*DL138,1)</f>
        <v>1</v>
      </c>
      <c r="DO138" s="213">
        <f t="shared" ref="DO138" si="1726">IF(DO112&gt;$C117,(1+DO119)*DM138,1)</f>
        <v>1</v>
      </c>
      <c r="DP138" s="213">
        <f t="shared" ref="DP138" si="1727">IF(DP112&gt;$C117,(1+DP119)*DN138,1)</f>
        <v>1</v>
      </c>
      <c r="DQ138" s="213">
        <f t="shared" ref="DQ138" si="1728">IF(DQ112&gt;$C117,(1+DQ119)*DO138,1)</f>
        <v>1</v>
      </c>
      <c r="DR138" s="213">
        <f t="shared" ref="DR138" si="1729">IF(DR112&gt;$C117,(1+DR119)*DP138,1)</f>
        <v>1</v>
      </c>
      <c r="DS138" s="213">
        <f t="shared" ref="DS138" si="1730">IF(DS112&gt;$C117,(1+DS119)*DQ138,1)</f>
        <v>1</v>
      </c>
      <c r="DT138" s="213">
        <f t="shared" ref="DT138" si="1731">IF(DT112&gt;$C117,(1+DT119)*DR138,1)</f>
        <v>1</v>
      </c>
      <c r="DU138" s="213">
        <f t="shared" ref="DU138" si="1732">IF(DU112&gt;$C117,(1+DU119)*DS138,1)</f>
        <v>1</v>
      </c>
      <c r="DV138" s="213">
        <f t="shared" ref="DV138" si="1733">IF(DV112&gt;$C117,(1+DV119)*DT138,1)</f>
        <v>1</v>
      </c>
      <c r="DW138" s="213">
        <f t="shared" ref="DW138" si="1734">IF(DW112&gt;$C117,(1+DW119)*DU138,1)</f>
        <v>1</v>
      </c>
      <c r="DX138" s="213">
        <f t="shared" ref="DX138" si="1735">IF(DX112&gt;$C117,(1+DX119)*DV138,1)</f>
        <v>1</v>
      </c>
      <c r="DY138" s="213">
        <f t="shared" ref="DY138" si="1736">IF(DY112&gt;$C117,(1+DY119)*DW138,1)</f>
        <v>1</v>
      </c>
      <c r="DZ138" s="213">
        <f t="shared" ref="DZ138" si="1737">IF(DZ112&gt;$C117,(1+DZ119)*DX138,1)</f>
        <v>1</v>
      </c>
      <c r="EA138" s="213">
        <f t="shared" ref="EA138" si="1738">IF(EA112&gt;$C117,(1+EA119)*DY138,1)</f>
        <v>1</v>
      </c>
      <c r="EB138" s="213">
        <f t="shared" ref="EB138" si="1739">IF(EB112&gt;$C117,(1+EB119)*DZ138,1)</f>
        <v>1</v>
      </c>
      <c r="EC138" s="213">
        <f t="shared" ref="EC138" si="1740">IF(EC112&gt;$C117,(1+EC119)*EA138,1)</f>
        <v>1</v>
      </c>
      <c r="ED138" s="213">
        <f t="shared" ref="ED138" si="1741">IF(ED112&gt;$C117,(1+ED119)*EB138,1)</f>
        <v>1</v>
      </c>
      <c r="EE138" s="213">
        <f t="shared" ref="EE138" si="1742">IF(EE112&gt;$C117,(1+EE119)*EC138,1)</f>
        <v>1</v>
      </c>
      <c r="EF138" s="213">
        <f t="shared" ref="EF138" si="1743">IF(EF112&gt;$C117,(1+EF119)*ED138,1)</f>
        <v>1</v>
      </c>
      <c r="EG138" s="213">
        <f t="shared" ref="EG138" si="1744">IF(EG112&gt;$C117,(1+EG119)*EE138,1)</f>
        <v>1</v>
      </c>
      <c r="EH138" s="213">
        <f t="shared" ref="EH138" si="1745">IF(EH112&gt;$C117,(1+EH119)*EF138,1)</f>
        <v>1</v>
      </c>
      <c r="EI138" s="213">
        <f t="shared" ref="EI138" si="1746">IF(EI112&gt;$C117,(1+EI119)*EG138,1)</f>
        <v>1</v>
      </c>
      <c r="EJ138" s="213">
        <f t="shared" ref="EJ138" si="1747">IF(EJ112&gt;$C117,(1+EJ119)*EH138,1)</f>
        <v>1</v>
      </c>
      <c r="EK138" s="213">
        <f t="shared" ref="EK138" si="1748">IF(EK112&gt;$C117,(1+EK119)*EI138,1)</f>
        <v>1</v>
      </c>
      <c r="EL138" s="213">
        <f t="shared" ref="EL138" si="1749">IF(EL112&gt;$C117,(1+EL119)*EJ138,1)</f>
        <v>1</v>
      </c>
      <c r="EM138" s="213">
        <f t="shared" ref="EM138" si="1750">IF(EM112&gt;$C117,(1+EM119)*EK138,1)</f>
        <v>1</v>
      </c>
      <c r="EN138" s="213">
        <f t="shared" ref="EN138" si="1751">IF(EN112&gt;$C117,(1+EN119)*EL138,1)</f>
        <v>1</v>
      </c>
      <c r="EO138" s="213">
        <f t="shared" ref="EO138" si="1752">IF(EO112&gt;$C117,(1+EO119)*EM138,1)</f>
        <v>1</v>
      </c>
      <c r="EP138" s="213">
        <f t="shared" ref="EP138" si="1753">IF(EP112&gt;$C117,(1+EP119)*EN138,1)</f>
        <v>1</v>
      </c>
      <c r="EQ138" s="213">
        <f t="shared" ref="EQ138" si="1754">IF(EQ112&gt;$C117,(1+EQ119)*EO138,1)</f>
        <v>1</v>
      </c>
      <c r="ER138" s="213">
        <f t="shared" ref="ER138" si="1755">IF(ER112&gt;$C117,(1+ER119)*EP138,1)</f>
        <v>1</v>
      </c>
      <c r="ES138" s="213">
        <f t="shared" ref="ES138" si="1756">IF(ES112&gt;$C117,(1+ES119)*EQ138,1)</f>
        <v>1</v>
      </c>
      <c r="ET138" s="213">
        <f t="shared" ref="ET138" si="1757">IF(ET112&gt;$C117,(1+ET119)*ER138,1)</f>
        <v>1</v>
      </c>
      <c r="EU138" s="213">
        <f t="shared" ref="EU138" si="1758">IF(EU112&gt;$C117,(1+EU119)*ES138,1)</f>
        <v>1</v>
      </c>
      <c r="EV138" s="213">
        <f t="shared" ref="EV138" si="1759">IF(EV112&gt;$C117,(1+EV119)*ET138,1)</f>
        <v>1</v>
      </c>
      <c r="EW138" s="213">
        <f t="shared" ref="EW138" si="1760">IF(EW112&gt;$C117,(1+EW119)*EU138,1)</f>
        <v>1</v>
      </c>
      <c r="EX138" s="213">
        <f t="shared" ref="EX138" si="1761">IF(EX112&gt;$C117,(1+EX119)*EV138,1)</f>
        <v>1</v>
      </c>
      <c r="EY138" s="213">
        <f t="shared" ref="EY138" si="1762">IF(EY112&gt;$C117,(1+EY119)*EW138,1)</f>
        <v>1</v>
      </c>
      <c r="EZ138" s="213">
        <f t="shared" ref="EZ138" si="1763">IF(EZ112&gt;$C117,(1+EZ119)*EX138,1)</f>
        <v>1</v>
      </c>
      <c r="FA138" s="213">
        <f t="shared" ref="FA138" si="1764">IF(FA112&gt;$C117,(1+FA119)*EY138,1)</f>
        <v>1</v>
      </c>
      <c r="FB138" s="213">
        <f t="shared" ref="FB138" si="1765">IF(FB112&gt;$C117,(1+FB119)*EZ138,1)</f>
        <v>1</v>
      </c>
      <c r="FC138" s="213">
        <f t="shared" ref="FC138" si="1766">IF(FC112&gt;$C117,(1+FC119)*FA138,1)</f>
        <v>1</v>
      </c>
      <c r="FD138" s="213">
        <f t="shared" ref="FD138" si="1767">IF(FD112&gt;$C117,(1+FD119)*FB138,1)</f>
        <v>1</v>
      </c>
      <c r="FE138" s="213">
        <f t="shared" ref="FE138" si="1768">IF(FE112&gt;$C117,(1+FE119)*FC138,1)</f>
        <v>1</v>
      </c>
      <c r="FF138" s="213">
        <f t="shared" ref="FF138" si="1769">IF(FF112&gt;$C117,(1+FF119)*FD138,1)</f>
        <v>1</v>
      </c>
      <c r="FG138" s="213">
        <f t="shared" ref="FG138" si="1770">IF(FG112&gt;$C117,(1+FG119)*FE138,1)</f>
        <v>1</v>
      </c>
      <c r="FH138" s="213">
        <f t="shared" ref="FH138" si="1771">IF(FH112&gt;$C117,(1+FH119)*FF138,1)</f>
        <v>1</v>
      </c>
      <c r="FI138" s="213">
        <f t="shared" ref="FI138" si="1772">IF(FI112&gt;$C117,(1+FI119)*FG138,1)</f>
        <v>1</v>
      </c>
      <c r="FJ138" s="213">
        <f t="shared" ref="FJ138" si="1773">IF(FJ112&gt;$C117,(1+FJ119)*FH138,1)</f>
        <v>1</v>
      </c>
      <c r="FK138" s="213">
        <f t="shared" ref="FK138" si="1774">IF(FK112&gt;$C117,(1+FK119)*FI138,1)</f>
        <v>1</v>
      </c>
      <c r="FL138" s="213">
        <f t="shared" ref="FL138" si="1775">IF(FL112&gt;$C117,(1+FL119)*FJ138,1)</f>
        <v>1</v>
      </c>
      <c r="FM138" s="213">
        <f t="shared" ref="FM138" si="1776">IF(FM112&gt;$C117,(1+FM119)*FK138,1)</f>
        <v>1</v>
      </c>
      <c r="FN138" s="213">
        <f t="shared" ref="FN138" si="1777">IF(FN112&gt;$C117,(1+FN119)*FL138,1)</f>
        <v>1</v>
      </c>
      <c r="FO138" s="213">
        <f t="shared" ref="FO138" si="1778">IF(FO112&gt;$C117,(1+FO119)*FM138,1)</f>
        <v>1</v>
      </c>
      <c r="FP138" s="213">
        <f t="shared" ref="FP138" si="1779">IF(FP112&gt;$C117,(1+FP119)*FN138,1)</f>
        <v>1</v>
      </c>
      <c r="FQ138" s="213">
        <f t="shared" ref="FQ138" si="1780">IF(FQ112&gt;$C117,(1+FQ119)*FO138,1)</f>
        <v>1</v>
      </c>
      <c r="FR138" s="213">
        <f t="shared" ref="FR138" si="1781">IF(FR112&gt;$C117,(1+FR119)*FP138,1)</f>
        <v>1</v>
      </c>
      <c r="FS138" s="213">
        <f t="shared" ref="FS138" si="1782">IF(FS112&gt;$C117,(1+FS119)*FQ138,1)</f>
        <v>1</v>
      </c>
      <c r="FT138" s="213">
        <f t="shared" ref="FT138" si="1783">IF(FT112&gt;$C117,(1+FT119)*FR138,1)</f>
        <v>1</v>
      </c>
      <c r="FU138" s="213">
        <f t="shared" ref="FU138" si="1784">IF(FU112&gt;$C117,(1+FU119)*FS138,1)</f>
        <v>1</v>
      </c>
      <c r="FV138" s="213">
        <f t="shared" ref="FV138" si="1785">IF(FV112&gt;$C117,(1+FV119)*FT138,1)</f>
        <v>1</v>
      </c>
      <c r="FW138" s="213">
        <f t="shared" ref="FW138" si="1786">IF(FW112&gt;$C117,(1+FW119)*FU138,1)</f>
        <v>1</v>
      </c>
      <c r="FX138" s="213">
        <f t="shared" ref="FX138" si="1787">IF(FX112&gt;$C117,(1+FX119)*FV138,1)</f>
        <v>1</v>
      </c>
      <c r="FY138" s="213">
        <f t="shared" ref="FY138" si="1788">IF(FY112&gt;$C117,(1+FY119)*FW138,1)</f>
        <v>1</v>
      </c>
      <c r="FZ138" s="213">
        <f t="shared" ref="FZ138" si="1789">IF(FZ112&gt;$C117,(1+FZ119)*FX138,1)</f>
        <v>1</v>
      </c>
      <c r="GA138" s="213">
        <f t="shared" ref="GA138" si="1790">IF(GA112&gt;$C117,(1+GA119)*FY138,1)</f>
        <v>1</v>
      </c>
      <c r="GB138" s="213">
        <f t="shared" ref="GB138" si="1791">IF(GB112&gt;$C117,(1+GB119)*FZ138,1)</f>
        <v>1</v>
      </c>
      <c r="GC138" s="213">
        <f t="shared" ref="GC138" si="1792">IF(GC112&gt;$C117,(1+GC119)*GA138,1)</f>
        <v>1</v>
      </c>
      <c r="GD138" s="213">
        <f t="shared" ref="GD138" si="1793">IF(GD112&gt;$C117,(1+GD119)*GB138,1)</f>
        <v>1</v>
      </c>
      <c r="GE138" s="213">
        <f t="shared" ref="GE138" si="1794">IF(GE112&gt;$C117,(1+GE119)*GC138,1)</f>
        <v>1</v>
      </c>
      <c r="GF138" s="213">
        <f t="shared" ref="GF138" si="1795">IF(GF112&gt;$C117,(1+GF119)*GD138,1)</f>
        <v>1</v>
      </c>
      <c r="GG138" s="213">
        <f t="shared" ref="GG138" si="1796">IF(GG112&gt;$C117,(1+GG119)*GE138,1)</f>
        <v>1</v>
      </c>
      <c r="GH138" s="213">
        <f t="shared" ref="GH138" si="1797">IF(GH112&gt;$C117,(1+GH119)*GF138,1)</f>
        <v>1</v>
      </c>
      <c r="GI138" s="213">
        <f t="shared" ref="GI138" si="1798">IF(GI112&gt;$C117,(1+GI119)*GG138,1)</f>
        <v>1</v>
      </c>
      <c r="GJ138" s="213">
        <f t="shared" ref="GJ138" si="1799">IF(GJ112&gt;$C117,(1+GJ119)*GH138,1)</f>
        <v>1</v>
      </c>
      <c r="GK138" s="213">
        <f t="shared" ref="GK138" si="1800">IF(GK112&gt;$C117,(1+GK119)*GI138,1)</f>
        <v>1</v>
      </c>
      <c r="GL138" s="213">
        <f t="shared" ref="GL138" si="1801">IF(GL112&gt;$C117,(1+GL119)*GJ138,1)</f>
        <v>1</v>
      </c>
      <c r="GM138" s="213">
        <f t="shared" ref="GM138" si="1802">IF(GM112&gt;$C117,(1+GM119)*GK138,1)</f>
        <v>1</v>
      </c>
      <c r="GN138" s="213">
        <f t="shared" ref="GN138" si="1803">IF(GN112&gt;$C117,(1+GN119)*GL138,1)</f>
        <v>1</v>
      </c>
      <c r="GO138" s="213">
        <f t="shared" ref="GO138" si="1804">IF(GO112&gt;$C117,(1+GO119)*GM138,1)</f>
        <v>1</v>
      </c>
      <c r="GP138" s="213">
        <f t="shared" ref="GP138" si="1805">IF(GP112&gt;$C117,(1+GP119)*GN138,1)</f>
        <v>1</v>
      </c>
      <c r="GQ138" s="213">
        <f t="shared" ref="GQ138" si="1806">IF(GQ112&gt;$C117,(1+GQ119)*GO138,1)</f>
        <v>1</v>
      </c>
    </row>
    <row r="139" spans="2:199" outlineLevel="1">
      <c r="B139" s="182" t="s">
        <v>414</v>
      </c>
      <c r="D139" s="167"/>
      <c r="E139" s="162">
        <f>SUM(E126:E130)</f>
        <v>268619.48891441728</v>
      </c>
      <c r="F139" s="162">
        <f t="shared" ref="F139:BQ139" si="1807">SUM(F126:F130)</f>
        <v>270737.80390969588</v>
      </c>
      <c r="G139" s="162">
        <f t="shared" si="1807"/>
        <v>272925.29156564572</v>
      </c>
      <c r="H139" s="162">
        <f t="shared" si="1807"/>
        <v>274788.00013639306</v>
      </c>
      <c r="I139" s="162">
        <f t="shared" si="1807"/>
        <v>276921.97435736709</v>
      </c>
      <c r="J139" s="162">
        <f t="shared" si="1807"/>
        <v>278898.78668610437</v>
      </c>
      <c r="K139" s="162">
        <f t="shared" si="1807"/>
        <v>266666.66666666669</v>
      </c>
      <c r="L139" s="162">
        <f t="shared" si="1807"/>
        <v>268737.57148047688</v>
      </c>
      <c r="M139" s="162">
        <f t="shared" si="1807"/>
        <v>270487.46484716097</v>
      </c>
      <c r="N139" s="162">
        <f t="shared" si="1807"/>
        <v>272418.34431788418</v>
      </c>
      <c r="O139" s="162">
        <f t="shared" si="1807"/>
        <v>274533.91604520212</v>
      </c>
      <c r="P139" s="162">
        <f t="shared" si="1807"/>
        <v>276579.78572098922</v>
      </c>
      <c r="Q139" s="162">
        <f t="shared" si="1807"/>
        <v>266666.66666666669</v>
      </c>
      <c r="R139" s="162">
        <f t="shared" si="1807"/>
        <v>268821.2606434325</v>
      </c>
      <c r="S139" s="162">
        <f t="shared" si="1807"/>
        <v>270908.89780363627</v>
      </c>
      <c r="T139" s="162">
        <f t="shared" si="1807"/>
        <v>272980.27047610225</v>
      </c>
      <c r="U139" s="162">
        <f t="shared" si="1807"/>
        <v>275414.56235251768</v>
      </c>
      <c r="V139" s="162">
        <f t="shared" si="1807"/>
        <v>277638.73097362433</v>
      </c>
      <c r="W139" s="162">
        <f t="shared" si="1807"/>
        <v>280028.97429935989</v>
      </c>
      <c r="X139" s="162">
        <f t="shared" si="1807"/>
        <v>282543.19464774494</v>
      </c>
      <c r="Y139" s="162">
        <f t="shared" si="1807"/>
        <v>284871.37225270655</v>
      </c>
      <c r="Z139" s="162">
        <f t="shared" si="1807"/>
        <v>287113.62418830954</v>
      </c>
      <c r="AA139" s="162">
        <f t="shared" si="1807"/>
        <v>289479.46248339914</v>
      </c>
      <c r="AB139" s="162">
        <f t="shared" si="1807"/>
        <v>291971.64486268035</v>
      </c>
      <c r="AC139" s="162">
        <f t="shared" si="1807"/>
        <v>266666.66666666663</v>
      </c>
      <c r="AD139" s="162">
        <f t="shared" si="1807"/>
        <v>269159.41555020254</v>
      </c>
      <c r="AE139" s="162">
        <f t="shared" si="1807"/>
        <v>271476.65887688694</v>
      </c>
      <c r="AF139" s="162">
        <f t="shared" si="1807"/>
        <v>273914.09286587907</v>
      </c>
      <c r="AG139" s="162">
        <f t="shared" si="1807"/>
        <v>276474.58930028969</v>
      </c>
      <c r="AH139" s="162">
        <f t="shared" si="1807"/>
        <v>278752.76113151142</v>
      </c>
      <c r="AI139" s="162">
        <f t="shared" si="1807"/>
        <v>281255.52309019404</v>
      </c>
      <c r="AJ139" s="162">
        <f t="shared" si="1807"/>
        <v>283676.90405003016</v>
      </c>
      <c r="AK139" s="162">
        <f t="shared" si="1807"/>
        <v>285805.12320105627</v>
      </c>
      <c r="AL139" s="162">
        <f t="shared" si="1807"/>
        <v>288371.20429399563</v>
      </c>
      <c r="AM139" s="162">
        <f t="shared" si="1807"/>
        <v>290747.40514565696</v>
      </c>
      <c r="AN139" s="162">
        <f t="shared" si="1807"/>
        <v>293143.18607467477</v>
      </c>
      <c r="AO139" s="162">
        <f t="shared" si="1807"/>
        <v>266666.66666666651</v>
      </c>
      <c r="AP139" s="162">
        <f t="shared" si="1807"/>
        <v>269159.41555020242</v>
      </c>
      <c r="AQ139" s="162">
        <f t="shared" si="1807"/>
        <v>271476.65887688682</v>
      </c>
      <c r="AR139" s="162">
        <f t="shared" si="1807"/>
        <v>273813.85178112582</v>
      </c>
      <c r="AS139" s="162">
        <f t="shared" si="1807"/>
        <v>276171.16601253243</v>
      </c>
      <c r="AT139" s="162">
        <f t="shared" si="1807"/>
        <v>278446.83761257975</v>
      </c>
      <c r="AU139" s="162">
        <f t="shared" si="1807"/>
        <v>280946.8528585757</v>
      </c>
      <c r="AV139" s="162">
        <f t="shared" si="1807"/>
        <v>283386.16828872752</v>
      </c>
      <c r="AW139" s="162">
        <f t="shared" si="1807"/>
        <v>285846.66302630794</v>
      </c>
      <c r="AX139" s="162">
        <f t="shared" si="1807"/>
        <v>288328.52096022997</v>
      </c>
      <c r="AY139" s="162">
        <f t="shared" si="1807"/>
        <v>290831.92757601856</v>
      </c>
      <c r="AZ139" s="162">
        <f t="shared" si="1807"/>
        <v>293357.069969673</v>
      </c>
      <c r="BA139" s="162">
        <f t="shared" si="1807"/>
        <v>266666.66666666657</v>
      </c>
      <c r="BB139" s="162">
        <f t="shared" si="1807"/>
        <v>134490.99733292713</v>
      </c>
      <c r="BC139" s="162">
        <f t="shared" si="1807"/>
        <v>135658.71272704069</v>
      </c>
      <c r="BD139" s="162">
        <f t="shared" si="1807"/>
        <v>136836.56678670578</v>
      </c>
      <c r="BE139" s="162">
        <f t="shared" si="1807"/>
        <v>138024.64754068325</v>
      </c>
      <c r="BF139" s="162">
        <f t="shared" si="1807"/>
        <v>139223.0437820419</v>
      </c>
      <c r="BG139" s="162">
        <f t="shared" si="1807"/>
        <v>140431.84507479458</v>
      </c>
      <c r="BH139" s="162">
        <f t="shared" si="1807"/>
        <v>141651.14176059185</v>
      </c>
      <c r="BI139" s="162">
        <f t="shared" si="1807"/>
        <v>142881.02496547392</v>
      </c>
      <c r="BJ139" s="162">
        <f t="shared" si="1807"/>
        <v>144121.58660668097</v>
      </c>
      <c r="BK139" s="162">
        <f t="shared" si="1807"/>
        <v>145372.9193995228</v>
      </c>
      <c r="BL139" s="162">
        <f t="shared" si="1807"/>
        <v>146635.11686430799</v>
      </c>
      <c r="BM139" s="162">
        <f t="shared" si="1807"/>
        <v>133333.33333333323</v>
      </c>
      <c r="BN139" s="162">
        <f t="shared" si="1807"/>
        <v>0</v>
      </c>
      <c r="BO139" s="162">
        <f t="shared" si="1807"/>
        <v>0</v>
      </c>
      <c r="BP139" s="162">
        <f t="shared" si="1807"/>
        <v>0</v>
      </c>
      <c r="BQ139" s="162">
        <f t="shared" si="1807"/>
        <v>0</v>
      </c>
      <c r="BR139" s="162">
        <f t="shared" ref="BR139:EC139" si="1808">SUM(BR126:BR130)</f>
        <v>0</v>
      </c>
      <c r="BS139" s="162">
        <f t="shared" si="1808"/>
        <v>0</v>
      </c>
      <c r="BT139" s="162">
        <f t="shared" si="1808"/>
        <v>0</v>
      </c>
      <c r="BU139" s="162">
        <f t="shared" si="1808"/>
        <v>0</v>
      </c>
      <c r="BV139" s="162">
        <f t="shared" si="1808"/>
        <v>0</v>
      </c>
      <c r="BW139" s="162">
        <f t="shared" si="1808"/>
        <v>0</v>
      </c>
      <c r="BX139" s="162">
        <f t="shared" si="1808"/>
        <v>0</v>
      </c>
      <c r="BY139" s="162">
        <f t="shared" si="1808"/>
        <v>0</v>
      </c>
      <c r="BZ139" s="162">
        <f t="shared" si="1808"/>
        <v>0</v>
      </c>
      <c r="CA139" s="162">
        <f t="shared" si="1808"/>
        <v>0</v>
      </c>
      <c r="CB139" s="162">
        <f t="shared" si="1808"/>
        <v>0</v>
      </c>
      <c r="CC139" s="162">
        <f t="shared" si="1808"/>
        <v>0</v>
      </c>
      <c r="CD139" s="162">
        <f t="shared" si="1808"/>
        <v>0</v>
      </c>
      <c r="CE139" s="162">
        <f t="shared" si="1808"/>
        <v>0</v>
      </c>
      <c r="CF139" s="162">
        <f t="shared" si="1808"/>
        <v>0</v>
      </c>
      <c r="CG139" s="162">
        <f t="shared" si="1808"/>
        <v>0</v>
      </c>
      <c r="CH139" s="162">
        <f t="shared" si="1808"/>
        <v>0</v>
      </c>
      <c r="CI139" s="162">
        <f t="shared" si="1808"/>
        <v>0</v>
      </c>
      <c r="CJ139" s="162">
        <f t="shared" si="1808"/>
        <v>0</v>
      </c>
      <c r="CK139" s="162">
        <f t="shared" si="1808"/>
        <v>0</v>
      </c>
      <c r="CL139" s="162">
        <f t="shared" si="1808"/>
        <v>0</v>
      </c>
      <c r="CM139" s="162">
        <f t="shared" si="1808"/>
        <v>0</v>
      </c>
      <c r="CN139" s="162">
        <f t="shared" si="1808"/>
        <v>0</v>
      </c>
      <c r="CO139" s="162">
        <f t="shared" si="1808"/>
        <v>0</v>
      </c>
      <c r="CP139" s="162">
        <f t="shared" si="1808"/>
        <v>0</v>
      </c>
      <c r="CQ139" s="162">
        <f t="shared" si="1808"/>
        <v>0</v>
      </c>
      <c r="CR139" s="162">
        <f t="shared" si="1808"/>
        <v>0</v>
      </c>
      <c r="CS139" s="162">
        <f t="shared" si="1808"/>
        <v>0</v>
      </c>
      <c r="CT139" s="162">
        <f t="shared" si="1808"/>
        <v>0</v>
      </c>
      <c r="CU139" s="162">
        <f t="shared" si="1808"/>
        <v>0</v>
      </c>
      <c r="CV139" s="162">
        <f t="shared" si="1808"/>
        <v>0</v>
      </c>
      <c r="CW139" s="162">
        <f t="shared" si="1808"/>
        <v>0</v>
      </c>
      <c r="CX139" s="162">
        <f t="shared" si="1808"/>
        <v>0</v>
      </c>
      <c r="CY139" s="162">
        <f t="shared" si="1808"/>
        <v>0</v>
      </c>
      <c r="CZ139" s="162">
        <f t="shared" si="1808"/>
        <v>0</v>
      </c>
      <c r="DA139" s="162">
        <f t="shared" si="1808"/>
        <v>0</v>
      </c>
      <c r="DB139" s="162">
        <f t="shared" si="1808"/>
        <v>0</v>
      </c>
      <c r="DC139" s="162">
        <f t="shared" si="1808"/>
        <v>0</v>
      </c>
      <c r="DD139" s="162">
        <f t="shared" si="1808"/>
        <v>0</v>
      </c>
      <c r="DE139" s="162">
        <f t="shared" si="1808"/>
        <v>0</v>
      </c>
      <c r="DF139" s="162">
        <f t="shared" si="1808"/>
        <v>0</v>
      </c>
      <c r="DG139" s="162">
        <f t="shared" si="1808"/>
        <v>0</v>
      </c>
      <c r="DH139" s="162">
        <f t="shared" si="1808"/>
        <v>0</v>
      </c>
      <c r="DI139" s="162">
        <f t="shared" si="1808"/>
        <v>0</v>
      </c>
      <c r="DJ139" s="162">
        <f t="shared" si="1808"/>
        <v>0</v>
      </c>
      <c r="DK139" s="162">
        <f t="shared" si="1808"/>
        <v>0</v>
      </c>
      <c r="DL139" s="162">
        <f t="shared" si="1808"/>
        <v>0</v>
      </c>
      <c r="DM139" s="162">
        <f t="shared" si="1808"/>
        <v>0</v>
      </c>
      <c r="DN139" s="162">
        <f t="shared" si="1808"/>
        <v>0</v>
      </c>
      <c r="DO139" s="162">
        <f t="shared" si="1808"/>
        <v>0</v>
      </c>
      <c r="DP139" s="162">
        <f t="shared" si="1808"/>
        <v>0</v>
      </c>
      <c r="DQ139" s="162">
        <f t="shared" si="1808"/>
        <v>0</v>
      </c>
      <c r="DR139" s="162">
        <f t="shared" si="1808"/>
        <v>0</v>
      </c>
      <c r="DS139" s="162">
        <f t="shared" si="1808"/>
        <v>0</v>
      </c>
      <c r="DT139" s="162">
        <f t="shared" si="1808"/>
        <v>0</v>
      </c>
      <c r="DU139" s="162">
        <f t="shared" si="1808"/>
        <v>0</v>
      </c>
      <c r="DV139" s="162">
        <f t="shared" si="1808"/>
        <v>0</v>
      </c>
      <c r="DW139" s="162">
        <f t="shared" si="1808"/>
        <v>0</v>
      </c>
      <c r="DX139" s="162">
        <f t="shared" si="1808"/>
        <v>0</v>
      </c>
      <c r="DY139" s="162">
        <f t="shared" si="1808"/>
        <v>0</v>
      </c>
      <c r="DZ139" s="162">
        <f t="shared" si="1808"/>
        <v>0</v>
      </c>
      <c r="EA139" s="162">
        <f t="shared" si="1808"/>
        <v>0</v>
      </c>
      <c r="EB139" s="162">
        <f t="shared" si="1808"/>
        <v>0</v>
      </c>
      <c r="EC139" s="162">
        <f t="shared" si="1808"/>
        <v>0</v>
      </c>
      <c r="ED139" s="162">
        <f t="shared" ref="ED139:GO139" si="1809">SUM(ED126:ED130)</f>
        <v>0</v>
      </c>
      <c r="EE139" s="162">
        <f t="shared" si="1809"/>
        <v>0</v>
      </c>
      <c r="EF139" s="162">
        <f t="shared" si="1809"/>
        <v>0</v>
      </c>
      <c r="EG139" s="162">
        <f t="shared" si="1809"/>
        <v>0</v>
      </c>
      <c r="EH139" s="162">
        <f t="shared" si="1809"/>
        <v>0</v>
      </c>
      <c r="EI139" s="162">
        <f t="shared" si="1809"/>
        <v>0</v>
      </c>
      <c r="EJ139" s="162">
        <f t="shared" si="1809"/>
        <v>0</v>
      </c>
      <c r="EK139" s="162">
        <f t="shared" si="1809"/>
        <v>0</v>
      </c>
      <c r="EL139" s="162">
        <f t="shared" si="1809"/>
        <v>0</v>
      </c>
      <c r="EM139" s="162">
        <f t="shared" si="1809"/>
        <v>0</v>
      </c>
      <c r="EN139" s="162">
        <f t="shared" si="1809"/>
        <v>0</v>
      </c>
      <c r="EO139" s="162">
        <f t="shared" si="1809"/>
        <v>0</v>
      </c>
      <c r="EP139" s="162">
        <f t="shared" si="1809"/>
        <v>0</v>
      </c>
      <c r="EQ139" s="162">
        <f t="shared" si="1809"/>
        <v>0</v>
      </c>
      <c r="ER139" s="162">
        <f t="shared" si="1809"/>
        <v>0</v>
      </c>
      <c r="ES139" s="162">
        <f t="shared" si="1809"/>
        <v>0</v>
      </c>
      <c r="ET139" s="162">
        <f t="shared" si="1809"/>
        <v>0</v>
      </c>
      <c r="EU139" s="162">
        <f t="shared" si="1809"/>
        <v>0</v>
      </c>
      <c r="EV139" s="162">
        <f t="shared" si="1809"/>
        <v>0</v>
      </c>
      <c r="EW139" s="162">
        <f t="shared" si="1809"/>
        <v>0</v>
      </c>
      <c r="EX139" s="162">
        <f t="shared" si="1809"/>
        <v>0</v>
      </c>
      <c r="EY139" s="162">
        <f t="shared" si="1809"/>
        <v>0</v>
      </c>
      <c r="EZ139" s="162">
        <f t="shared" si="1809"/>
        <v>0</v>
      </c>
      <c r="FA139" s="162">
        <f t="shared" si="1809"/>
        <v>0</v>
      </c>
      <c r="FB139" s="162">
        <f t="shared" si="1809"/>
        <v>0</v>
      </c>
      <c r="FC139" s="162">
        <f t="shared" si="1809"/>
        <v>0</v>
      </c>
      <c r="FD139" s="162">
        <f t="shared" si="1809"/>
        <v>0</v>
      </c>
      <c r="FE139" s="162">
        <f t="shared" si="1809"/>
        <v>0</v>
      </c>
      <c r="FF139" s="162">
        <f t="shared" si="1809"/>
        <v>0</v>
      </c>
      <c r="FG139" s="162">
        <f t="shared" si="1809"/>
        <v>0</v>
      </c>
      <c r="FH139" s="162">
        <f t="shared" si="1809"/>
        <v>0</v>
      </c>
      <c r="FI139" s="162">
        <f t="shared" si="1809"/>
        <v>0</v>
      </c>
      <c r="FJ139" s="162">
        <f t="shared" si="1809"/>
        <v>0</v>
      </c>
      <c r="FK139" s="162">
        <f t="shared" si="1809"/>
        <v>0</v>
      </c>
      <c r="FL139" s="162">
        <f t="shared" si="1809"/>
        <v>0</v>
      </c>
      <c r="FM139" s="162">
        <f t="shared" si="1809"/>
        <v>0</v>
      </c>
      <c r="FN139" s="162">
        <f t="shared" si="1809"/>
        <v>0</v>
      </c>
      <c r="FO139" s="162">
        <f t="shared" si="1809"/>
        <v>0</v>
      </c>
      <c r="FP139" s="162">
        <f t="shared" si="1809"/>
        <v>0</v>
      </c>
      <c r="FQ139" s="162">
        <f t="shared" si="1809"/>
        <v>0</v>
      </c>
      <c r="FR139" s="162">
        <f t="shared" si="1809"/>
        <v>0</v>
      </c>
      <c r="FS139" s="162">
        <f t="shared" si="1809"/>
        <v>0</v>
      </c>
      <c r="FT139" s="162">
        <f t="shared" si="1809"/>
        <v>0</v>
      </c>
      <c r="FU139" s="162">
        <f t="shared" si="1809"/>
        <v>0</v>
      </c>
      <c r="FV139" s="162">
        <f t="shared" si="1809"/>
        <v>0</v>
      </c>
      <c r="FW139" s="162">
        <f t="shared" si="1809"/>
        <v>0</v>
      </c>
      <c r="FX139" s="162">
        <f t="shared" si="1809"/>
        <v>0</v>
      </c>
      <c r="FY139" s="162">
        <f t="shared" si="1809"/>
        <v>0</v>
      </c>
      <c r="FZ139" s="162">
        <f t="shared" si="1809"/>
        <v>0</v>
      </c>
      <c r="GA139" s="162">
        <f t="shared" si="1809"/>
        <v>0</v>
      </c>
      <c r="GB139" s="162">
        <f t="shared" si="1809"/>
        <v>0</v>
      </c>
      <c r="GC139" s="162">
        <f t="shared" si="1809"/>
        <v>0</v>
      </c>
      <c r="GD139" s="162">
        <f t="shared" si="1809"/>
        <v>0</v>
      </c>
      <c r="GE139" s="162">
        <f t="shared" si="1809"/>
        <v>0</v>
      </c>
      <c r="GF139" s="162">
        <f t="shared" si="1809"/>
        <v>0</v>
      </c>
      <c r="GG139" s="162">
        <f t="shared" si="1809"/>
        <v>0</v>
      </c>
      <c r="GH139" s="162">
        <f t="shared" si="1809"/>
        <v>0</v>
      </c>
      <c r="GI139" s="162">
        <f t="shared" si="1809"/>
        <v>0</v>
      </c>
      <c r="GJ139" s="162">
        <f t="shared" si="1809"/>
        <v>0</v>
      </c>
      <c r="GK139" s="162">
        <f t="shared" si="1809"/>
        <v>0</v>
      </c>
      <c r="GL139" s="162">
        <f t="shared" si="1809"/>
        <v>0</v>
      </c>
      <c r="GM139" s="162">
        <f t="shared" si="1809"/>
        <v>0</v>
      </c>
      <c r="GN139" s="162">
        <f t="shared" si="1809"/>
        <v>0</v>
      </c>
      <c r="GO139" s="162">
        <f t="shared" si="1809"/>
        <v>0</v>
      </c>
      <c r="GP139" s="162">
        <f t="shared" ref="GP139:GQ139" si="1810">SUM(GP126:GP130)</f>
        <v>0</v>
      </c>
      <c r="GQ139" s="162">
        <f t="shared" si="1810"/>
        <v>0</v>
      </c>
    </row>
    <row r="140" spans="2:199" outlineLevel="1" collapsed="1"/>
    <row r="142" spans="2:199" s="315" customFormat="1">
      <c r="B142" s="299" t="s">
        <v>572</v>
      </c>
      <c r="C142" s="299"/>
      <c r="D142" s="299"/>
      <c r="E142" s="318">
        <f>C144</f>
        <v>41061</v>
      </c>
      <c r="F142" s="318">
        <f>EDATE(E142,1)</f>
        <v>41091</v>
      </c>
      <c r="G142" s="318">
        <f t="shared" ref="G142" si="1811">EDATE(F142,1)</f>
        <v>41122</v>
      </c>
      <c r="H142" s="318">
        <f t="shared" ref="H142" si="1812">EDATE(G142,1)</f>
        <v>41153</v>
      </c>
      <c r="I142" s="318">
        <f t="shared" ref="I142" si="1813">EDATE(H142,1)</f>
        <v>41183</v>
      </c>
      <c r="J142" s="318">
        <f t="shared" ref="J142" si="1814">EDATE(I142,1)</f>
        <v>41214</v>
      </c>
      <c r="K142" s="318">
        <f t="shared" ref="K142" si="1815">EDATE(J142,1)</f>
        <v>41244</v>
      </c>
      <c r="L142" s="318">
        <f t="shared" ref="L142" si="1816">EDATE(K142,1)</f>
        <v>41275</v>
      </c>
      <c r="M142" s="318">
        <f t="shared" ref="M142" si="1817">EDATE(L142,1)</f>
        <v>41306</v>
      </c>
      <c r="N142" s="318">
        <f t="shared" ref="N142" si="1818">EDATE(M142,1)</f>
        <v>41334</v>
      </c>
      <c r="O142" s="318">
        <f t="shared" ref="O142" si="1819">EDATE(N142,1)</f>
        <v>41365</v>
      </c>
      <c r="P142" s="318">
        <f t="shared" ref="P142" si="1820">EDATE(O142,1)</f>
        <v>41395</v>
      </c>
      <c r="Q142" s="318">
        <f t="shared" ref="Q142" si="1821">EDATE(P142,1)</f>
        <v>41426</v>
      </c>
      <c r="R142" s="318">
        <f t="shared" ref="R142" si="1822">EDATE(Q142,1)</f>
        <v>41456</v>
      </c>
      <c r="S142" s="318">
        <f t="shared" ref="S142" si="1823">EDATE(R142,1)</f>
        <v>41487</v>
      </c>
      <c r="T142" s="318">
        <f t="shared" ref="T142" si="1824">EDATE(S142,1)</f>
        <v>41518</v>
      </c>
      <c r="U142" s="318">
        <f t="shared" ref="U142" si="1825">EDATE(T142,1)</f>
        <v>41548</v>
      </c>
      <c r="V142" s="318">
        <f t="shared" ref="V142" si="1826">EDATE(U142,1)</f>
        <v>41579</v>
      </c>
      <c r="W142" s="318">
        <f t="shared" ref="W142" si="1827">EDATE(V142,1)</f>
        <v>41609</v>
      </c>
      <c r="X142" s="318">
        <f t="shared" ref="X142" si="1828">EDATE(W142,1)</f>
        <v>41640</v>
      </c>
      <c r="Y142" s="318">
        <f t="shared" ref="Y142" si="1829">EDATE(X142,1)</f>
        <v>41671</v>
      </c>
      <c r="Z142" s="318">
        <f t="shared" ref="Z142" si="1830">EDATE(Y142,1)</f>
        <v>41699</v>
      </c>
      <c r="AA142" s="318">
        <f t="shared" ref="AA142" si="1831">EDATE(Z142,1)</f>
        <v>41730</v>
      </c>
      <c r="AB142" s="318">
        <f t="shared" ref="AB142" si="1832">EDATE(AA142,1)</f>
        <v>41760</v>
      </c>
      <c r="AC142" s="318">
        <f t="shared" ref="AC142" si="1833">EDATE(AB142,1)</f>
        <v>41791</v>
      </c>
      <c r="AD142" s="318">
        <f t="shared" ref="AD142" si="1834">EDATE(AC142,1)</f>
        <v>41821</v>
      </c>
      <c r="AE142" s="318">
        <f t="shared" ref="AE142" si="1835">EDATE(AD142,1)</f>
        <v>41852</v>
      </c>
      <c r="AF142" s="318">
        <f t="shared" ref="AF142" si="1836">EDATE(AE142,1)</f>
        <v>41883</v>
      </c>
      <c r="AG142" s="318">
        <f t="shared" ref="AG142" si="1837">EDATE(AF142,1)</f>
        <v>41913</v>
      </c>
      <c r="AH142" s="318">
        <f t="shared" ref="AH142" si="1838">EDATE(AG142,1)</f>
        <v>41944</v>
      </c>
      <c r="AI142" s="318">
        <f t="shared" ref="AI142" si="1839">EDATE(AH142,1)</f>
        <v>41974</v>
      </c>
      <c r="AJ142" s="318">
        <f t="shared" ref="AJ142" si="1840">EDATE(AI142,1)</f>
        <v>42005</v>
      </c>
      <c r="AK142" s="318">
        <f t="shared" ref="AK142" si="1841">EDATE(AJ142,1)</f>
        <v>42036</v>
      </c>
      <c r="AL142" s="318">
        <f t="shared" ref="AL142" si="1842">EDATE(AK142,1)</f>
        <v>42064</v>
      </c>
      <c r="AM142" s="318">
        <f t="shared" ref="AM142" si="1843">EDATE(AL142,1)</f>
        <v>42095</v>
      </c>
      <c r="AN142" s="318">
        <f t="shared" ref="AN142" si="1844">EDATE(AM142,1)</f>
        <v>42125</v>
      </c>
      <c r="AO142" s="318">
        <f t="shared" ref="AO142" si="1845">EDATE(AN142,1)</f>
        <v>42156</v>
      </c>
      <c r="AP142" s="318">
        <f t="shared" ref="AP142" si="1846">EDATE(AO142,1)</f>
        <v>42186</v>
      </c>
      <c r="AQ142" s="318">
        <f t="shared" ref="AQ142" si="1847">EDATE(AP142,1)</f>
        <v>42217</v>
      </c>
      <c r="AR142" s="318">
        <f t="shared" ref="AR142" si="1848">EDATE(AQ142,1)</f>
        <v>42248</v>
      </c>
      <c r="AS142" s="318">
        <f t="shared" ref="AS142" si="1849">EDATE(AR142,1)</f>
        <v>42278</v>
      </c>
      <c r="AT142" s="318">
        <f t="shared" ref="AT142" si="1850">EDATE(AS142,1)</f>
        <v>42309</v>
      </c>
      <c r="AU142" s="318">
        <f t="shared" ref="AU142" si="1851">EDATE(AT142,1)</f>
        <v>42339</v>
      </c>
      <c r="AV142" s="318">
        <f t="shared" ref="AV142" si="1852">EDATE(AU142,1)</f>
        <v>42370</v>
      </c>
      <c r="AW142" s="318">
        <f t="shared" ref="AW142" si="1853">EDATE(AV142,1)</f>
        <v>42401</v>
      </c>
      <c r="AX142" s="318">
        <f t="shared" ref="AX142" si="1854">EDATE(AW142,1)</f>
        <v>42430</v>
      </c>
      <c r="AY142" s="318">
        <f t="shared" ref="AY142" si="1855">EDATE(AX142,1)</f>
        <v>42461</v>
      </c>
      <c r="AZ142" s="318">
        <f t="shared" ref="AZ142" si="1856">EDATE(AY142,1)</f>
        <v>42491</v>
      </c>
      <c r="BA142" s="318">
        <f t="shared" ref="BA142" si="1857">EDATE(AZ142,1)</f>
        <v>42522</v>
      </c>
      <c r="BB142" s="318">
        <f t="shared" ref="BB142" si="1858">EDATE(BA142,1)</f>
        <v>42552</v>
      </c>
      <c r="BC142" s="318">
        <f t="shared" ref="BC142" si="1859">EDATE(BB142,1)</f>
        <v>42583</v>
      </c>
      <c r="BD142" s="318">
        <f t="shared" ref="BD142" si="1860">EDATE(BC142,1)</f>
        <v>42614</v>
      </c>
      <c r="BE142" s="318">
        <f t="shared" ref="BE142" si="1861">EDATE(BD142,1)</f>
        <v>42644</v>
      </c>
      <c r="BF142" s="318">
        <f t="shared" ref="BF142" si="1862">EDATE(BE142,1)</f>
        <v>42675</v>
      </c>
      <c r="BG142" s="318">
        <f t="shared" ref="BG142" si="1863">EDATE(BF142,1)</f>
        <v>42705</v>
      </c>
      <c r="BH142" s="318">
        <f t="shared" ref="BH142" si="1864">EDATE(BG142,1)</f>
        <v>42736</v>
      </c>
      <c r="BI142" s="318">
        <f t="shared" ref="BI142" si="1865">EDATE(BH142,1)</f>
        <v>42767</v>
      </c>
      <c r="BJ142" s="318">
        <f t="shared" ref="BJ142" si="1866">EDATE(BI142,1)</f>
        <v>42795</v>
      </c>
      <c r="BK142" s="318">
        <f t="shared" ref="BK142" si="1867">EDATE(BJ142,1)</f>
        <v>42826</v>
      </c>
      <c r="BL142" s="318">
        <f t="shared" ref="BL142" si="1868">EDATE(BK142,1)</f>
        <v>42856</v>
      </c>
      <c r="BM142" s="318">
        <f t="shared" ref="BM142" si="1869">EDATE(BL142,1)</f>
        <v>42887</v>
      </c>
      <c r="BN142" s="318">
        <f t="shared" ref="BN142" si="1870">EDATE(BM142,1)</f>
        <v>42917</v>
      </c>
      <c r="BO142" s="318">
        <f t="shared" ref="BO142" si="1871">EDATE(BN142,1)</f>
        <v>42948</v>
      </c>
      <c r="BP142" s="318">
        <f t="shared" ref="BP142" si="1872">EDATE(BO142,1)</f>
        <v>42979</v>
      </c>
      <c r="BQ142" s="318">
        <f t="shared" ref="BQ142" si="1873">EDATE(BP142,1)</f>
        <v>43009</v>
      </c>
      <c r="BR142" s="318">
        <f t="shared" ref="BR142" si="1874">EDATE(BQ142,1)</f>
        <v>43040</v>
      </c>
      <c r="BS142" s="318">
        <f t="shared" ref="BS142" si="1875">EDATE(BR142,1)</f>
        <v>43070</v>
      </c>
      <c r="BT142" s="318">
        <f t="shared" ref="BT142" si="1876">EDATE(BS142,1)</f>
        <v>43101</v>
      </c>
      <c r="BU142" s="318">
        <f t="shared" ref="BU142" si="1877">EDATE(BT142,1)</f>
        <v>43132</v>
      </c>
      <c r="BV142" s="318">
        <f t="shared" ref="BV142" si="1878">EDATE(BU142,1)</f>
        <v>43160</v>
      </c>
      <c r="BW142" s="318">
        <f t="shared" ref="BW142" si="1879">EDATE(BV142,1)</f>
        <v>43191</v>
      </c>
      <c r="BX142" s="318">
        <f t="shared" ref="BX142" si="1880">EDATE(BW142,1)</f>
        <v>43221</v>
      </c>
      <c r="BY142" s="318">
        <f t="shared" ref="BY142" si="1881">EDATE(BX142,1)</f>
        <v>43252</v>
      </c>
      <c r="BZ142" s="318">
        <f t="shared" ref="BZ142" si="1882">EDATE(BY142,1)</f>
        <v>43282</v>
      </c>
      <c r="CA142" s="318">
        <f t="shared" ref="CA142" si="1883">EDATE(BZ142,1)</f>
        <v>43313</v>
      </c>
      <c r="CB142" s="318">
        <f t="shared" ref="CB142" si="1884">EDATE(CA142,1)</f>
        <v>43344</v>
      </c>
      <c r="CC142" s="318">
        <f t="shared" ref="CC142" si="1885">EDATE(CB142,1)</f>
        <v>43374</v>
      </c>
      <c r="CD142" s="318">
        <f t="shared" ref="CD142" si="1886">EDATE(CC142,1)</f>
        <v>43405</v>
      </c>
      <c r="CE142" s="318">
        <f t="shared" ref="CE142" si="1887">EDATE(CD142,1)</f>
        <v>43435</v>
      </c>
      <c r="CF142" s="318">
        <f t="shared" ref="CF142" si="1888">EDATE(CE142,1)</f>
        <v>43466</v>
      </c>
      <c r="CG142" s="318">
        <f t="shared" ref="CG142" si="1889">EDATE(CF142,1)</f>
        <v>43497</v>
      </c>
      <c r="CH142" s="318">
        <f t="shared" ref="CH142" si="1890">EDATE(CG142,1)</f>
        <v>43525</v>
      </c>
      <c r="CI142" s="318">
        <f t="shared" ref="CI142" si="1891">EDATE(CH142,1)</f>
        <v>43556</v>
      </c>
      <c r="CJ142" s="318">
        <f t="shared" ref="CJ142" si="1892">EDATE(CI142,1)</f>
        <v>43586</v>
      </c>
      <c r="CK142" s="318">
        <f t="shared" ref="CK142" si="1893">EDATE(CJ142,1)</f>
        <v>43617</v>
      </c>
      <c r="CL142" s="318">
        <f t="shared" ref="CL142" si="1894">EDATE(CK142,1)</f>
        <v>43647</v>
      </c>
      <c r="CM142" s="318">
        <f t="shared" ref="CM142" si="1895">EDATE(CL142,1)</f>
        <v>43678</v>
      </c>
      <c r="CN142" s="318">
        <f t="shared" ref="CN142" si="1896">EDATE(CM142,1)</f>
        <v>43709</v>
      </c>
      <c r="CO142" s="318">
        <f t="shared" ref="CO142" si="1897">EDATE(CN142,1)</f>
        <v>43739</v>
      </c>
      <c r="CP142" s="318">
        <f t="shared" ref="CP142" si="1898">EDATE(CO142,1)</f>
        <v>43770</v>
      </c>
      <c r="CQ142" s="318">
        <f t="shared" ref="CQ142" si="1899">EDATE(CP142,1)</f>
        <v>43800</v>
      </c>
      <c r="CR142" s="318">
        <f t="shared" ref="CR142" si="1900">EDATE(CQ142,1)</f>
        <v>43831</v>
      </c>
      <c r="CS142" s="318">
        <f t="shared" ref="CS142" si="1901">EDATE(CR142,1)</f>
        <v>43862</v>
      </c>
      <c r="CT142" s="318">
        <f t="shared" ref="CT142" si="1902">EDATE(CS142,1)</f>
        <v>43891</v>
      </c>
      <c r="CU142" s="318">
        <f t="shared" ref="CU142" si="1903">EDATE(CT142,1)</f>
        <v>43922</v>
      </c>
      <c r="CV142" s="318">
        <f t="shared" ref="CV142" si="1904">EDATE(CU142,1)</f>
        <v>43952</v>
      </c>
      <c r="CW142" s="318">
        <f t="shared" ref="CW142" si="1905">EDATE(CV142,1)</f>
        <v>43983</v>
      </c>
      <c r="CX142" s="318">
        <f t="shared" ref="CX142" si="1906">EDATE(CW142,1)</f>
        <v>44013</v>
      </c>
      <c r="CY142" s="318">
        <f t="shared" ref="CY142" si="1907">EDATE(CX142,1)</f>
        <v>44044</v>
      </c>
      <c r="CZ142" s="318">
        <f t="shared" ref="CZ142" si="1908">EDATE(CY142,1)</f>
        <v>44075</v>
      </c>
      <c r="DA142" s="318">
        <f t="shared" ref="DA142" si="1909">EDATE(CZ142,1)</f>
        <v>44105</v>
      </c>
      <c r="DB142" s="318">
        <f t="shared" ref="DB142" si="1910">EDATE(DA142,1)</f>
        <v>44136</v>
      </c>
      <c r="DC142" s="318">
        <f t="shared" ref="DC142" si="1911">EDATE(DB142,1)</f>
        <v>44166</v>
      </c>
      <c r="DD142" s="318">
        <f t="shared" ref="DD142" si="1912">EDATE(DC142,1)</f>
        <v>44197</v>
      </c>
      <c r="DE142" s="318">
        <f t="shared" ref="DE142" si="1913">EDATE(DD142,1)</f>
        <v>44228</v>
      </c>
      <c r="DF142" s="318">
        <f t="shared" ref="DF142" si="1914">EDATE(DE142,1)</f>
        <v>44256</v>
      </c>
      <c r="DG142" s="318">
        <f t="shared" ref="DG142" si="1915">EDATE(DF142,1)</f>
        <v>44287</v>
      </c>
      <c r="DH142" s="318">
        <f t="shared" ref="DH142" si="1916">EDATE(DG142,1)</f>
        <v>44317</v>
      </c>
      <c r="DI142" s="318">
        <f t="shared" ref="DI142" si="1917">EDATE(DH142,1)</f>
        <v>44348</v>
      </c>
      <c r="DJ142" s="318">
        <f t="shared" ref="DJ142" si="1918">EDATE(DI142,1)</f>
        <v>44378</v>
      </c>
      <c r="DK142" s="318">
        <f t="shared" ref="DK142" si="1919">EDATE(DJ142,1)</f>
        <v>44409</v>
      </c>
      <c r="DL142" s="318">
        <f t="shared" ref="DL142" si="1920">EDATE(DK142,1)</f>
        <v>44440</v>
      </c>
      <c r="DM142" s="318">
        <f t="shared" ref="DM142" si="1921">EDATE(DL142,1)</f>
        <v>44470</v>
      </c>
      <c r="DN142" s="318">
        <f t="shared" ref="DN142" si="1922">EDATE(DM142,1)</f>
        <v>44501</v>
      </c>
      <c r="DO142" s="318">
        <f t="shared" ref="DO142" si="1923">EDATE(DN142,1)</f>
        <v>44531</v>
      </c>
      <c r="DP142" s="318">
        <f t="shared" ref="DP142" si="1924">EDATE(DO142,1)</f>
        <v>44562</v>
      </c>
      <c r="DQ142" s="318">
        <f t="shared" ref="DQ142" si="1925">EDATE(DP142,1)</f>
        <v>44593</v>
      </c>
      <c r="DR142" s="318">
        <f t="shared" ref="DR142" si="1926">EDATE(DQ142,1)</f>
        <v>44621</v>
      </c>
      <c r="DS142" s="318">
        <f t="shared" ref="DS142" si="1927">EDATE(DR142,1)</f>
        <v>44652</v>
      </c>
      <c r="DT142" s="318">
        <f t="shared" ref="DT142" si="1928">EDATE(DS142,1)</f>
        <v>44682</v>
      </c>
      <c r="DU142" s="318">
        <f t="shared" ref="DU142" si="1929">EDATE(DT142,1)</f>
        <v>44713</v>
      </c>
      <c r="DV142" s="318">
        <f t="shared" ref="DV142" si="1930">EDATE(DU142,1)</f>
        <v>44743</v>
      </c>
      <c r="DW142" s="318">
        <f t="shared" ref="DW142" si="1931">EDATE(DV142,1)</f>
        <v>44774</v>
      </c>
      <c r="DX142" s="318">
        <f t="shared" ref="DX142" si="1932">EDATE(DW142,1)</f>
        <v>44805</v>
      </c>
      <c r="DY142" s="318">
        <f t="shared" ref="DY142" si="1933">EDATE(DX142,1)</f>
        <v>44835</v>
      </c>
      <c r="DZ142" s="318">
        <f t="shared" ref="DZ142" si="1934">EDATE(DY142,1)</f>
        <v>44866</v>
      </c>
      <c r="EA142" s="318">
        <f t="shared" ref="EA142" si="1935">EDATE(DZ142,1)</f>
        <v>44896</v>
      </c>
      <c r="EB142" s="318">
        <f t="shared" ref="EB142" si="1936">EDATE(EA142,1)</f>
        <v>44927</v>
      </c>
      <c r="EC142" s="318">
        <f t="shared" ref="EC142" si="1937">EDATE(EB142,1)</f>
        <v>44958</v>
      </c>
      <c r="ED142" s="318">
        <f t="shared" ref="ED142" si="1938">EDATE(EC142,1)</f>
        <v>44986</v>
      </c>
      <c r="EE142" s="318">
        <f t="shared" ref="EE142" si="1939">EDATE(ED142,1)</f>
        <v>45017</v>
      </c>
      <c r="EF142" s="318">
        <f t="shared" ref="EF142" si="1940">EDATE(EE142,1)</f>
        <v>45047</v>
      </c>
      <c r="EG142" s="318">
        <f t="shared" ref="EG142" si="1941">EDATE(EF142,1)</f>
        <v>45078</v>
      </c>
      <c r="EH142" s="318">
        <f t="shared" ref="EH142" si="1942">EDATE(EG142,1)</f>
        <v>45108</v>
      </c>
      <c r="EI142" s="318">
        <f t="shared" ref="EI142" si="1943">EDATE(EH142,1)</f>
        <v>45139</v>
      </c>
      <c r="EJ142" s="318">
        <f t="shared" ref="EJ142" si="1944">EDATE(EI142,1)</f>
        <v>45170</v>
      </c>
      <c r="EK142" s="318">
        <f t="shared" ref="EK142" si="1945">EDATE(EJ142,1)</f>
        <v>45200</v>
      </c>
      <c r="EL142" s="318">
        <f t="shared" ref="EL142" si="1946">EDATE(EK142,1)</f>
        <v>45231</v>
      </c>
      <c r="EM142" s="318">
        <f t="shared" ref="EM142" si="1947">EDATE(EL142,1)</f>
        <v>45261</v>
      </c>
      <c r="EN142" s="318">
        <f t="shared" ref="EN142" si="1948">EDATE(EM142,1)</f>
        <v>45292</v>
      </c>
      <c r="EO142" s="318">
        <f t="shared" ref="EO142" si="1949">EDATE(EN142,1)</f>
        <v>45323</v>
      </c>
      <c r="EP142" s="318">
        <f t="shared" ref="EP142" si="1950">EDATE(EO142,1)</f>
        <v>45352</v>
      </c>
      <c r="EQ142" s="318">
        <f t="shared" ref="EQ142" si="1951">EDATE(EP142,1)</f>
        <v>45383</v>
      </c>
      <c r="ER142" s="318">
        <f t="shared" ref="ER142" si="1952">EDATE(EQ142,1)</f>
        <v>45413</v>
      </c>
      <c r="ES142" s="318">
        <f t="shared" ref="ES142" si="1953">EDATE(ER142,1)</f>
        <v>45444</v>
      </c>
      <c r="ET142" s="318">
        <f t="shared" ref="ET142" si="1954">EDATE(ES142,1)</f>
        <v>45474</v>
      </c>
      <c r="EU142" s="318">
        <f t="shared" ref="EU142" si="1955">EDATE(ET142,1)</f>
        <v>45505</v>
      </c>
      <c r="EV142" s="318">
        <f t="shared" ref="EV142" si="1956">EDATE(EU142,1)</f>
        <v>45536</v>
      </c>
      <c r="EW142" s="318">
        <f t="shared" ref="EW142" si="1957">EDATE(EV142,1)</f>
        <v>45566</v>
      </c>
      <c r="EX142" s="318">
        <f t="shared" ref="EX142" si="1958">EDATE(EW142,1)</f>
        <v>45597</v>
      </c>
      <c r="EY142" s="318">
        <f t="shared" ref="EY142" si="1959">EDATE(EX142,1)</f>
        <v>45627</v>
      </c>
      <c r="EZ142" s="318">
        <f t="shared" ref="EZ142" si="1960">EDATE(EY142,1)</f>
        <v>45658</v>
      </c>
      <c r="FA142" s="318">
        <f t="shared" ref="FA142" si="1961">EDATE(EZ142,1)</f>
        <v>45689</v>
      </c>
      <c r="FB142" s="318">
        <f t="shared" ref="FB142" si="1962">EDATE(FA142,1)</f>
        <v>45717</v>
      </c>
      <c r="FC142" s="318">
        <f t="shared" ref="FC142" si="1963">EDATE(FB142,1)</f>
        <v>45748</v>
      </c>
      <c r="FD142" s="318">
        <f t="shared" ref="FD142" si="1964">EDATE(FC142,1)</f>
        <v>45778</v>
      </c>
      <c r="FE142" s="318">
        <f t="shared" ref="FE142" si="1965">EDATE(FD142,1)</f>
        <v>45809</v>
      </c>
      <c r="FF142" s="318">
        <f t="shared" ref="FF142" si="1966">EDATE(FE142,1)</f>
        <v>45839</v>
      </c>
      <c r="FG142" s="318">
        <f t="shared" ref="FG142" si="1967">EDATE(FF142,1)</f>
        <v>45870</v>
      </c>
      <c r="FH142" s="318">
        <f t="shared" ref="FH142" si="1968">EDATE(FG142,1)</f>
        <v>45901</v>
      </c>
      <c r="FI142" s="318">
        <f t="shared" ref="FI142" si="1969">EDATE(FH142,1)</f>
        <v>45931</v>
      </c>
      <c r="FJ142" s="318">
        <f t="shared" ref="FJ142" si="1970">EDATE(FI142,1)</f>
        <v>45962</v>
      </c>
      <c r="FK142" s="318">
        <f t="shared" ref="FK142" si="1971">EDATE(FJ142,1)</f>
        <v>45992</v>
      </c>
      <c r="FL142" s="318">
        <f t="shared" ref="FL142" si="1972">EDATE(FK142,1)</f>
        <v>46023</v>
      </c>
      <c r="FM142" s="318">
        <f t="shared" ref="FM142" si="1973">EDATE(FL142,1)</f>
        <v>46054</v>
      </c>
      <c r="FN142" s="318">
        <f t="shared" ref="FN142" si="1974">EDATE(FM142,1)</f>
        <v>46082</v>
      </c>
      <c r="FO142" s="318">
        <f t="shared" ref="FO142" si="1975">EDATE(FN142,1)</f>
        <v>46113</v>
      </c>
      <c r="FP142" s="318">
        <f t="shared" ref="FP142" si="1976">EDATE(FO142,1)</f>
        <v>46143</v>
      </c>
      <c r="FQ142" s="318">
        <f t="shared" ref="FQ142" si="1977">EDATE(FP142,1)</f>
        <v>46174</v>
      </c>
      <c r="FR142" s="318">
        <f t="shared" ref="FR142" si="1978">EDATE(FQ142,1)</f>
        <v>46204</v>
      </c>
      <c r="FS142" s="318">
        <f t="shared" ref="FS142" si="1979">EDATE(FR142,1)</f>
        <v>46235</v>
      </c>
      <c r="FT142" s="318">
        <f t="shared" ref="FT142" si="1980">EDATE(FS142,1)</f>
        <v>46266</v>
      </c>
      <c r="FU142" s="318">
        <f t="shared" ref="FU142" si="1981">EDATE(FT142,1)</f>
        <v>46296</v>
      </c>
      <c r="FV142" s="318">
        <f t="shared" ref="FV142" si="1982">EDATE(FU142,1)</f>
        <v>46327</v>
      </c>
      <c r="FW142" s="318">
        <f t="shared" ref="FW142" si="1983">EDATE(FV142,1)</f>
        <v>46357</v>
      </c>
      <c r="FX142" s="318">
        <f t="shared" ref="FX142" si="1984">EDATE(FW142,1)</f>
        <v>46388</v>
      </c>
      <c r="FY142" s="318">
        <f t="shared" ref="FY142" si="1985">EDATE(FX142,1)</f>
        <v>46419</v>
      </c>
      <c r="FZ142" s="318">
        <f t="shared" ref="FZ142" si="1986">EDATE(FY142,1)</f>
        <v>46447</v>
      </c>
      <c r="GA142" s="318">
        <f t="shared" ref="GA142" si="1987">EDATE(FZ142,1)</f>
        <v>46478</v>
      </c>
      <c r="GB142" s="318">
        <f t="shared" ref="GB142" si="1988">EDATE(GA142,1)</f>
        <v>46508</v>
      </c>
      <c r="GC142" s="318">
        <f t="shared" ref="GC142" si="1989">EDATE(GB142,1)</f>
        <v>46539</v>
      </c>
      <c r="GD142" s="318">
        <f t="shared" ref="GD142" si="1990">EDATE(GC142,1)</f>
        <v>46569</v>
      </c>
      <c r="GE142" s="318">
        <f t="shared" ref="GE142" si="1991">EDATE(GD142,1)</f>
        <v>46600</v>
      </c>
      <c r="GF142" s="318">
        <f t="shared" ref="GF142" si="1992">EDATE(GE142,1)</f>
        <v>46631</v>
      </c>
      <c r="GG142" s="318">
        <f t="shared" ref="GG142" si="1993">EDATE(GF142,1)</f>
        <v>46661</v>
      </c>
      <c r="GH142" s="318">
        <f t="shared" ref="GH142" si="1994">EDATE(GG142,1)</f>
        <v>46692</v>
      </c>
      <c r="GI142" s="318">
        <f t="shared" ref="GI142" si="1995">EDATE(GH142,1)</f>
        <v>46722</v>
      </c>
      <c r="GJ142" s="318">
        <f t="shared" ref="GJ142" si="1996">EDATE(GI142,1)</f>
        <v>46753</v>
      </c>
      <c r="GK142" s="318">
        <f t="shared" ref="GK142" si="1997">EDATE(GJ142,1)</f>
        <v>46784</v>
      </c>
      <c r="GL142" s="318">
        <f t="shared" ref="GL142" si="1998">EDATE(GK142,1)</f>
        <v>46813</v>
      </c>
      <c r="GM142" s="318">
        <f t="shared" ref="GM142" si="1999">EDATE(GL142,1)</f>
        <v>46844</v>
      </c>
      <c r="GN142" s="318">
        <f t="shared" ref="GN142" si="2000">EDATE(GM142,1)</f>
        <v>46874</v>
      </c>
      <c r="GO142" s="318">
        <f t="shared" ref="GO142" si="2001">EDATE(GN142,1)</f>
        <v>46905</v>
      </c>
      <c r="GP142" s="318">
        <f t="shared" ref="GP142" si="2002">EDATE(GO142,1)</f>
        <v>46935</v>
      </c>
      <c r="GQ142" s="318">
        <f t="shared" ref="GQ142" si="2003">EDATE(GP142,1)</f>
        <v>46966</v>
      </c>
    </row>
    <row r="143" spans="2:199" s="315" customFormat="1">
      <c r="B143" s="173"/>
      <c r="C143" s="173"/>
      <c r="E143" s="425">
        <f>YEAR(E142)</f>
        <v>2012</v>
      </c>
      <c r="F143" s="425">
        <f t="shared" ref="F143:BQ143" si="2004">YEAR(F142)</f>
        <v>2012</v>
      </c>
      <c r="G143" s="425">
        <f t="shared" si="2004"/>
        <v>2012</v>
      </c>
      <c r="H143" s="425">
        <f t="shared" si="2004"/>
        <v>2012</v>
      </c>
      <c r="I143" s="425">
        <f t="shared" si="2004"/>
        <v>2012</v>
      </c>
      <c r="J143" s="425">
        <f t="shared" si="2004"/>
        <v>2012</v>
      </c>
      <c r="K143" s="425">
        <f t="shared" si="2004"/>
        <v>2012</v>
      </c>
      <c r="L143" s="425">
        <f t="shared" si="2004"/>
        <v>2013</v>
      </c>
      <c r="M143" s="425">
        <f t="shared" si="2004"/>
        <v>2013</v>
      </c>
      <c r="N143" s="425">
        <f t="shared" si="2004"/>
        <v>2013</v>
      </c>
      <c r="O143" s="425">
        <f t="shared" si="2004"/>
        <v>2013</v>
      </c>
      <c r="P143" s="425">
        <f t="shared" si="2004"/>
        <v>2013</v>
      </c>
      <c r="Q143" s="425">
        <f t="shared" si="2004"/>
        <v>2013</v>
      </c>
      <c r="R143" s="425">
        <f t="shared" si="2004"/>
        <v>2013</v>
      </c>
      <c r="S143" s="425">
        <f t="shared" si="2004"/>
        <v>2013</v>
      </c>
      <c r="T143" s="425">
        <f t="shared" si="2004"/>
        <v>2013</v>
      </c>
      <c r="U143" s="425">
        <f t="shared" si="2004"/>
        <v>2013</v>
      </c>
      <c r="V143" s="425">
        <f t="shared" si="2004"/>
        <v>2013</v>
      </c>
      <c r="W143" s="425">
        <f t="shared" si="2004"/>
        <v>2013</v>
      </c>
      <c r="X143" s="425">
        <f t="shared" si="2004"/>
        <v>2014</v>
      </c>
      <c r="Y143" s="425">
        <f t="shared" si="2004"/>
        <v>2014</v>
      </c>
      <c r="Z143" s="425">
        <f t="shared" si="2004"/>
        <v>2014</v>
      </c>
      <c r="AA143" s="425">
        <f t="shared" si="2004"/>
        <v>2014</v>
      </c>
      <c r="AB143" s="425">
        <f t="shared" si="2004"/>
        <v>2014</v>
      </c>
      <c r="AC143" s="425">
        <f t="shared" si="2004"/>
        <v>2014</v>
      </c>
      <c r="AD143" s="425">
        <f t="shared" si="2004"/>
        <v>2014</v>
      </c>
      <c r="AE143" s="425">
        <f t="shared" si="2004"/>
        <v>2014</v>
      </c>
      <c r="AF143" s="425">
        <f t="shared" si="2004"/>
        <v>2014</v>
      </c>
      <c r="AG143" s="425">
        <f t="shared" si="2004"/>
        <v>2014</v>
      </c>
      <c r="AH143" s="425">
        <f t="shared" si="2004"/>
        <v>2014</v>
      </c>
      <c r="AI143" s="425">
        <f t="shared" si="2004"/>
        <v>2014</v>
      </c>
      <c r="AJ143" s="425">
        <f t="shared" si="2004"/>
        <v>2015</v>
      </c>
      <c r="AK143" s="425">
        <f t="shared" si="2004"/>
        <v>2015</v>
      </c>
      <c r="AL143" s="425">
        <f t="shared" si="2004"/>
        <v>2015</v>
      </c>
      <c r="AM143" s="425">
        <f t="shared" si="2004"/>
        <v>2015</v>
      </c>
      <c r="AN143" s="425">
        <f t="shared" si="2004"/>
        <v>2015</v>
      </c>
      <c r="AO143" s="425">
        <f t="shared" si="2004"/>
        <v>2015</v>
      </c>
      <c r="AP143" s="425">
        <f t="shared" si="2004"/>
        <v>2015</v>
      </c>
      <c r="AQ143" s="425">
        <f t="shared" si="2004"/>
        <v>2015</v>
      </c>
      <c r="AR143" s="425">
        <f t="shared" si="2004"/>
        <v>2015</v>
      </c>
      <c r="AS143" s="425">
        <f t="shared" si="2004"/>
        <v>2015</v>
      </c>
      <c r="AT143" s="425">
        <f t="shared" si="2004"/>
        <v>2015</v>
      </c>
      <c r="AU143" s="425">
        <f t="shared" si="2004"/>
        <v>2015</v>
      </c>
      <c r="AV143" s="425">
        <f t="shared" si="2004"/>
        <v>2016</v>
      </c>
      <c r="AW143" s="425">
        <f t="shared" si="2004"/>
        <v>2016</v>
      </c>
      <c r="AX143" s="425">
        <f t="shared" si="2004"/>
        <v>2016</v>
      </c>
      <c r="AY143" s="425">
        <f t="shared" si="2004"/>
        <v>2016</v>
      </c>
      <c r="AZ143" s="425">
        <f t="shared" si="2004"/>
        <v>2016</v>
      </c>
      <c r="BA143" s="425">
        <f t="shared" si="2004"/>
        <v>2016</v>
      </c>
      <c r="BB143" s="425">
        <f t="shared" si="2004"/>
        <v>2016</v>
      </c>
      <c r="BC143" s="425">
        <f t="shared" si="2004"/>
        <v>2016</v>
      </c>
      <c r="BD143" s="425">
        <f t="shared" si="2004"/>
        <v>2016</v>
      </c>
      <c r="BE143" s="425">
        <f t="shared" si="2004"/>
        <v>2016</v>
      </c>
      <c r="BF143" s="425">
        <f t="shared" si="2004"/>
        <v>2016</v>
      </c>
      <c r="BG143" s="425">
        <f t="shared" si="2004"/>
        <v>2016</v>
      </c>
      <c r="BH143" s="425">
        <f t="shared" si="2004"/>
        <v>2017</v>
      </c>
      <c r="BI143" s="425">
        <f t="shared" si="2004"/>
        <v>2017</v>
      </c>
      <c r="BJ143" s="425">
        <f t="shared" si="2004"/>
        <v>2017</v>
      </c>
      <c r="BK143" s="425">
        <f t="shared" si="2004"/>
        <v>2017</v>
      </c>
      <c r="BL143" s="425">
        <f t="shared" si="2004"/>
        <v>2017</v>
      </c>
      <c r="BM143" s="425">
        <f t="shared" si="2004"/>
        <v>2017</v>
      </c>
      <c r="BN143" s="425">
        <f t="shared" si="2004"/>
        <v>2017</v>
      </c>
      <c r="BO143" s="425">
        <f t="shared" si="2004"/>
        <v>2017</v>
      </c>
      <c r="BP143" s="425">
        <f t="shared" si="2004"/>
        <v>2017</v>
      </c>
      <c r="BQ143" s="425">
        <f t="shared" si="2004"/>
        <v>2017</v>
      </c>
      <c r="BR143" s="425">
        <f t="shared" ref="BR143:EC143" si="2005">YEAR(BR142)</f>
        <v>2017</v>
      </c>
      <c r="BS143" s="425">
        <f t="shared" si="2005"/>
        <v>2017</v>
      </c>
      <c r="BT143" s="425">
        <f t="shared" si="2005"/>
        <v>2018</v>
      </c>
      <c r="BU143" s="425">
        <f t="shared" si="2005"/>
        <v>2018</v>
      </c>
      <c r="BV143" s="425">
        <f t="shared" si="2005"/>
        <v>2018</v>
      </c>
      <c r="BW143" s="425">
        <f t="shared" si="2005"/>
        <v>2018</v>
      </c>
      <c r="BX143" s="425">
        <f t="shared" si="2005"/>
        <v>2018</v>
      </c>
      <c r="BY143" s="425">
        <f t="shared" si="2005"/>
        <v>2018</v>
      </c>
      <c r="BZ143" s="425">
        <f t="shared" si="2005"/>
        <v>2018</v>
      </c>
      <c r="CA143" s="425">
        <f t="shared" si="2005"/>
        <v>2018</v>
      </c>
      <c r="CB143" s="425">
        <f t="shared" si="2005"/>
        <v>2018</v>
      </c>
      <c r="CC143" s="425">
        <f t="shared" si="2005"/>
        <v>2018</v>
      </c>
      <c r="CD143" s="425">
        <f t="shared" si="2005"/>
        <v>2018</v>
      </c>
      <c r="CE143" s="425">
        <f t="shared" si="2005"/>
        <v>2018</v>
      </c>
      <c r="CF143" s="425">
        <f t="shared" si="2005"/>
        <v>2019</v>
      </c>
      <c r="CG143" s="425">
        <f t="shared" si="2005"/>
        <v>2019</v>
      </c>
      <c r="CH143" s="425">
        <f t="shared" si="2005"/>
        <v>2019</v>
      </c>
      <c r="CI143" s="425">
        <f t="shared" si="2005"/>
        <v>2019</v>
      </c>
      <c r="CJ143" s="425">
        <f t="shared" si="2005"/>
        <v>2019</v>
      </c>
      <c r="CK143" s="425">
        <f t="shared" si="2005"/>
        <v>2019</v>
      </c>
      <c r="CL143" s="425">
        <f t="shared" si="2005"/>
        <v>2019</v>
      </c>
      <c r="CM143" s="425">
        <f t="shared" si="2005"/>
        <v>2019</v>
      </c>
      <c r="CN143" s="425">
        <f t="shared" si="2005"/>
        <v>2019</v>
      </c>
      <c r="CO143" s="425">
        <f t="shared" si="2005"/>
        <v>2019</v>
      </c>
      <c r="CP143" s="425">
        <f t="shared" si="2005"/>
        <v>2019</v>
      </c>
      <c r="CQ143" s="425">
        <f t="shared" si="2005"/>
        <v>2019</v>
      </c>
      <c r="CR143" s="425">
        <f t="shared" si="2005"/>
        <v>2020</v>
      </c>
      <c r="CS143" s="425">
        <f t="shared" si="2005"/>
        <v>2020</v>
      </c>
      <c r="CT143" s="425">
        <f t="shared" si="2005"/>
        <v>2020</v>
      </c>
      <c r="CU143" s="425">
        <f t="shared" si="2005"/>
        <v>2020</v>
      </c>
      <c r="CV143" s="425">
        <f t="shared" si="2005"/>
        <v>2020</v>
      </c>
      <c r="CW143" s="425">
        <f t="shared" si="2005"/>
        <v>2020</v>
      </c>
      <c r="CX143" s="425">
        <f t="shared" si="2005"/>
        <v>2020</v>
      </c>
      <c r="CY143" s="425">
        <f t="shared" si="2005"/>
        <v>2020</v>
      </c>
      <c r="CZ143" s="425">
        <f t="shared" si="2005"/>
        <v>2020</v>
      </c>
      <c r="DA143" s="425">
        <f t="shared" si="2005"/>
        <v>2020</v>
      </c>
      <c r="DB143" s="425">
        <f t="shared" si="2005"/>
        <v>2020</v>
      </c>
      <c r="DC143" s="425">
        <f t="shared" si="2005"/>
        <v>2020</v>
      </c>
      <c r="DD143" s="425">
        <f t="shared" si="2005"/>
        <v>2021</v>
      </c>
      <c r="DE143" s="425">
        <f t="shared" si="2005"/>
        <v>2021</v>
      </c>
      <c r="DF143" s="425">
        <f t="shared" si="2005"/>
        <v>2021</v>
      </c>
      <c r="DG143" s="425">
        <f t="shared" si="2005"/>
        <v>2021</v>
      </c>
      <c r="DH143" s="425">
        <f t="shared" si="2005"/>
        <v>2021</v>
      </c>
      <c r="DI143" s="425">
        <f t="shared" si="2005"/>
        <v>2021</v>
      </c>
      <c r="DJ143" s="425">
        <f t="shared" si="2005"/>
        <v>2021</v>
      </c>
      <c r="DK143" s="425">
        <f t="shared" si="2005"/>
        <v>2021</v>
      </c>
      <c r="DL143" s="425">
        <f t="shared" si="2005"/>
        <v>2021</v>
      </c>
      <c r="DM143" s="425">
        <f t="shared" si="2005"/>
        <v>2021</v>
      </c>
      <c r="DN143" s="425">
        <f t="shared" si="2005"/>
        <v>2021</v>
      </c>
      <c r="DO143" s="425">
        <f t="shared" si="2005"/>
        <v>2021</v>
      </c>
      <c r="DP143" s="425">
        <f t="shared" si="2005"/>
        <v>2022</v>
      </c>
      <c r="DQ143" s="425">
        <f t="shared" si="2005"/>
        <v>2022</v>
      </c>
      <c r="DR143" s="425">
        <f t="shared" si="2005"/>
        <v>2022</v>
      </c>
      <c r="DS143" s="425">
        <f t="shared" si="2005"/>
        <v>2022</v>
      </c>
      <c r="DT143" s="425">
        <f t="shared" si="2005"/>
        <v>2022</v>
      </c>
      <c r="DU143" s="425">
        <f t="shared" si="2005"/>
        <v>2022</v>
      </c>
      <c r="DV143" s="425">
        <f t="shared" si="2005"/>
        <v>2022</v>
      </c>
      <c r="DW143" s="425">
        <f t="shared" si="2005"/>
        <v>2022</v>
      </c>
      <c r="DX143" s="425">
        <f t="shared" si="2005"/>
        <v>2022</v>
      </c>
      <c r="DY143" s="425">
        <f t="shared" si="2005"/>
        <v>2022</v>
      </c>
      <c r="DZ143" s="425">
        <f t="shared" si="2005"/>
        <v>2022</v>
      </c>
      <c r="EA143" s="425">
        <f t="shared" si="2005"/>
        <v>2022</v>
      </c>
      <c r="EB143" s="425">
        <f t="shared" si="2005"/>
        <v>2023</v>
      </c>
      <c r="EC143" s="425">
        <f t="shared" si="2005"/>
        <v>2023</v>
      </c>
      <c r="ED143" s="425">
        <f t="shared" ref="ED143:GO143" si="2006">YEAR(ED142)</f>
        <v>2023</v>
      </c>
      <c r="EE143" s="425">
        <f t="shared" si="2006"/>
        <v>2023</v>
      </c>
      <c r="EF143" s="425">
        <f t="shared" si="2006"/>
        <v>2023</v>
      </c>
      <c r="EG143" s="425">
        <f t="shared" si="2006"/>
        <v>2023</v>
      </c>
      <c r="EH143" s="425">
        <f t="shared" si="2006"/>
        <v>2023</v>
      </c>
      <c r="EI143" s="425">
        <f t="shared" si="2006"/>
        <v>2023</v>
      </c>
      <c r="EJ143" s="425">
        <f t="shared" si="2006"/>
        <v>2023</v>
      </c>
      <c r="EK143" s="425">
        <f t="shared" si="2006"/>
        <v>2023</v>
      </c>
      <c r="EL143" s="425">
        <f t="shared" si="2006"/>
        <v>2023</v>
      </c>
      <c r="EM143" s="425">
        <f t="shared" si="2006"/>
        <v>2023</v>
      </c>
      <c r="EN143" s="425">
        <f t="shared" si="2006"/>
        <v>2024</v>
      </c>
      <c r="EO143" s="425">
        <f t="shared" si="2006"/>
        <v>2024</v>
      </c>
      <c r="EP143" s="425">
        <f t="shared" si="2006"/>
        <v>2024</v>
      </c>
      <c r="EQ143" s="425">
        <f t="shared" si="2006"/>
        <v>2024</v>
      </c>
      <c r="ER143" s="425">
        <f t="shared" si="2006"/>
        <v>2024</v>
      </c>
      <c r="ES143" s="425">
        <f t="shared" si="2006"/>
        <v>2024</v>
      </c>
      <c r="ET143" s="425">
        <f t="shared" si="2006"/>
        <v>2024</v>
      </c>
      <c r="EU143" s="425">
        <f t="shared" si="2006"/>
        <v>2024</v>
      </c>
      <c r="EV143" s="425">
        <f t="shared" si="2006"/>
        <v>2024</v>
      </c>
      <c r="EW143" s="425">
        <f t="shared" si="2006"/>
        <v>2024</v>
      </c>
      <c r="EX143" s="425">
        <f t="shared" si="2006"/>
        <v>2024</v>
      </c>
      <c r="EY143" s="425">
        <f t="shared" si="2006"/>
        <v>2024</v>
      </c>
      <c r="EZ143" s="425">
        <f t="shared" si="2006"/>
        <v>2025</v>
      </c>
      <c r="FA143" s="425">
        <f t="shared" si="2006"/>
        <v>2025</v>
      </c>
      <c r="FB143" s="425">
        <f t="shared" si="2006"/>
        <v>2025</v>
      </c>
      <c r="FC143" s="425">
        <f t="shared" si="2006"/>
        <v>2025</v>
      </c>
      <c r="FD143" s="425">
        <f t="shared" si="2006"/>
        <v>2025</v>
      </c>
      <c r="FE143" s="425">
        <f t="shared" si="2006"/>
        <v>2025</v>
      </c>
      <c r="FF143" s="425">
        <f t="shared" si="2006"/>
        <v>2025</v>
      </c>
      <c r="FG143" s="425">
        <f t="shared" si="2006"/>
        <v>2025</v>
      </c>
      <c r="FH143" s="425">
        <f t="shared" si="2006"/>
        <v>2025</v>
      </c>
      <c r="FI143" s="425">
        <f t="shared" si="2006"/>
        <v>2025</v>
      </c>
      <c r="FJ143" s="425">
        <f t="shared" si="2006"/>
        <v>2025</v>
      </c>
      <c r="FK143" s="425">
        <f t="shared" si="2006"/>
        <v>2025</v>
      </c>
      <c r="FL143" s="425">
        <f t="shared" si="2006"/>
        <v>2026</v>
      </c>
      <c r="FM143" s="425">
        <f t="shared" si="2006"/>
        <v>2026</v>
      </c>
      <c r="FN143" s="425">
        <f t="shared" si="2006"/>
        <v>2026</v>
      </c>
      <c r="FO143" s="425">
        <f t="shared" si="2006"/>
        <v>2026</v>
      </c>
      <c r="FP143" s="425">
        <f t="shared" si="2006"/>
        <v>2026</v>
      </c>
      <c r="FQ143" s="425">
        <f t="shared" si="2006"/>
        <v>2026</v>
      </c>
      <c r="FR143" s="425">
        <f t="shared" si="2006"/>
        <v>2026</v>
      </c>
      <c r="FS143" s="425">
        <f t="shared" si="2006"/>
        <v>2026</v>
      </c>
      <c r="FT143" s="425">
        <f t="shared" si="2006"/>
        <v>2026</v>
      </c>
      <c r="FU143" s="425">
        <f t="shared" si="2006"/>
        <v>2026</v>
      </c>
      <c r="FV143" s="425">
        <f t="shared" si="2006"/>
        <v>2026</v>
      </c>
      <c r="FW143" s="425">
        <f t="shared" si="2006"/>
        <v>2026</v>
      </c>
      <c r="FX143" s="425">
        <f t="shared" si="2006"/>
        <v>2027</v>
      </c>
      <c r="FY143" s="425">
        <f t="shared" si="2006"/>
        <v>2027</v>
      </c>
      <c r="FZ143" s="425">
        <f t="shared" si="2006"/>
        <v>2027</v>
      </c>
      <c r="GA143" s="425">
        <f t="shared" si="2006"/>
        <v>2027</v>
      </c>
      <c r="GB143" s="425">
        <f t="shared" si="2006"/>
        <v>2027</v>
      </c>
      <c r="GC143" s="425">
        <f t="shared" si="2006"/>
        <v>2027</v>
      </c>
      <c r="GD143" s="425">
        <f t="shared" si="2006"/>
        <v>2027</v>
      </c>
      <c r="GE143" s="425">
        <f t="shared" si="2006"/>
        <v>2027</v>
      </c>
      <c r="GF143" s="425">
        <f t="shared" si="2006"/>
        <v>2027</v>
      </c>
      <c r="GG143" s="425">
        <f t="shared" si="2006"/>
        <v>2027</v>
      </c>
      <c r="GH143" s="425">
        <f t="shared" si="2006"/>
        <v>2027</v>
      </c>
      <c r="GI143" s="425">
        <f t="shared" si="2006"/>
        <v>2027</v>
      </c>
      <c r="GJ143" s="425">
        <f t="shared" si="2006"/>
        <v>2028</v>
      </c>
      <c r="GK143" s="425">
        <f t="shared" si="2006"/>
        <v>2028</v>
      </c>
      <c r="GL143" s="425">
        <f t="shared" si="2006"/>
        <v>2028</v>
      </c>
      <c r="GM143" s="425">
        <f t="shared" si="2006"/>
        <v>2028</v>
      </c>
      <c r="GN143" s="425">
        <f t="shared" si="2006"/>
        <v>2028</v>
      </c>
      <c r="GO143" s="425">
        <f t="shared" si="2006"/>
        <v>2028</v>
      </c>
      <c r="GP143" s="425">
        <f t="shared" ref="GP143:GQ143" si="2007">YEAR(GP142)</f>
        <v>2028</v>
      </c>
      <c r="GQ143" s="425">
        <f t="shared" si="2007"/>
        <v>2028</v>
      </c>
    </row>
    <row r="144" spans="2:199" s="315" customFormat="1" outlineLevel="1">
      <c r="B144" s="181" t="s">
        <v>410</v>
      </c>
      <c r="C144" s="205">
        <v>41061</v>
      </c>
    </row>
    <row r="145" spans="2:199" s="315" customFormat="1" outlineLevel="1">
      <c r="B145" s="182" t="s">
        <v>398</v>
      </c>
      <c r="C145" s="206">
        <f>DATE(YEAR(C144)+C148,MONTH(C144),DAY(C144))</f>
        <v>43617</v>
      </c>
    </row>
    <row r="146" spans="2:199" s="315" customFormat="1" outlineLevel="1">
      <c r="B146" s="182" t="s">
        <v>402</v>
      </c>
      <c r="C146" s="206">
        <v>41244</v>
      </c>
    </row>
    <row r="147" spans="2:199" s="315" customFormat="1" outlineLevel="1">
      <c r="B147" s="182" t="s">
        <v>399</v>
      </c>
      <c r="C147" s="206">
        <v>43252</v>
      </c>
      <c r="D147" s="301" t="s">
        <v>468</v>
      </c>
      <c r="E147" s="303"/>
      <c r="F147" s="303"/>
      <c r="G147" s="303"/>
      <c r="H147" s="303"/>
      <c r="I147" s="303"/>
      <c r="J147" s="303"/>
      <c r="K147" s="303"/>
      <c r="L147" s="303"/>
      <c r="M147" s="303"/>
      <c r="N147" s="303"/>
      <c r="O147" s="303"/>
      <c r="P147" s="303"/>
      <c r="Q147" s="303"/>
      <c r="R147" s="303"/>
      <c r="S147" s="303"/>
      <c r="T147" s="303"/>
      <c r="U147" s="303"/>
      <c r="V147" s="303"/>
      <c r="W147" s="303"/>
      <c r="X147" s="303"/>
      <c r="Y147" s="303"/>
      <c r="Z147" s="303"/>
      <c r="AA147" s="303"/>
      <c r="AB147" s="303"/>
      <c r="AC147" s="303"/>
      <c r="AD147" s="303"/>
      <c r="AE147" s="303"/>
      <c r="AF147" s="303"/>
      <c r="AG147" s="303"/>
      <c r="AH147" s="303"/>
      <c r="AI147" s="303"/>
      <c r="AJ147" s="303"/>
      <c r="AK147" s="303"/>
      <c r="AL147" s="303"/>
      <c r="AM147" s="303"/>
      <c r="AN147" s="303"/>
      <c r="AO147" s="303"/>
      <c r="AP147" s="303"/>
      <c r="AQ147" s="303"/>
      <c r="AR147" s="303"/>
      <c r="AS147" s="303"/>
      <c r="AT147" s="303"/>
      <c r="AU147" s="303"/>
      <c r="AV147" s="303"/>
      <c r="AW147" s="303"/>
      <c r="AX147" s="303"/>
      <c r="AY147" s="303"/>
      <c r="AZ147" s="303"/>
      <c r="BA147" s="303"/>
      <c r="BB147" s="303"/>
      <c r="BC147" s="303"/>
      <c r="BD147" s="303"/>
      <c r="BE147" s="303"/>
      <c r="BF147" s="303"/>
      <c r="BG147" s="303"/>
      <c r="BH147" s="303"/>
      <c r="BI147" s="303"/>
      <c r="BJ147" s="303"/>
      <c r="BK147" s="303"/>
      <c r="BL147" s="303"/>
      <c r="BM147" s="303"/>
      <c r="BN147" s="303"/>
      <c r="BO147" s="303"/>
      <c r="BP147" s="303"/>
      <c r="BQ147" s="303"/>
      <c r="BR147" s="303"/>
      <c r="BS147" s="303"/>
      <c r="BT147" s="303"/>
      <c r="BU147" s="303"/>
      <c r="BV147" s="303"/>
      <c r="BW147" s="303"/>
      <c r="BX147" s="303"/>
      <c r="BY147" s="300">
        <v>0.5</v>
      </c>
      <c r="BZ147" s="303"/>
      <c r="CA147" s="303"/>
      <c r="CB147" s="303"/>
      <c r="CC147" s="303"/>
      <c r="CD147" s="303"/>
      <c r="CE147" s="303"/>
      <c r="CF147" s="303"/>
      <c r="CG147" s="303"/>
      <c r="CH147" s="303"/>
      <c r="CI147" s="303"/>
      <c r="CJ147" s="303"/>
      <c r="CK147" s="300">
        <v>0.5</v>
      </c>
      <c r="CL147" s="303"/>
      <c r="CM147" s="303"/>
      <c r="CN147" s="303"/>
      <c r="CO147" s="303"/>
      <c r="CP147" s="303"/>
      <c r="CQ147" s="303"/>
      <c r="CR147" s="303"/>
      <c r="CS147" s="303"/>
      <c r="CT147" s="303"/>
      <c r="CU147" s="303"/>
      <c r="CV147" s="303"/>
      <c r="CW147" s="303"/>
      <c r="CX147" s="303"/>
      <c r="CY147" s="303"/>
      <c r="CZ147" s="303"/>
      <c r="DA147" s="303"/>
      <c r="DB147" s="303"/>
      <c r="DC147" s="303"/>
      <c r="DD147" s="303"/>
      <c r="DE147" s="303"/>
      <c r="DF147" s="303"/>
      <c r="DG147" s="303"/>
      <c r="DH147" s="303"/>
      <c r="DI147" s="303"/>
      <c r="DJ147" s="303"/>
      <c r="DK147" s="303"/>
      <c r="DL147" s="303"/>
      <c r="DM147" s="303"/>
      <c r="DN147" s="303"/>
      <c r="DO147" s="303"/>
      <c r="DP147" s="303"/>
      <c r="DQ147" s="303"/>
      <c r="DR147" s="303"/>
      <c r="DS147" s="303"/>
      <c r="DT147" s="303"/>
      <c r="DU147" s="303"/>
      <c r="DV147" s="303"/>
      <c r="DW147" s="303"/>
      <c r="DX147" s="303"/>
      <c r="DY147" s="303"/>
      <c r="DZ147" s="303"/>
      <c r="EA147" s="303"/>
      <c r="EB147" s="303"/>
      <c r="EC147" s="303"/>
      <c r="ED147" s="303"/>
      <c r="EE147" s="303"/>
      <c r="EF147" s="303"/>
      <c r="EG147" s="303"/>
      <c r="EH147" s="303"/>
      <c r="EI147" s="303"/>
      <c r="EJ147" s="303"/>
      <c r="EK147" s="303"/>
      <c r="EL147" s="303"/>
      <c r="EM147" s="303"/>
      <c r="EN147" s="303"/>
      <c r="EO147" s="303"/>
      <c r="EP147" s="303"/>
      <c r="EQ147" s="303"/>
      <c r="ER147" s="303"/>
      <c r="ES147" s="303"/>
      <c r="ET147" s="303"/>
      <c r="EU147" s="303"/>
      <c r="EV147" s="303"/>
      <c r="EW147" s="303"/>
      <c r="EX147" s="303"/>
      <c r="EY147" s="303"/>
      <c r="EZ147" s="303"/>
      <c r="FA147" s="303"/>
      <c r="FB147" s="303"/>
      <c r="FC147" s="303"/>
      <c r="FD147" s="303"/>
      <c r="FE147" s="303"/>
      <c r="FF147" s="303"/>
      <c r="FG147" s="303"/>
      <c r="FH147" s="303"/>
      <c r="FI147" s="303"/>
      <c r="FJ147" s="303"/>
      <c r="FK147" s="303"/>
      <c r="FL147" s="303"/>
      <c r="FM147" s="303"/>
      <c r="FN147" s="303"/>
      <c r="FO147" s="303"/>
      <c r="FP147" s="303"/>
      <c r="FQ147" s="303"/>
      <c r="FR147" s="303"/>
      <c r="FS147" s="303"/>
      <c r="FT147" s="303"/>
      <c r="FU147" s="303"/>
      <c r="FV147" s="303"/>
      <c r="FW147" s="303"/>
      <c r="FX147" s="303"/>
      <c r="FY147" s="303"/>
      <c r="FZ147" s="303"/>
      <c r="GA147" s="303"/>
      <c r="GB147" s="303"/>
      <c r="GC147" s="303"/>
      <c r="GD147" s="303"/>
      <c r="GE147" s="303"/>
      <c r="GF147" s="303"/>
      <c r="GG147" s="303"/>
      <c r="GH147" s="303"/>
      <c r="GI147" s="303"/>
      <c r="GJ147" s="303"/>
      <c r="GK147" s="303"/>
      <c r="GL147" s="303"/>
      <c r="GM147" s="303"/>
      <c r="GN147" s="303"/>
      <c r="GO147" s="303"/>
      <c r="GP147" s="303"/>
      <c r="GQ147" s="303"/>
    </row>
    <row r="148" spans="2:199" s="315" customFormat="1" outlineLevel="1">
      <c r="B148" s="182" t="s">
        <v>400</v>
      </c>
      <c r="C148" s="207">
        <v>7</v>
      </c>
    </row>
    <row r="149" spans="2:199" s="315" customFormat="1" outlineLevel="1">
      <c r="B149" s="182" t="s">
        <v>467</v>
      </c>
      <c r="C149" s="207" t="s">
        <v>465</v>
      </c>
      <c r="D149" s="170"/>
      <c r="E149" s="170"/>
      <c r="F149" s="170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  <c r="AA149" s="170"/>
      <c r="AB149" s="170"/>
      <c r="AC149" s="170"/>
      <c r="AD149" s="170"/>
      <c r="AE149" s="170"/>
      <c r="AF149" s="170"/>
      <c r="AG149" s="170"/>
      <c r="AH149" s="170"/>
      <c r="AI149" s="170"/>
      <c r="AJ149" s="170"/>
      <c r="AK149" s="170"/>
      <c r="AL149" s="170"/>
      <c r="AM149" s="170"/>
      <c r="AN149" s="170"/>
      <c r="AO149" s="170"/>
      <c r="AP149" s="170"/>
      <c r="AQ149" s="170"/>
      <c r="AR149" s="170"/>
      <c r="AS149" s="170"/>
      <c r="AT149" s="170"/>
      <c r="AU149" s="170"/>
      <c r="AV149" s="170"/>
      <c r="AW149" s="170"/>
      <c r="AX149" s="170"/>
      <c r="AY149" s="170"/>
      <c r="AZ149" s="170"/>
      <c r="BA149" s="170"/>
      <c r="BB149" s="170"/>
      <c r="BC149" s="170"/>
      <c r="BD149" s="170"/>
      <c r="BE149" s="170"/>
      <c r="BF149" s="170"/>
      <c r="BG149" s="170"/>
      <c r="BH149" s="170"/>
      <c r="BI149" s="170"/>
      <c r="BJ149" s="170"/>
      <c r="BK149" s="170"/>
      <c r="BL149" s="170"/>
      <c r="BM149" s="170"/>
      <c r="BN149" s="170"/>
      <c r="BO149" s="170"/>
      <c r="BP149" s="170"/>
      <c r="BQ149" s="170"/>
      <c r="BR149" s="170"/>
      <c r="BS149" s="170"/>
      <c r="BT149" s="170"/>
      <c r="BU149" s="170"/>
      <c r="BV149" s="170"/>
      <c r="BW149" s="170"/>
      <c r="BX149" s="170"/>
      <c r="BY149" s="170"/>
      <c r="BZ149" s="170"/>
      <c r="CA149" s="170"/>
      <c r="CB149" s="170"/>
      <c r="CC149" s="170"/>
      <c r="CD149" s="170"/>
      <c r="CE149" s="170"/>
      <c r="CF149" s="170"/>
      <c r="CG149" s="170"/>
      <c r="CH149" s="170"/>
      <c r="CI149" s="170"/>
      <c r="CJ149" s="170"/>
      <c r="CK149" s="170"/>
      <c r="CL149" s="170"/>
      <c r="CM149" s="170"/>
      <c r="CN149" s="170"/>
      <c r="CO149" s="170"/>
      <c r="CP149" s="170"/>
      <c r="CQ149" s="170"/>
      <c r="CR149" s="170"/>
      <c r="CS149" s="170"/>
      <c r="CT149" s="170"/>
      <c r="CU149" s="170"/>
      <c r="CV149" s="170"/>
      <c r="CW149" s="170"/>
      <c r="CX149" s="170"/>
      <c r="CY149" s="170"/>
      <c r="CZ149" s="170"/>
      <c r="DA149" s="170"/>
      <c r="DB149" s="170"/>
      <c r="DC149" s="170"/>
      <c r="DD149" s="170"/>
      <c r="DE149" s="170"/>
      <c r="DF149" s="170"/>
      <c r="DG149" s="170"/>
      <c r="DH149" s="170"/>
      <c r="DI149" s="170"/>
      <c r="DJ149" s="170"/>
      <c r="DK149" s="170"/>
      <c r="DL149" s="170"/>
      <c r="DM149" s="170"/>
      <c r="DN149" s="170"/>
      <c r="DO149" s="170"/>
      <c r="DP149" s="170"/>
      <c r="DQ149" s="170"/>
      <c r="DR149" s="170"/>
      <c r="DS149" s="170"/>
      <c r="DT149" s="170"/>
      <c r="DU149" s="170"/>
      <c r="DV149" s="170"/>
      <c r="DW149" s="170"/>
      <c r="DX149" s="170"/>
      <c r="DY149" s="170"/>
      <c r="DZ149" s="170"/>
      <c r="EA149" s="170"/>
      <c r="EB149" s="170"/>
      <c r="EC149" s="170"/>
      <c r="ED149" s="170"/>
      <c r="EE149" s="170"/>
      <c r="EF149" s="170"/>
      <c r="EG149" s="170"/>
      <c r="EH149" s="170"/>
      <c r="EI149" s="170"/>
      <c r="EJ149" s="170"/>
      <c r="EK149" s="170"/>
      <c r="EL149" s="170"/>
      <c r="EM149" s="170"/>
      <c r="EN149" s="170"/>
      <c r="EO149" s="170"/>
      <c r="EP149" s="170"/>
      <c r="EQ149" s="170"/>
      <c r="ER149" s="170"/>
      <c r="ES149" s="170"/>
      <c r="ET149" s="170"/>
      <c r="EU149" s="170"/>
      <c r="EV149" s="170"/>
      <c r="EW149" s="170"/>
      <c r="EX149" s="170"/>
      <c r="EY149" s="170"/>
      <c r="EZ149" s="170"/>
      <c r="FA149" s="170"/>
      <c r="FB149" s="170"/>
      <c r="FC149" s="170"/>
      <c r="FD149" s="170"/>
      <c r="FE149" s="170"/>
      <c r="FF149" s="170"/>
      <c r="FG149" s="170"/>
      <c r="FH149" s="170"/>
      <c r="FI149" s="170"/>
      <c r="FJ149" s="170"/>
      <c r="FK149" s="170"/>
      <c r="FL149" s="170"/>
      <c r="FM149" s="170"/>
      <c r="FN149" s="170"/>
      <c r="FO149" s="170"/>
      <c r="FP149" s="170"/>
      <c r="FQ149" s="170"/>
      <c r="FR149" s="170"/>
      <c r="FS149" s="170"/>
      <c r="FT149" s="170"/>
      <c r="FU149" s="170"/>
      <c r="FV149" s="170"/>
      <c r="FW149" s="170"/>
      <c r="FX149" s="170"/>
      <c r="FY149" s="170"/>
      <c r="FZ149" s="170"/>
      <c r="GA149" s="170"/>
      <c r="GB149" s="170"/>
      <c r="GC149" s="170"/>
      <c r="GD149" s="170"/>
      <c r="GE149" s="170"/>
      <c r="GF149" s="170"/>
      <c r="GG149" s="170"/>
      <c r="GH149" s="170"/>
      <c r="GI149" s="170"/>
      <c r="GJ149" s="170"/>
      <c r="GK149" s="170"/>
      <c r="GL149" s="170"/>
      <c r="GM149" s="170"/>
      <c r="GN149" s="170"/>
      <c r="GO149" s="170"/>
      <c r="GP149" s="170"/>
      <c r="GQ149" s="170"/>
    </row>
    <row r="150" spans="2:199" s="315" customFormat="1" outlineLevel="1">
      <c r="B150" s="182" t="s">
        <v>403</v>
      </c>
      <c r="C150" s="152">
        <v>1.4E-2</v>
      </c>
      <c r="D150" s="170"/>
      <c r="E150" s="170">
        <f>(1+VLOOKUP(EOMONTH(E142,0),Macroeconomics!$B$67:$R$380,Macroeconomics!$C$66,0))*(1+$C150)^(1/12)-1</f>
        <v>7.5303218086089085E-3</v>
      </c>
      <c r="F150" s="170">
        <f>(1+VLOOKUP(EOMONTH(F142,0),Macroeconomics!$B$67:$R$380,Macroeconomics!$C$66,0))*(1+$C150)^(1/12)-1</f>
        <v>8.0932860704767684E-3</v>
      </c>
      <c r="G150" s="170">
        <f>(1+VLOOKUP(EOMONTH(G142,0),Macroeconomics!$B$67:$R$380,Macroeconomics!$C$66,0))*(1+$C150)^(1/12)-1</f>
        <v>8.2871214581359265E-3</v>
      </c>
      <c r="H150" s="170">
        <f>(1+VLOOKUP(EOMONTH(H142,0),Macroeconomics!$B$67:$R$380,Macroeconomics!$C$66,0))*(1+$C150)^(1/12)-1</f>
        <v>7.032111925069362E-3</v>
      </c>
      <c r="I150" s="170">
        <f>(1+VLOOKUP(EOMONTH(I142,0),Macroeconomics!$B$67:$R$380,Macroeconomics!$C$66,0))*(1+$C150)^(1/12)-1</f>
        <v>7.9732225313480232E-3</v>
      </c>
      <c r="J150" s="170">
        <f>(1+VLOOKUP(EOMONTH(J142,0),Macroeconomics!$B$67:$R$380,Macroeconomics!$C$66,0))*(1+$C150)^(1/12)-1</f>
        <v>7.3457177952431785E-3</v>
      </c>
      <c r="K150" s="170">
        <f>(1+VLOOKUP(EOMONTH(K142,0),Macroeconomics!$B$67:$R$380,Macroeconomics!$C$66,0))*(1+$C150)^(1/12)-1</f>
        <v>7.3457177952434005E-3</v>
      </c>
      <c r="L150" s="170">
        <f>(1+VLOOKUP(EOMONTH(L142,0),Macroeconomics!$B$67:$R$380,Macroeconomics!$C$66,0))*(1+$C150)^(1/12)-1</f>
        <v>7.9732225313480232E-3</v>
      </c>
      <c r="M150" s="170">
        <f>(1+VLOOKUP(EOMONTH(M142,0),Macroeconomics!$B$67:$R$380,Macroeconomics!$C$66,0))*(1+$C150)^(1/12)-1</f>
        <v>6.7186036795869875E-3</v>
      </c>
      <c r="N150" s="170">
        <f>(1+VLOOKUP(EOMONTH(N142,0),Macroeconomics!$B$67:$R$380,Macroeconomics!$C$66,0))*(1+$C150)^(1/12)-1</f>
        <v>7.3457177952434005E-3</v>
      </c>
      <c r="O150" s="170">
        <f>(1+VLOOKUP(EOMONTH(O142,0),Macroeconomics!$B$67:$R$380,Macroeconomics!$C$66,0))*(1+$C150)^(1/12)-1</f>
        <v>7.9732225313480232E-3</v>
      </c>
      <c r="P150" s="170">
        <f>(1+VLOOKUP(EOMONTH(P142,0),Macroeconomics!$B$67:$R$380,Macroeconomics!$C$66,0))*(1+$C150)^(1/12)-1</f>
        <v>7.6594213205274375E-3</v>
      </c>
      <c r="Q150" s="170">
        <f>(1+VLOOKUP(EOMONTH(Q142,0),Macroeconomics!$B$67:$R$380,Macroeconomics!$C$66,0))*(1+$C150)^(1/12)-1</f>
        <v>7.3457177952431785E-3</v>
      </c>
      <c r="R150" s="170">
        <f>(1+VLOOKUP(EOMONTH(R142,0),Macroeconomics!$B$67:$R$380,Macroeconomics!$C$66,0))*(1+$C150)^(1/12)-1</f>
        <v>8.2871214581361485E-3</v>
      </c>
      <c r="S150" s="170">
        <f>(1+VLOOKUP(EOMONTH(S142,0),Macroeconomics!$B$67:$R$380,Macroeconomics!$C$66,0))*(1+$C150)^(1/12)-1</f>
        <v>7.9732225313478011E-3</v>
      </c>
      <c r="T150" s="170">
        <f>(1+VLOOKUP(EOMONTH(T142,0),Macroeconomics!$B$67:$R$380,Macroeconomics!$C$66,0))*(1+$C150)^(1/12)-1</f>
        <v>7.8533167754291089E-3</v>
      </c>
      <c r="U150" s="170">
        <f>(1+VLOOKUP(EOMONTH(U142,0),Macroeconomics!$B$67:$R$380,Macroeconomics!$C$66,0))*(1+$C150)^(1/12)-1</f>
        <v>9.1250309136290397E-3</v>
      </c>
      <c r="V150" s="170">
        <f>(1+VLOOKUP(EOMONTH(V142,0),Macroeconomics!$B$67:$R$380,Macroeconomics!$C$66,0))*(1+$C150)^(1/12)-1</f>
        <v>8.2831049828979708E-3</v>
      </c>
      <c r="W150" s="170">
        <f>(1+VLOOKUP(EOMONTH(W142,0),Macroeconomics!$B$67:$R$380,Macroeconomics!$C$66,0))*(1+$C150)^(1/12)-1</f>
        <v>8.8166884312714799E-3</v>
      </c>
      <c r="X150" s="170">
        <f>(1+VLOOKUP(EOMONTH(X142,0),Macroeconomics!$B$67:$R$380,Macroeconomics!$C$66,0))*(1+$C150)^(1/12)-1</f>
        <v>9.1860082392636322E-3</v>
      </c>
      <c r="Y150" s="170">
        <f>(1+VLOOKUP(EOMONTH(Y142,0),Macroeconomics!$B$67:$R$380,Macroeconomics!$C$66,0))*(1+$C150)^(1/12)-1</f>
        <v>8.4475037696141175E-3</v>
      </c>
      <c r="Z150" s="170">
        <f>(1+VLOOKUP(EOMONTH(Z142,0),Macroeconomics!$B$67:$R$380,Macroeconomics!$C$66,0))*(1+$C150)^(1/12)-1</f>
        <v>8.0784542048206731E-3</v>
      </c>
      <c r="AA150" s="170">
        <f>(1+VLOOKUP(EOMONTH(AA142,0),Macroeconomics!$B$67:$R$380,Macroeconomics!$C$66,0))*(1+$C150)^(1/12)-1</f>
        <v>8.4475037696141175E-3</v>
      </c>
      <c r="AB150" s="170">
        <f>(1+VLOOKUP(EOMONTH(AB142,0),Macroeconomics!$B$67:$R$380,Macroeconomics!$C$66,0))*(1+$C150)^(1/12)-1</f>
        <v>8.8166884312714799E-3</v>
      </c>
      <c r="AC150" s="170">
        <f>(1+VLOOKUP(EOMONTH(AC142,0),Macroeconomics!$B$67:$R$380,Macroeconomics!$C$66,0))*(1+$C150)^(1/12)-1</f>
        <v>8.4475037696141175E-3</v>
      </c>
      <c r="AD150" s="170">
        <f>(1+VLOOKUP(EOMONTH(AD142,0),Macroeconomics!$B$67:$R$380,Macroeconomics!$C$66,0))*(1+$C150)^(1/12)-1</f>
        <v>9.5554632430754349E-3</v>
      </c>
      <c r="AE150" s="170">
        <f>(1+VLOOKUP(EOMONTH(AE142,0),Macroeconomics!$B$67:$R$380,Macroeconomics!$C$66,0))*(1+$C150)^(1/12)-1</f>
        <v>8.8166884312714799E-3</v>
      </c>
      <c r="AF150" s="170">
        <f>(1+VLOOKUP(EOMONTH(AF142,0),Macroeconomics!$B$67:$R$380,Macroeconomics!$C$66,0))*(1+$C150)^(1/12)-1</f>
        <v>9.1860082392636322E-3</v>
      </c>
      <c r="AG150" s="170">
        <f>(1+VLOOKUP(EOMONTH(AG142,0),Macroeconomics!$B$67:$R$380,Macroeconomics!$C$66,0))*(1+$C150)^(1/12)-1</f>
        <v>9.5554632430754349E-3</v>
      </c>
      <c r="AH150" s="170">
        <f>(1+VLOOKUP(EOMONTH(AH142,0),Macroeconomics!$B$67:$R$380,Macroeconomics!$C$66,0))*(1+$C150)^(1/12)-1</f>
        <v>8.4475037696141175E-3</v>
      </c>
      <c r="AI150" s="170">
        <f>(1+VLOOKUP(EOMONTH(AI142,0),Macroeconomics!$B$67:$R$380,Macroeconomics!$C$66,0))*(1+$C150)^(1/12)-1</f>
        <v>9.1860082392634101E-3</v>
      </c>
      <c r="AJ150" s="170">
        <f>(1+VLOOKUP(EOMONTH(AJ142,0),Macroeconomics!$B$67:$R$380,Macroeconomics!$C$66,0))*(1+$C150)^(1/12)-1</f>
        <v>8.8166884312714799E-3</v>
      </c>
      <c r="AK150" s="170">
        <f>(1+VLOOKUP(EOMONTH(AK142,0),Macroeconomics!$B$67:$R$380,Macroeconomics!$C$66,0))*(1+$C150)^(1/12)-1</f>
        <v>7.7095396874362621E-3</v>
      </c>
      <c r="AL150" s="170">
        <f>(1+VLOOKUP(EOMONTH(AL142,0),Macroeconomics!$B$67:$R$380,Macroeconomics!$C$66,0))*(1+$C150)^(1/12)-1</f>
        <v>9.1860082392636322E-3</v>
      </c>
      <c r="AM150" s="170">
        <f>(1+VLOOKUP(EOMONTH(AM142,0),Macroeconomics!$B$67:$R$380,Macroeconomics!$C$66,0))*(1+$C150)^(1/12)-1</f>
        <v>8.4475037696141175E-3</v>
      </c>
      <c r="AN150" s="170">
        <f>(1+VLOOKUP(EOMONTH(AN142,0),Macroeconomics!$B$67:$R$380,Macroeconomics!$C$66,0))*(1+$C150)^(1/12)-1</f>
        <v>8.4475037696143396E-3</v>
      </c>
      <c r="AO150" s="170">
        <f>(1+VLOOKUP(EOMONTH(AO142,0),Macroeconomics!$B$67:$R$380,Macroeconomics!$C$66,0))*(1+$C150)^(1/12)-1</f>
        <v>8.8166884312714799E-3</v>
      </c>
      <c r="AP150" s="170">
        <f>(1+VLOOKUP(EOMONTH(AP142,0),Macroeconomics!$B$67:$R$380,Macroeconomics!$C$66,0))*(1+$C150)^(1/12)-1</f>
        <v>9.5554632430754349E-3</v>
      </c>
      <c r="AQ150" s="170">
        <f>(1+VLOOKUP(EOMONTH(AQ142,0),Macroeconomics!$B$67:$R$380,Macroeconomics!$C$66,0))*(1+$C150)^(1/12)-1</f>
        <v>8.8166884312714799E-3</v>
      </c>
      <c r="AR150" s="170">
        <f>(1+VLOOKUP(EOMONTH(AR142,0),Macroeconomics!$B$67:$R$380,Macroeconomics!$C$66,0))*(1+$C150)^(1/12)-1</f>
        <v>8.8166884312714799E-3</v>
      </c>
      <c r="AS150" s="170">
        <f>(1+VLOOKUP(EOMONTH(AS142,0),Macroeconomics!$B$67:$R$380,Macroeconomics!$C$66,0))*(1+$C150)^(1/12)-1</f>
        <v>8.8166884312714799E-3</v>
      </c>
      <c r="AT150" s="170">
        <f>(1+VLOOKUP(EOMONTH(AT142,0),Macroeconomics!$B$67:$R$380,Macroeconomics!$C$66,0))*(1+$C150)^(1/12)-1</f>
        <v>8.4475037696141175E-3</v>
      </c>
      <c r="AU150" s="170">
        <f>(1+VLOOKUP(EOMONTH(AU142,0),Macroeconomics!$B$67:$R$380,Macroeconomics!$C$66,0))*(1+$C150)^(1/12)-1</f>
        <v>9.1860082392634101E-3</v>
      </c>
      <c r="AV150" s="170">
        <f>(1+VLOOKUP(EOMONTH(AV142,0),Macroeconomics!$B$67:$R$380,Macroeconomics!$C$66,0))*(1+$C150)^(1/12)-1</f>
        <v>8.8899980475856122E-3</v>
      </c>
      <c r="AW150" s="170">
        <f>(1+VLOOKUP(EOMONTH(AW142,0),Macroeconomics!$B$67:$R$380,Macroeconomics!$C$66,0))*(1+$C150)^(1/12)-1</f>
        <v>8.8899980475856122E-3</v>
      </c>
      <c r="AX150" s="170">
        <f>(1+VLOOKUP(EOMONTH(AX142,0),Macroeconomics!$B$67:$R$380,Macroeconomics!$C$66,0))*(1+$C150)^(1/12)-1</f>
        <v>8.8899980475856122E-3</v>
      </c>
      <c r="AY150" s="170">
        <f>(1+VLOOKUP(EOMONTH(AY142,0),Macroeconomics!$B$67:$R$380,Macroeconomics!$C$66,0))*(1+$C150)^(1/12)-1</f>
        <v>8.8899980475856122E-3</v>
      </c>
      <c r="AZ150" s="170">
        <f>(1+VLOOKUP(EOMONTH(AZ142,0),Macroeconomics!$B$67:$R$380,Macroeconomics!$C$66,0))*(1+$C150)^(1/12)-1</f>
        <v>8.8899980475856122E-3</v>
      </c>
      <c r="BA150" s="170">
        <f>(1+VLOOKUP(EOMONTH(BA142,0),Macroeconomics!$B$67:$R$380,Macroeconomics!$C$66,0))*(1+$C150)^(1/12)-1</f>
        <v>8.8899980475856122E-3</v>
      </c>
      <c r="BB150" s="170">
        <f>(1+VLOOKUP(EOMONTH(BB142,0),Macroeconomics!$B$67:$R$380,Macroeconomics!$C$66,0))*(1+$C150)^(1/12)-1</f>
        <v>8.8899980475856122E-3</v>
      </c>
      <c r="BC150" s="170">
        <f>(1+VLOOKUP(EOMONTH(BC142,0),Macroeconomics!$B$67:$R$380,Macroeconomics!$C$66,0))*(1+$C150)^(1/12)-1</f>
        <v>8.8899980475856122E-3</v>
      </c>
      <c r="BD150" s="170">
        <f>(1+VLOOKUP(EOMONTH(BD142,0),Macroeconomics!$B$67:$R$380,Macroeconomics!$C$66,0))*(1+$C150)^(1/12)-1</f>
        <v>8.8899980475856122E-3</v>
      </c>
      <c r="BE150" s="170">
        <f>(1+VLOOKUP(EOMONTH(BE142,0),Macroeconomics!$B$67:$R$380,Macroeconomics!$C$66,0))*(1+$C150)^(1/12)-1</f>
        <v>8.8899980475856122E-3</v>
      </c>
      <c r="BF150" s="170">
        <f>(1+VLOOKUP(EOMONTH(BF142,0),Macroeconomics!$B$67:$R$380,Macroeconomics!$C$66,0))*(1+$C150)^(1/12)-1</f>
        <v>8.8899980475856122E-3</v>
      </c>
      <c r="BG150" s="170">
        <f>(1+VLOOKUP(EOMONTH(BG142,0),Macroeconomics!$B$67:$R$380,Macroeconomics!$C$66,0))*(1+$C150)^(1/12)-1</f>
        <v>8.8899980475856122E-3</v>
      </c>
      <c r="BH150" s="170">
        <f>(1+VLOOKUP(EOMONTH(BH142,0),Macroeconomics!$B$67:$R$380,Macroeconomics!$C$66,0))*(1+$C150)^(1/12)-1</f>
        <v>8.8899980475856122E-3</v>
      </c>
      <c r="BI150" s="170">
        <f>(1+VLOOKUP(EOMONTH(BI142,0),Macroeconomics!$B$67:$R$380,Macroeconomics!$C$66,0))*(1+$C150)^(1/12)-1</f>
        <v>8.8899980475856122E-3</v>
      </c>
      <c r="BJ150" s="170">
        <f>(1+VLOOKUP(EOMONTH(BJ142,0),Macroeconomics!$B$67:$R$380,Macroeconomics!$C$66,0))*(1+$C150)^(1/12)-1</f>
        <v>8.8899980475856122E-3</v>
      </c>
      <c r="BK150" s="170">
        <f>(1+VLOOKUP(EOMONTH(BK142,0),Macroeconomics!$B$67:$R$380,Macroeconomics!$C$66,0))*(1+$C150)^(1/12)-1</f>
        <v>8.8899980475856122E-3</v>
      </c>
      <c r="BL150" s="170">
        <f>(1+VLOOKUP(EOMONTH(BL142,0),Macroeconomics!$B$67:$R$380,Macroeconomics!$C$66,0))*(1+$C150)^(1/12)-1</f>
        <v>8.8899980475856122E-3</v>
      </c>
      <c r="BM150" s="170">
        <f>(1+VLOOKUP(EOMONTH(BM142,0),Macroeconomics!$B$67:$R$380,Macroeconomics!$C$66,0))*(1+$C150)^(1/12)-1</f>
        <v>8.8899980475856122E-3</v>
      </c>
      <c r="BN150" s="170">
        <f>(1+VLOOKUP(EOMONTH(BN142,0),Macroeconomics!$B$67:$R$380,Macroeconomics!$C$66,0))*(1+$C150)^(1/12)-1</f>
        <v>8.8899980475856122E-3</v>
      </c>
      <c r="BO150" s="170">
        <f>(1+VLOOKUP(EOMONTH(BO142,0),Macroeconomics!$B$67:$R$380,Macroeconomics!$C$66,0))*(1+$C150)^(1/12)-1</f>
        <v>8.8899980475856122E-3</v>
      </c>
      <c r="BP150" s="170">
        <f>(1+VLOOKUP(EOMONTH(BP142,0),Macroeconomics!$B$67:$R$380,Macroeconomics!$C$66,0))*(1+$C150)^(1/12)-1</f>
        <v>8.8899980475856122E-3</v>
      </c>
      <c r="BQ150" s="170">
        <f>(1+VLOOKUP(EOMONTH(BQ142,0),Macroeconomics!$B$67:$R$380,Macroeconomics!$C$66,0))*(1+$C150)^(1/12)-1</f>
        <v>8.8899980475856122E-3</v>
      </c>
      <c r="BR150" s="170">
        <f>(1+VLOOKUP(EOMONTH(BR142,0),Macroeconomics!$B$67:$R$380,Macroeconomics!$C$66,0))*(1+$C150)^(1/12)-1</f>
        <v>8.8899980475856122E-3</v>
      </c>
      <c r="BS150" s="170">
        <f>(1+VLOOKUP(EOMONTH(BS142,0),Macroeconomics!$B$67:$R$380,Macroeconomics!$C$66,0))*(1+$C150)^(1/12)-1</f>
        <v>8.8899980475856122E-3</v>
      </c>
      <c r="BT150" s="170">
        <f>(1+VLOOKUP(EOMONTH(BT142,0),Macroeconomics!$B$67:$R$380,Macroeconomics!$C$66,0))*(1+$C150)^(1/12)-1</f>
        <v>8.7058267444228843E-3</v>
      </c>
      <c r="BU150" s="170">
        <f>(1+VLOOKUP(EOMONTH(BU142,0),Macroeconomics!$B$67:$R$380,Macroeconomics!$C$66,0))*(1+$C150)^(1/12)-1</f>
        <v>8.7058267444228843E-3</v>
      </c>
      <c r="BV150" s="170">
        <f>(1+VLOOKUP(EOMONTH(BV142,0),Macroeconomics!$B$67:$R$380,Macroeconomics!$C$66,0))*(1+$C150)^(1/12)-1</f>
        <v>8.7058267444228843E-3</v>
      </c>
      <c r="BW150" s="170">
        <f>(1+VLOOKUP(EOMONTH(BW142,0),Macroeconomics!$B$67:$R$380,Macroeconomics!$C$66,0))*(1+$C150)^(1/12)-1</f>
        <v>8.7058267444228843E-3</v>
      </c>
      <c r="BX150" s="170">
        <f>(1+VLOOKUP(EOMONTH(BX142,0),Macroeconomics!$B$67:$R$380,Macroeconomics!$C$66,0))*(1+$C150)^(1/12)-1</f>
        <v>8.7058267444228843E-3</v>
      </c>
      <c r="BY150" s="170">
        <f>(1+VLOOKUP(EOMONTH(BY142,0),Macroeconomics!$B$67:$R$380,Macroeconomics!$C$66,0))*(1+$C150)^(1/12)-1</f>
        <v>8.7058267444228843E-3</v>
      </c>
      <c r="BZ150" s="170">
        <f>(1+VLOOKUP(EOMONTH(BZ142,0),Macroeconomics!$B$67:$R$380,Macroeconomics!$C$66,0))*(1+$C150)^(1/12)-1</f>
        <v>8.7058267444228843E-3</v>
      </c>
      <c r="CA150" s="170">
        <f>(1+VLOOKUP(EOMONTH(CA142,0),Macroeconomics!$B$67:$R$380,Macroeconomics!$C$66,0))*(1+$C150)^(1/12)-1</f>
        <v>8.7058267444228843E-3</v>
      </c>
      <c r="CB150" s="170">
        <f>(1+VLOOKUP(EOMONTH(CB142,0),Macroeconomics!$B$67:$R$380,Macroeconomics!$C$66,0))*(1+$C150)^(1/12)-1</f>
        <v>8.7058267444228843E-3</v>
      </c>
      <c r="CC150" s="170">
        <f>(1+VLOOKUP(EOMONTH(CC142,0),Macroeconomics!$B$67:$R$380,Macroeconomics!$C$66,0))*(1+$C150)^(1/12)-1</f>
        <v>8.7058267444228843E-3</v>
      </c>
      <c r="CD150" s="170">
        <f>(1+VLOOKUP(EOMONTH(CD142,0),Macroeconomics!$B$67:$R$380,Macroeconomics!$C$66,0))*(1+$C150)^(1/12)-1</f>
        <v>8.7058267444228843E-3</v>
      </c>
      <c r="CE150" s="170">
        <f>(1+VLOOKUP(EOMONTH(CE142,0),Macroeconomics!$B$67:$R$380,Macroeconomics!$C$66,0))*(1+$C150)^(1/12)-1</f>
        <v>8.7058267444228843E-3</v>
      </c>
      <c r="CF150" s="170">
        <f>(1+VLOOKUP(EOMONTH(CF142,0),Macroeconomics!$B$67:$R$380,Macroeconomics!$C$66,0))*(1+$C150)^(1/12)-1</f>
        <v>8.6981449076508621E-3</v>
      </c>
      <c r="CG150" s="170">
        <f>(1+VLOOKUP(EOMONTH(CG142,0),Macroeconomics!$B$67:$R$380,Macroeconomics!$C$66,0))*(1+$C150)^(1/12)-1</f>
        <v>8.6981449076508621E-3</v>
      </c>
      <c r="CH150" s="170">
        <f>(1+VLOOKUP(EOMONTH(CH142,0),Macroeconomics!$B$67:$R$380,Macroeconomics!$C$66,0))*(1+$C150)^(1/12)-1</f>
        <v>8.6981449076508621E-3</v>
      </c>
      <c r="CI150" s="170">
        <f>(1+VLOOKUP(EOMONTH(CI142,0),Macroeconomics!$B$67:$R$380,Macroeconomics!$C$66,0))*(1+$C150)^(1/12)-1</f>
        <v>8.6981449076508621E-3</v>
      </c>
      <c r="CJ150" s="170">
        <f>(1+VLOOKUP(EOMONTH(CJ142,0),Macroeconomics!$B$67:$R$380,Macroeconomics!$C$66,0))*(1+$C150)^(1/12)-1</f>
        <v>8.6981449076508621E-3</v>
      </c>
      <c r="CK150" s="170">
        <f>(1+VLOOKUP(EOMONTH(CK142,0),Macroeconomics!$B$67:$R$380,Macroeconomics!$C$66,0))*(1+$C150)^(1/12)-1</f>
        <v>8.6981449076508621E-3</v>
      </c>
      <c r="CL150" s="170">
        <f>(1+VLOOKUP(EOMONTH(CL142,0),Macroeconomics!$B$67:$R$380,Macroeconomics!$C$66,0))*(1+$C150)^(1/12)-1</f>
        <v>8.6981449076508621E-3</v>
      </c>
      <c r="CM150" s="170">
        <f>(1+VLOOKUP(EOMONTH(CM142,0),Macroeconomics!$B$67:$R$380,Macroeconomics!$C$66,0))*(1+$C150)^(1/12)-1</f>
        <v>8.6981449076508621E-3</v>
      </c>
      <c r="CN150" s="170">
        <f>(1+VLOOKUP(EOMONTH(CN142,0),Macroeconomics!$B$67:$R$380,Macroeconomics!$C$66,0))*(1+$C150)^(1/12)-1</f>
        <v>8.6981449076508621E-3</v>
      </c>
      <c r="CO150" s="170">
        <f>(1+VLOOKUP(EOMONTH(CO142,0),Macroeconomics!$B$67:$R$380,Macroeconomics!$C$66,0))*(1+$C150)^(1/12)-1</f>
        <v>8.6981449076508621E-3</v>
      </c>
      <c r="CP150" s="170">
        <f>(1+VLOOKUP(EOMONTH(CP142,0),Macroeconomics!$B$67:$R$380,Macroeconomics!$C$66,0))*(1+$C150)^(1/12)-1</f>
        <v>8.6981449076508621E-3</v>
      </c>
      <c r="CQ150" s="170">
        <f>(1+VLOOKUP(EOMONTH(CQ142,0),Macroeconomics!$B$67:$R$380,Macroeconomics!$C$66,0))*(1+$C150)^(1/12)-1</f>
        <v>8.6981449076508621E-3</v>
      </c>
      <c r="CR150" s="170">
        <f>(1+VLOOKUP(EOMONTH(CR142,0),Macroeconomics!$B$67:$R$380,Macroeconomics!$C$66,0))*(1+$C150)^(1/12)-1</f>
        <v>8.6981449076508621E-3</v>
      </c>
      <c r="CS150" s="170">
        <f>(1+VLOOKUP(EOMONTH(CS142,0),Macroeconomics!$B$67:$R$380,Macroeconomics!$C$66,0))*(1+$C150)^(1/12)-1</f>
        <v>8.6981449076508621E-3</v>
      </c>
      <c r="CT150" s="170">
        <f>(1+VLOOKUP(EOMONTH(CT142,0),Macroeconomics!$B$67:$R$380,Macroeconomics!$C$66,0))*(1+$C150)^(1/12)-1</f>
        <v>8.6981449076508621E-3</v>
      </c>
      <c r="CU150" s="170">
        <f>(1+VLOOKUP(EOMONTH(CU142,0),Macroeconomics!$B$67:$R$380,Macroeconomics!$C$66,0))*(1+$C150)^(1/12)-1</f>
        <v>8.6981449076508621E-3</v>
      </c>
      <c r="CV150" s="170">
        <f>(1+VLOOKUP(EOMONTH(CV142,0),Macroeconomics!$B$67:$R$380,Macroeconomics!$C$66,0))*(1+$C150)^(1/12)-1</f>
        <v>8.6981449076508621E-3</v>
      </c>
      <c r="CW150" s="170">
        <f>(1+VLOOKUP(EOMONTH(CW142,0),Macroeconomics!$B$67:$R$380,Macroeconomics!$C$66,0))*(1+$C150)^(1/12)-1</f>
        <v>8.6981449076508621E-3</v>
      </c>
      <c r="CX150" s="170">
        <f>(1+VLOOKUP(EOMONTH(CX142,0),Macroeconomics!$B$67:$R$380,Macroeconomics!$C$66,0))*(1+$C150)^(1/12)-1</f>
        <v>8.6981449076508621E-3</v>
      </c>
      <c r="CY150" s="170">
        <f>(1+VLOOKUP(EOMONTH(CY142,0),Macroeconomics!$B$67:$R$380,Macroeconomics!$C$66,0))*(1+$C150)^(1/12)-1</f>
        <v>8.6981449076508621E-3</v>
      </c>
      <c r="CZ150" s="170">
        <f>(1+VLOOKUP(EOMONTH(CZ142,0),Macroeconomics!$B$67:$R$380,Macroeconomics!$C$66,0))*(1+$C150)^(1/12)-1</f>
        <v>8.6981449076508621E-3</v>
      </c>
      <c r="DA150" s="170">
        <f>(1+VLOOKUP(EOMONTH(DA142,0),Macroeconomics!$B$67:$R$380,Macroeconomics!$C$66,0))*(1+$C150)^(1/12)-1</f>
        <v>8.6981449076508621E-3</v>
      </c>
      <c r="DB150" s="170">
        <f>(1+VLOOKUP(EOMONTH(DB142,0),Macroeconomics!$B$67:$R$380,Macroeconomics!$C$66,0))*(1+$C150)^(1/12)-1</f>
        <v>8.6981449076508621E-3</v>
      </c>
      <c r="DC150" s="170">
        <f>(1+VLOOKUP(EOMONTH(DC142,0),Macroeconomics!$B$67:$R$380,Macroeconomics!$C$66,0))*(1+$C150)^(1/12)-1</f>
        <v>8.6981449076508621E-3</v>
      </c>
      <c r="DD150" s="170">
        <f>(1+VLOOKUP(EOMONTH(DD142,0),Macroeconomics!$B$67:$R$380,Macroeconomics!$C$66,0))*(1+$C150)^(1/12)-1</f>
        <v>8.6981449076508621E-3</v>
      </c>
      <c r="DE150" s="170">
        <f>(1+VLOOKUP(EOMONTH(DE142,0),Macroeconomics!$B$67:$R$380,Macroeconomics!$C$66,0))*(1+$C150)^(1/12)-1</f>
        <v>8.6981449076508621E-3</v>
      </c>
      <c r="DF150" s="170">
        <f>(1+VLOOKUP(EOMONTH(DF142,0),Macroeconomics!$B$67:$R$380,Macroeconomics!$C$66,0))*(1+$C150)^(1/12)-1</f>
        <v>8.6981449076508621E-3</v>
      </c>
      <c r="DG150" s="170">
        <f>(1+VLOOKUP(EOMONTH(DG142,0),Macroeconomics!$B$67:$R$380,Macroeconomics!$C$66,0))*(1+$C150)^(1/12)-1</f>
        <v>8.6981449076508621E-3</v>
      </c>
      <c r="DH150" s="170">
        <f>(1+VLOOKUP(EOMONTH(DH142,0),Macroeconomics!$B$67:$R$380,Macroeconomics!$C$66,0))*(1+$C150)^(1/12)-1</f>
        <v>8.6981449076508621E-3</v>
      </c>
      <c r="DI150" s="170">
        <f>(1+VLOOKUP(EOMONTH(DI142,0),Macroeconomics!$B$67:$R$380,Macroeconomics!$C$66,0))*(1+$C150)^(1/12)-1</f>
        <v>8.6981449076508621E-3</v>
      </c>
      <c r="DJ150" s="170">
        <f>(1+VLOOKUP(EOMONTH(DJ142,0),Macroeconomics!$B$67:$R$380,Macroeconomics!$C$66,0))*(1+$C150)^(1/12)-1</f>
        <v>8.6981449076508621E-3</v>
      </c>
      <c r="DK150" s="170">
        <f>(1+VLOOKUP(EOMONTH(DK142,0),Macroeconomics!$B$67:$R$380,Macroeconomics!$C$66,0))*(1+$C150)^(1/12)-1</f>
        <v>8.6981449076508621E-3</v>
      </c>
      <c r="DL150" s="170">
        <f>(1+VLOOKUP(EOMONTH(DL142,0),Macroeconomics!$B$67:$R$380,Macroeconomics!$C$66,0))*(1+$C150)^(1/12)-1</f>
        <v>8.6981449076508621E-3</v>
      </c>
      <c r="DM150" s="170">
        <f>(1+VLOOKUP(EOMONTH(DM142,0),Macroeconomics!$B$67:$R$380,Macroeconomics!$C$66,0))*(1+$C150)^(1/12)-1</f>
        <v>8.6981449076508621E-3</v>
      </c>
      <c r="DN150" s="170">
        <f>(1+VLOOKUP(EOMONTH(DN142,0),Macroeconomics!$B$67:$R$380,Macroeconomics!$C$66,0))*(1+$C150)^(1/12)-1</f>
        <v>8.6981449076508621E-3</v>
      </c>
      <c r="DO150" s="170">
        <f>(1+VLOOKUP(EOMONTH(DO142,0),Macroeconomics!$B$67:$R$380,Macroeconomics!$C$66,0))*(1+$C150)^(1/12)-1</f>
        <v>8.6981449076508621E-3</v>
      </c>
      <c r="DP150" s="170">
        <f>(1+VLOOKUP(EOMONTH(DP142,0),Macroeconomics!$B$67:$R$380,Macroeconomics!$C$66,0))*(1+$C150)^(1/12)-1</f>
        <v>8.5135874934449962E-3</v>
      </c>
      <c r="DQ150" s="170">
        <f>(1+VLOOKUP(EOMONTH(DQ142,0),Macroeconomics!$B$67:$R$380,Macroeconomics!$C$66,0))*(1+$C150)^(1/12)-1</f>
        <v>8.5135874934449962E-3</v>
      </c>
      <c r="DR150" s="170">
        <f>(1+VLOOKUP(EOMONTH(DR142,0),Macroeconomics!$B$67:$R$380,Macroeconomics!$C$66,0))*(1+$C150)^(1/12)-1</f>
        <v>8.5135874934449962E-3</v>
      </c>
      <c r="DS150" s="170">
        <f>(1+VLOOKUP(EOMONTH(DS142,0),Macroeconomics!$B$67:$R$380,Macroeconomics!$C$66,0))*(1+$C150)^(1/12)-1</f>
        <v>8.5135874934449962E-3</v>
      </c>
      <c r="DT150" s="170">
        <f>(1+VLOOKUP(EOMONTH(DT142,0),Macroeconomics!$B$67:$R$380,Macroeconomics!$C$66,0))*(1+$C150)^(1/12)-1</f>
        <v>8.5135874934449962E-3</v>
      </c>
      <c r="DU150" s="170">
        <f>(1+VLOOKUP(EOMONTH(DU142,0),Macroeconomics!$B$67:$R$380,Macroeconomics!$C$66,0))*(1+$C150)^(1/12)-1</f>
        <v>8.5135874934449962E-3</v>
      </c>
      <c r="DV150" s="170">
        <f>(1+VLOOKUP(EOMONTH(DV142,0),Macroeconomics!$B$67:$R$380,Macroeconomics!$C$66,0))*(1+$C150)^(1/12)-1</f>
        <v>8.5135874934449962E-3</v>
      </c>
      <c r="DW150" s="170">
        <f>(1+VLOOKUP(EOMONTH(DW142,0),Macroeconomics!$B$67:$R$380,Macroeconomics!$C$66,0))*(1+$C150)^(1/12)-1</f>
        <v>8.5135874934449962E-3</v>
      </c>
      <c r="DX150" s="170">
        <f>(1+VLOOKUP(EOMONTH(DX142,0),Macroeconomics!$B$67:$R$380,Macroeconomics!$C$66,0))*(1+$C150)^(1/12)-1</f>
        <v>8.5135874934449962E-3</v>
      </c>
      <c r="DY150" s="170">
        <f>(1+VLOOKUP(EOMONTH(DY142,0),Macroeconomics!$B$67:$R$380,Macroeconomics!$C$66,0))*(1+$C150)^(1/12)-1</f>
        <v>8.5135874934449962E-3</v>
      </c>
      <c r="DZ150" s="170">
        <f>(1+VLOOKUP(EOMONTH(DZ142,0),Macroeconomics!$B$67:$R$380,Macroeconomics!$C$66,0))*(1+$C150)^(1/12)-1</f>
        <v>8.5135874934449962E-3</v>
      </c>
      <c r="EA150" s="170">
        <f>(1+VLOOKUP(EOMONTH(EA142,0),Macroeconomics!$B$67:$R$380,Macroeconomics!$C$66,0))*(1+$C150)^(1/12)-1</f>
        <v>8.5135874934449962E-3</v>
      </c>
      <c r="EB150" s="170">
        <f>(1+VLOOKUP(EOMONTH(EB142,0),Macroeconomics!$B$67:$R$380,Macroeconomics!$C$66,0))*(1+$C150)^(1/12)-1</f>
        <v>8.5135874934449962E-3</v>
      </c>
      <c r="EC150" s="170">
        <f>(1+VLOOKUP(EOMONTH(EC142,0),Macroeconomics!$B$67:$R$380,Macroeconomics!$C$66,0))*(1+$C150)^(1/12)-1</f>
        <v>8.5135874934449962E-3</v>
      </c>
      <c r="ED150" s="170">
        <f>(1+VLOOKUP(EOMONTH(ED142,0),Macroeconomics!$B$67:$R$380,Macroeconomics!$C$66,0))*(1+$C150)^(1/12)-1</f>
        <v>8.5135874934449962E-3</v>
      </c>
      <c r="EE150" s="170">
        <f>(1+VLOOKUP(EOMONTH(EE142,0),Macroeconomics!$B$67:$R$380,Macroeconomics!$C$66,0))*(1+$C150)^(1/12)-1</f>
        <v>8.5135874934449962E-3</v>
      </c>
      <c r="EF150" s="170">
        <f>(1+VLOOKUP(EOMONTH(EF142,0),Macroeconomics!$B$67:$R$380,Macroeconomics!$C$66,0))*(1+$C150)^(1/12)-1</f>
        <v>8.5135874934449962E-3</v>
      </c>
      <c r="EG150" s="170">
        <f>(1+VLOOKUP(EOMONTH(EG142,0),Macroeconomics!$B$67:$R$380,Macroeconomics!$C$66,0))*(1+$C150)^(1/12)-1</f>
        <v>8.5135874934449962E-3</v>
      </c>
      <c r="EH150" s="170">
        <f>(1+VLOOKUP(EOMONTH(EH142,0),Macroeconomics!$B$67:$R$380,Macroeconomics!$C$66,0))*(1+$C150)^(1/12)-1</f>
        <v>8.5135874934449962E-3</v>
      </c>
      <c r="EI150" s="170">
        <f>(1+VLOOKUP(EOMONTH(EI142,0),Macroeconomics!$B$67:$R$380,Macroeconomics!$C$66,0))*(1+$C150)^(1/12)-1</f>
        <v>8.5135874934449962E-3</v>
      </c>
      <c r="EJ150" s="170">
        <f>(1+VLOOKUP(EOMONTH(EJ142,0),Macroeconomics!$B$67:$R$380,Macroeconomics!$C$66,0))*(1+$C150)^(1/12)-1</f>
        <v>8.5135874934449962E-3</v>
      </c>
      <c r="EK150" s="170">
        <f>(1+VLOOKUP(EOMONTH(EK142,0),Macroeconomics!$B$67:$R$380,Macroeconomics!$C$66,0))*(1+$C150)^(1/12)-1</f>
        <v>8.5135874934449962E-3</v>
      </c>
      <c r="EL150" s="170">
        <f>(1+VLOOKUP(EOMONTH(EL142,0),Macroeconomics!$B$67:$R$380,Macroeconomics!$C$66,0))*(1+$C150)^(1/12)-1</f>
        <v>8.5135874934449962E-3</v>
      </c>
      <c r="EM150" s="170">
        <f>(1+VLOOKUP(EOMONTH(EM142,0),Macroeconomics!$B$67:$R$380,Macroeconomics!$C$66,0))*(1+$C150)^(1/12)-1</f>
        <v>8.5135874934449962E-3</v>
      </c>
      <c r="EN150" s="170">
        <f>(1+VLOOKUP(EOMONTH(EN142,0),Macroeconomics!$B$67:$R$380,Macroeconomics!$C$66,0))*(1+$C150)^(1/12)-1</f>
        <v>8.5135874934449962E-3</v>
      </c>
      <c r="EO150" s="170">
        <f>(1+VLOOKUP(EOMONTH(EO142,0),Macroeconomics!$B$67:$R$380,Macroeconomics!$C$66,0))*(1+$C150)^(1/12)-1</f>
        <v>8.5135874934449962E-3</v>
      </c>
      <c r="EP150" s="170">
        <f>(1+VLOOKUP(EOMONTH(EP142,0),Macroeconomics!$B$67:$R$380,Macroeconomics!$C$66,0))*(1+$C150)^(1/12)-1</f>
        <v>8.5135874934449962E-3</v>
      </c>
      <c r="EQ150" s="170">
        <f>(1+VLOOKUP(EOMONTH(EQ142,0),Macroeconomics!$B$67:$R$380,Macroeconomics!$C$66,0))*(1+$C150)^(1/12)-1</f>
        <v>8.5135874934449962E-3</v>
      </c>
      <c r="ER150" s="170">
        <f>(1+VLOOKUP(EOMONTH(ER142,0),Macroeconomics!$B$67:$R$380,Macroeconomics!$C$66,0))*(1+$C150)^(1/12)-1</f>
        <v>8.5135874934449962E-3</v>
      </c>
      <c r="ES150" s="170">
        <f>(1+VLOOKUP(EOMONTH(ES142,0),Macroeconomics!$B$67:$R$380,Macroeconomics!$C$66,0))*(1+$C150)^(1/12)-1</f>
        <v>8.5135874934449962E-3</v>
      </c>
      <c r="ET150" s="170">
        <f>(1+VLOOKUP(EOMONTH(ET142,0),Macroeconomics!$B$67:$R$380,Macroeconomics!$C$66,0))*(1+$C150)^(1/12)-1</f>
        <v>8.5135874934449962E-3</v>
      </c>
      <c r="EU150" s="170">
        <f>(1+VLOOKUP(EOMONTH(EU142,0),Macroeconomics!$B$67:$R$380,Macroeconomics!$C$66,0))*(1+$C150)^(1/12)-1</f>
        <v>8.5135874934449962E-3</v>
      </c>
      <c r="EV150" s="170">
        <f>(1+VLOOKUP(EOMONTH(EV142,0),Macroeconomics!$B$67:$R$380,Macroeconomics!$C$66,0))*(1+$C150)^(1/12)-1</f>
        <v>8.5135874934449962E-3</v>
      </c>
      <c r="EW150" s="170">
        <f>(1+VLOOKUP(EOMONTH(EW142,0),Macroeconomics!$B$67:$R$380,Macroeconomics!$C$66,0))*(1+$C150)^(1/12)-1</f>
        <v>8.5135874934449962E-3</v>
      </c>
      <c r="EX150" s="170">
        <f>(1+VLOOKUP(EOMONTH(EX142,0),Macroeconomics!$B$67:$R$380,Macroeconomics!$C$66,0))*(1+$C150)^(1/12)-1</f>
        <v>8.5135874934449962E-3</v>
      </c>
      <c r="EY150" s="170">
        <f>(1+VLOOKUP(EOMONTH(EY142,0),Macroeconomics!$B$67:$R$380,Macroeconomics!$C$66,0))*(1+$C150)^(1/12)-1</f>
        <v>8.5135874934449962E-3</v>
      </c>
      <c r="EZ150" s="170">
        <f>(1+VLOOKUP(EOMONTH(EZ142,0),Macroeconomics!$B$67:$R$380,Macroeconomics!$C$66,0))*(1+$C150)^(1/12)-1</f>
        <v>8.5135874934449962E-3</v>
      </c>
      <c r="FA150" s="170">
        <f>(1+VLOOKUP(EOMONTH(FA142,0),Macroeconomics!$B$67:$R$380,Macroeconomics!$C$66,0))*(1+$C150)^(1/12)-1</f>
        <v>8.5135874934449962E-3</v>
      </c>
      <c r="FB150" s="170">
        <f>(1+VLOOKUP(EOMONTH(FB142,0),Macroeconomics!$B$67:$R$380,Macroeconomics!$C$66,0))*(1+$C150)^(1/12)-1</f>
        <v>8.5135874934449962E-3</v>
      </c>
      <c r="FC150" s="170">
        <f>(1+VLOOKUP(EOMONTH(FC142,0),Macroeconomics!$B$67:$R$380,Macroeconomics!$C$66,0))*(1+$C150)^(1/12)-1</f>
        <v>8.5135874934449962E-3</v>
      </c>
      <c r="FD150" s="170">
        <f>(1+VLOOKUP(EOMONTH(FD142,0),Macroeconomics!$B$67:$R$380,Macroeconomics!$C$66,0))*(1+$C150)^(1/12)-1</f>
        <v>8.5135874934449962E-3</v>
      </c>
      <c r="FE150" s="170">
        <f>(1+VLOOKUP(EOMONTH(FE142,0),Macroeconomics!$B$67:$R$380,Macroeconomics!$C$66,0))*(1+$C150)^(1/12)-1</f>
        <v>8.5135874934449962E-3</v>
      </c>
      <c r="FF150" s="170">
        <f>(1+VLOOKUP(EOMONTH(FF142,0),Macroeconomics!$B$67:$R$380,Macroeconomics!$C$66,0))*(1+$C150)^(1/12)-1</f>
        <v>8.5135874934449962E-3</v>
      </c>
      <c r="FG150" s="170">
        <f>(1+VLOOKUP(EOMONTH(FG142,0),Macroeconomics!$B$67:$R$380,Macroeconomics!$C$66,0))*(1+$C150)^(1/12)-1</f>
        <v>8.5135874934449962E-3</v>
      </c>
      <c r="FH150" s="170">
        <f>(1+VLOOKUP(EOMONTH(FH142,0),Macroeconomics!$B$67:$R$380,Macroeconomics!$C$66,0))*(1+$C150)^(1/12)-1</f>
        <v>8.5135874934449962E-3</v>
      </c>
      <c r="FI150" s="170">
        <f>(1+VLOOKUP(EOMONTH(FI142,0),Macroeconomics!$B$67:$R$380,Macroeconomics!$C$66,0))*(1+$C150)^(1/12)-1</f>
        <v>8.5135874934449962E-3</v>
      </c>
      <c r="FJ150" s="170">
        <f>(1+VLOOKUP(EOMONTH(FJ142,0),Macroeconomics!$B$67:$R$380,Macroeconomics!$C$66,0))*(1+$C150)^(1/12)-1</f>
        <v>8.5135874934449962E-3</v>
      </c>
      <c r="FK150" s="170">
        <f>(1+VLOOKUP(EOMONTH(FK142,0),Macroeconomics!$B$67:$R$380,Macroeconomics!$C$66,0))*(1+$C150)^(1/12)-1</f>
        <v>8.5135874934449962E-3</v>
      </c>
      <c r="FL150" s="170">
        <f>(1+VLOOKUP(EOMONTH(FL142,0),Macroeconomics!$B$67:$R$380,Macroeconomics!$C$66,0))*(1+$C150)^(1/12)-1</f>
        <v>8.5135874934449962E-3</v>
      </c>
      <c r="FM150" s="170">
        <f>(1+VLOOKUP(EOMONTH(FM142,0),Macroeconomics!$B$67:$R$380,Macroeconomics!$C$66,0))*(1+$C150)^(1/12)-1</f>
        <v>8.5135874934449962E-3</v>
      </c>
      <c r="FN150" s="170">
        <f>(1+VLOOKUP(EOMONTH(FN142,0),Macroeconomics!$B$67:$R$380,Macroeconomics!$C$66,0))*(1+$C150)^(1/12)-1</f>
        <v>8.5135874934449962E-3</v>
      </c>
      <c r="FO150" s="170">
        <f>(1+VLOOKUP(EOMONTH(FO142,0),Macroeconomics!$B$67:$R$380,Macroeconomics!$C$66,0))*(1+$C150)^(1/12)-1</f>
        <v>8.5135874934449962E-3</v>
      </c>
      <c r="FP150" s="170">
        <f>(1+VLOOKUP(EOMONTH(FP142,0),Macroeconomics!$B$67:$R$380,Macroeconomics!$C$66,0))*(1+$C150)^(1/12)-1</f>
        <v>8.5135874934449962E-3</v>
      </c>
      <c r="FQ150" s="170">
        <f>(1+VLOOKUP(EOMONTH(FQ142,0),Macroeconomics!$B$67:$R$380,Macroeconomics!$C$66,0))*(1+$C150)^(1/12)-1</f>
        <v>8.5135874934449962E-3</v>
      </c>
      <c r="FR150" s="170">
        <f>(1+VLOOKUP(EOMONTH(FR142,0),Macroeconomics!$B$67:$R$380,Macroeconomics!$C$66,0))*(1+$C150)^(1/12)-1</f>
        <v>8.5135874934449962E-3</v>
      </c>
      <c r="FS150" s="170">
        <f>(1+VLOOKUP(EOMONTH(FS142,0),Macroeconomics!$B$67:$R$380,Macroeconomics!$C$66,0))*(1+$C150)^(1/12)-1</f>
        <v>8.5135874934449962E-3</v>
      </c>
      <c r="FT150" s="170">
        <f>(1+VLOOKUP(EOMONTH(FT142,0),Macroeconomics!$B$67:$R$380,Macroeconomics!$C$66,0))*(1+$C150)^(1/12)-1</f>
        <v>8.5135874934449962E-3</v>
      </c>
      <c r="FU150" s="170">
        <f>(1+VLOOKUP(EOMONTH(FU142,0),Macroeconomics!$B$67:$R$380,Macroeconomics!$C$66,0))*(1+$C150)^(1/12)-1</f>
        <v>8.5135874934449962E-3</v>
      </c>
      <c r="FV150" s="170">
        <f>(1+VLOOKUP(EOMONTH(FV142,0),Macroeconomics!$B$67:$R$380,Macroeconomics!$C$66,0))*(1+$C150)^(1/12)-1</f>
        <v>8.5135874934449962E-3</v>
      </c>
      <c r="FW150" s="170">
        <f>(1+VLOOKUP(EOMONTH(FW142,0),Macroeconomics!$B$67:$R$380,Macroeconomics!$C$66,0))*(1+$C150)^(1/12)-1</f>
        <v>8.5135874934449962E-3</v>
      </c>
      <c r="FX150" s="170">
        <f>(1+VLOOKUP(EOMONTH(FX142,0),Macroeconomics!$B$67:$R$380,Macroeconomics!$C$66,0))*(1+$C150)^(1/12)-1</f>
        <v>8.3209443117828741E-3</v>
      </c>
      <c r="FY150" s="170">
        <f>(1+VLOOKUP(EOMONTH(FY142,0),Macroeconomics!$B$67:$R$380,Macroeconomics!$C$66,0))*(1+$C150)^(1/12)-1</f>
        <v>8.3209443117828741E-3</v>
      </c>
      <c r="FZ150" s="170">
        <f>(1+VLOOKUP(EOMONTH(FZ142,0),Macroeconomics!$B$67:$R$380,Macroeconomics!$C$66,0))*(1+$C150)^(1/12)-1</f>
        <v>8.3209443117828741E-3</v>
      </c>
      <c r="GA150" s="170">
        <f>(1+VLOOKUP(EOMONTH(GA142,0),Macroeconomics!$B$67:$R$380,Macroeconomics!$C$66,0))*(1+$C150)^(1/12)-1</f>
        <v>8.3209443117828741E-3</v>
      </c>
      <c r="GB150" s="170">
        <f>(1+VLOOKUP(EOMONTH(GB142,0),Macroeconomics!$B$67:$R$380,Macroeconomics!$C$66,0))*(1+$C150)^(1/12)-1</f>
        <v>8.3209443117828741E-3</v>
      </c>
      <c r="GC150" s="170">
        <f>(1+VLOOKUP(EOMONTH(GC142,0),Macroeconomics!$B$67:$R$380,Macroeconomics!$C$66,0))*(1+$C150)^(1/12)-1</f>
        <v>8.3209443117828741E-3</v>
      </c>
      <c r="GD150" s="170">
        <f>(1+VLOOKUP(EOMONTH(GD142,0),Macroeconomics!$B$67:$R$380,Macroeconomics!$C$66,0))*(1+$C150)^(1/12)-1</f>
        <v>8.3209443117828741E-3</v>
      </c>
      <c r="GE150" s="170">
        <f>(1+VLOOKUP(EOMONTH(GE142,0),Macroeconomics!$B$67:$R$380,Macroeconomics!$C$66,0))*(1+$C150)^(1/12)-1</f>
        <v>8.3209443117828741E-3</v>
      </c>
      <c r="GF150" s="170">
        <f>(1+VLOOKUP(EOMONTH(GF142,0),Macroeconomics!$B$67:$R$380,Macroeconomics!$C$66,0))*(1+$C150)^(1/12)-1</f>
        <v>8.3209443117828741E-3</v>
      </c>
      <c r="GG150" s="170">
        <f>(1+VLOOKUP(EOMONTH(GG142,0),Macroeconomics!$B$67:$R$380,Macroeconomics!$C$66,0))*(1+$C150)^(1/12)-1</f>
        <v>8.3209443117828741E-3</v>
      </c>
      <c r="GH150" s="170">
        <f>(1+VLOOKUP(EOMONTH(GH142,0),Macroeconomics!$B$67:$R$380,Macroeconomics!$C$66,0))*(1+$C150)^(1/12)-1</f>
        <v>8.3209443117828741E-3</v>
      </c>
      <c r="GI150" s="170">
        <f>(1+VLOOKUP(EOMONTH(GI142,0),Macroeconomics!$B$67:$R$380,Macroeconomics!$C$66,0))*(1+$C150)^(1/12)-1</f>
        <v>8.3209443117828741E-3</v>
      </c>
      <c r="GJ150" s="170">
        <f>(1+VLOOKUP(EOMONTH(GJ142,0),Macroeconomics!$B$67:$R$380,Macroeconomics!$C$66,0))*(1+$C150)^(1/12)-1</f>
        <v>8.3209443117828741E-3</v>
      </c>
      <c r="GK150" s="170">
        <f>(1+VLOOKUP(EOMONTH(GK142,0),Macroeconomics!$B$67:$R$380,Macroeconomics!$C$66,0))*(1+$C150)^(1/12)-1</f>
        <v>8.3209443117828741E-3</v>
      </c>
      <c r="GL150" s="170">
        <f>(1+VLOOKUP(EOMONTH(GL142,0),Macroeconomics!$B$67:$R$380,Macroeconomics!$C$66,0))*(1+$C150)^(1/12)-1</f>
        <v>8.3209443117828741E-3</v>
      </c>
      <c r="GM150" s="170">
        <f>(1+VLOOKUP(EOMONTH(GM142,0),Macroeconomics!$B$67:$R$380,Macroeconomics!$C$66,0))*(1+$C150)^(1/12)-1</f>
        <v>8.3209443117828741E-3</v>
      </c>
      <c r="GN150" s="170">
        <f>(1+VLOOKUP(EOMONTH(GN142,0),Macroeconomics!$B$67:$R$380,Macroeconomics!$C$66,0))*(1+$C150)^(1/12)-1</f>
        <v>8.3209443117828741E-3</v>
      </c>
      <c r="GO150" s="170">
        <f>(1+VLOOKUP(EOMONTH(GO142,0),Macroeconomics!$B$67:$R$380,Macroeconomics!$C$66,0))*(1+$C150)^(1/12)-1</f>
        <v>8.3209443117828741E-3</v>
      </c>
      <c r="GP150" s="170">
        <f>(1+VLOOKUP(EOMONTH(GP142,0),Macroeconomics!$B$67:$R$380,Macroeconomics!$C$66,0))*(1+$C150)^(1/12)-1</f>
        <v>8.3209443117828741E-3</v>
      </c>
      <c r="GQ150" s="170">
        <f>(1+VLOOKUP(EOMONTH(GQ142,0),Macroeconomics!$B$67:$R$380,Macroeconomics!$C$66,0))*(1+$C150)^(1/12)-1</f>
        <v>8.3209443117828741E-3</v>
      </c>
    </row>
    <row r="151" spans="2:199" s="315" customFormat="1" outlineLevel="1">
      <c r="B151" s="315" t="s">
        <v>413</v>
      </c>
      <c r="C151" s="316">
        <v>12</v>
      </c>
    </row>
    <row r="152" spans="2:199" s="315" customFormat="1" outlineLevel="1">
      <c r="B152" s="182" t="s">
        <v>409</v>
      </c>
      <c r="C152" s="131">
        <v>1</v>
      </c>
      <c r="D152" s="182" t="s">
        <v>404</v>
      </c>
      <c r="E152" s="160">
        <f>IF(OR(E142&lt;=$C144,E142&gt;$C145),0,IF(AND(E142&lt;=$C146,$C152=1,MOD(MONTH(E142)-MONTH($C144),6)=0),1,IF(AND(MOD(MONTH(E142)-MONTH($C144),$C151)=0,E142&gt;=$C146),1,0)))</f>
        <v>0</v>
      </c>
      <c r="F152" s="160">
        <f t="shared" ref="F152:S152" si="2008">IF(OR(F142&lt;=$C144,F142&gt;$C145),0,IF(AND(F142&lt;=$C146,$C152=1,MOD(MONTH(F142)-MONTH($C144),6)=0),1,IF(AND(MOD(MONTH(F142)-MONTH($C144),$C151)=0,F142&gt;=$C146),1,0)))</f>
        <v>0</v>
      </c>
      <c r="G152" s="160">
        <f t="shared" si="2008"/>
        <v>0</v>
      </c>
      <c r="H152" s="160">
        <f t="shared" si="2008"/>
        <v>0</v>
      </c>
      <c r="I152" s="160">
        <f t="shared" si="2008"/>
        <v>0</v>
      </c>
      <c r="J152" s="160">
        <f t="shared" si="2008"/>
        <v>0</v>
      </c>
      <c r="K152" s="160">
        <f t="shared" si="2008"/>
        <v>1</v>
      </c>
      <c r="L152" s="160">
        <f t="shared" si="2008"/>
        <v>0</v>
      </c>
      <c r="M152" s="160">
        <f t="shared" si="2008"/>
        <v>0</v>
      </c>
      <c r="N152" s="160">
        <f t="shared" si="2008"/>
        <v>0</v>
      </c>
      <c r="O152" s="160">
        <f t="shared" si="2008"/>
        <v>0</v>
      </c>
      <c r="P152" s="160">
        <f t="shared" si="2008"/>
        <v>0</v>
      </c>
      <c r="Q152" s="160">
        <f t="shared" si="2008"/>
        <v>1</v>
      </c>
      <c r="R152" s="160">
        <f t="shared" si="2008"/>
        <v>0</v>
      </c>
      <c r="S152" s="160">
        <f t="shared" si="2008"/>
        <v>0</v>
      </c>
      <c r="T152" s="160">
        <f t="shared" ref="T152" si="2009">IF(OR(T142&lt;=$C144,T142&gt;$C145),0,IF(AND(T142&lt;=$C146,$C152=1,MOD(MONTH(T142)-MONTH($C144),6)=0),1,IF(AND(MOD(MONTH(T142)-MONTH($C144),$C151)=0,T142&gt;=$C146),1,0)))</f>
        <v>0</v>
      </c>
      <c r="U152" s="160">
        <f t="shared" ref="U152" si="2010">IF(OR(U142&lt;=$C144,U142&gt;$C145),0,IF(AND(U142&lt;=$C146,$C152=1,MOD(MONTH(U142)-MONTH($C144),6)=0),1,IF(AND(MOD(MONTH(U142)-MONTH($C144),$C151)=0,U142&gt;=$C146),1,0)))</f>
        <v>0</v>
      </c>
      <c r="V152" s="160">
        <f t="shared" ref="V152" si="2011">IF(OR(V142&lt;=$C144,V142&gt;$C145),0,IF(AND(V142&lt;=$C146,$C152=1,MOD(MONTH(V142)-MONTH($C144),6)=0),1,IF(AND(MOD(MONTH(V142)-MONTH($C144),$C151)=0,V142&gt;=$C146),1,0)))</f>
        <v>0</v>
      </c>
      <c r="W152" s="160">
        <f t="shared" ref="W152" si="2012">IF(OR(W142&lt;=$C144,W142&gt;$C145),0,IF(AND(W142&lt;=$C146,$C152=1,MOD(MONTH(W142)-MONTH($C144),6)=0),1,IF(AND(MOD(MONTH(W142)-MONTH($C144),$C151)=0,W142&gt;=$C146),1,0)))</f>
        <v>0</v>
      </c>
      <c r="X152" s="160">
        <f t="shared" ref="X152" si="2013">IF(OR(X142&lt;=$C144,X142&gt;$C145),0,IF(AND(X142&lt;=$C146,$C152=1,MOD(MONTH(X142)-MONTH($C144),6)=0),1,IF(AND(MOD(MONTH(X142)-MONTH($C144),$C151)=0,X142&gt;=$C146),1,0)))</f>
        <v>0</v>
      </c>
      <c r="Y152" s="160">
        <f t="shared" ref="Y152" si="2014">IF(OR(Y142&lt;=$C144,Y142&gt;$C145),0,IF(AND(Y142&lt;=$C146,$C152=1,MOD(MONTH(Y142)-MONTH($C144),6)=0),1,IF(AND(MOD(MONTH(Y142)-MONTH($C144),$C151)=0,Y142&gt;=$C146),1,0)))</f>
        <v>0</v>
      </c>
      <c r="Z152" s="160">
        <f t="shared" ref="Z152" si="2015">IF(OR(Z142&lt;=$C144,Z142&gt;$C145),0,IF(AND(Z142&lt;=$C146,$C152=1,MOD(MONTH(Z142)-MONTH($C144),6)=0),1,IF(AND(MOD(MONTH(Z142)-MONTH($C144),$C151)=0,Z142&gt;=$C146),1,0)))</f>
        <v>0</v>
      </c>
      <c r="AA152" s="160">
        <f t="shared" ref="AA152" si="2016">IF(OR(AA142&lt;=$C144,AA142&gt;$C145),0,IF(AND(AA142&lt;=$C146,$C152=1,MOD(MONTH(AA142)-MONTH($C144),6)=0),1,IF(AND(MOD(MONTH(AA142)-MONTH($C144),$C151)=0,AA142&gt;=$C146),1,0)))</f>
        <v>0</v>
      </c>
      <c r="AB152" s="160">
        <f t="shared" ref="AB152" si="2017">IF(OR(AB142&lt;=$C144,AB142&gt;$C145),0,IF(AND(AB142&lt;=$C146,$C152=1,MOD(MONTH(AB142)-MONTH($C144),6)=0),1,IF(AND(MOD(MONTH(AB142)-MONTH($C144),$C151)=0,AB142&gt;=$C146),1,0)))</f>
        <v>0</v>
      </c>
      <c r="AC152" s="160">
        <f t="shared" ref="AC152" si="2018">IF(OR(AC142&lt;=$C144,AC142&gt;$C145),0,IF(AND(AC142&lt;=$C146,$C152=1,MOD(MONTH(AC142)-MONTH($C144),6)=0),1,IF(AND(MOD(MONTH(AC142)-MONTH($C144),$C151)=0,AC142&gt;=$C146),1,0)))</f>
        <v>1</v>
      </c>
      <c r="AD152" s="160">
        <f t="shared" ref="AD152" si="2019">IF(OR(AD142&lt;=$C144,AD142&gt;$C145),0,IF(AND(AD142&lt;=$C146,$C152=1,MOD(MONTH(AD142)-MONTH($C144),6)=0),1,IF(AND(MOD(MONTH(AD142)-MONTH($C144),$C151)=0,AD142&gt;=$C146),1,0)))</f>
        <v>0</v>
      </c>
      <c r="AE152" s="160">
        <f t="shared" ref="AE152" si="2020">IF(OR(AE142&lt;=$C144,AE142&gt;$C145),0,IF(AND(AE142&lt;=$C146,$C152=1,MOD(MONTH(AE142)-MONTH($C144),6)=0),1,IF(AND(MOD(MONTH(AE142)-MONTH($C144),$C151)=0,AE142&gt;=$C146),1,0)))</f>
        <v>0</v>
      </c>
      <c r="AF152" s="160">
        <f t="shared" ref="AF152:AG152" si="2021">IF(OR(AF142&lt;=$C144,AF142&gt;$C145),0,IF(AND(AF142&lt;=$C146,$C152=1,MOD(MONTH(AF142)-MONTH($C144),6)=0),1,IF(AND(MOD(MONTH(AF142)-MONTH($C144),$C151)=0,AF142&gt;=$C146),1,0)))</f>
        <v>0</v>
      </c>
      <c r="AG152" s="160">
        <f t="shared" si="2021"/>
        <v>0</v>
      </c>
      <c r="AH152" s="160">
        <f t="shared" ref="AH152" si="2022">IF(OR(AH142&lt;=$C144,AH142&gt;$C145),0,IF(AND(AH142&lt;=$C146,$C152=1,MOD(MONTH(AH142)-MONTH($C144),6)=0),1,IF(AND(MOD(MONTH(AH142)-MONTH($C144),$C151)=0,AH142&gt;=$C146),1,0)))</f>
        <v>0</v>
      </c>
      <c r="AI152" s="160">
        <f t="shared" ref="AI152" si="2023">IF(OR(AI142&lt;=$C144,AI142&gt;$C145),0,IF(AND(AI142&lt;=$C146,$C152=1,MOD(MONTH(AI142)-MONTH($C144),6)=0),1,IF(AND(MOD(MONTH(AI142)-MONTH($C144),$C151)=0,AI142&gt;=$C146),1,0)))</f>
        <v>0</v>
      </c>
      <c r="AJ152" s="160">
        <f t="shared" ref="AJ152" si="2024">IF(OR(AJ142&lt;=$C144,AJ142&gt;$C145),0,IF(AND(AJ142&lt;=$C146,$C152=1,MOD(MONTH(AJ142)-MONTH($C144),6)=0),1,IF(AND(MOD(MONTH(AJ142)-MONTH($C144),$C151)=0,AJ142&gt;=$C146),1,0)))</f>
        <v>0</v>
      </c>
      <c r="AK152" s="160">
        <f t="shared" ref="AK152" si="2025">IF(OR(AK142&lt;=$C144,AK142&gt;$C145),0,IF(AND(AK142&lt;=$C146,$C152=1,MOD(MONTH(AK142)-MONTH($C144),6)=0),1,IF(AND(MOD(MONTH(AK142)-MONTH($C144),$C151)=0,AK142&gt;=$C146),1,0)))</f>
        <v>0</v>
      </c>
      <c r="AL152" s="160">
        <f t="shared" ref="AL152" si="2026">IF(OR(AL142&lt;=$C144,AL142&gt;$C145),0,IF(AND(AL142&lt;=$C146,$C152=1,MOD(MONTH(AL142)-MONTH($C144),6)=0),1,IF(AND(MOD(MONTH(AL142)-MONTH($C144),$C151)=0,AL142&gt;=$C146),1,0)))</f>
        <v>0</v>
      </c>
      <c r="AM152" s="160">
        <f t="shared" ref="AM152" si="2027">IF(OR(AM142&lt;=$C144,AM142&gt;$C145),0,IF(AND(AM142&lt;=$C146,$C152=1,MOD(MONTH(AM142)-MONTH($C144),6)=0),1,IF(AND(MOD(MONTH(AM142)-MONTH($C144),$C151)=0,AM142&gt;=$C146),1,0)))</f>
        <v>0</v>
      </c>
      <c r="AN152" s="160">
        <f t="shared" ref="AN152" si="2028">IF(OR(AN142&lt;=$C144,AN142&gt;$C145),0,IF(AND(AN142&lt;=$C146,$C152=1,MOD(MONTH(AN142)-MONTH($C144),6)=0),1,IF(AND(MOD(MONTH(AN142)-MONTH($C144),$C151)=0,AN142&gt;=$C146),1,0)))</f>
        <v>0</v>
      </c>
      <c r="AO152" s="160">
        <f t="shared" ref="AO152" si="2029">IF(OR(AO142&lt;=$C144,AO142&gt;$C145),0,IF(AND(AO142&lt;=$C146,$C152=1,MOD(MONTH(AO142)-MONTH($C144),6)=0),1,IF(AND(MOD(MONTH(AO142)-MONTH($C144),$C151)=0,AO142&gt;=$C146),1,0)))</f>
        <v>1</v>
      </c>
      <c r="AP152" s="160">
        <f t="shared" ref="AP152" si="2030">IF(OR(AP142&lt;=$C144,AP142&gt;$C145),0,IF(AND(AP142&lt;=$C146,$C152=1,MOD(MONTH(AP142)-MONTH($C144),6)=0),1,IF(AND(MOD(MONTH(AP142)-MONTH($C144),$C151)=0,AP142&gt;=$C146),1,0)))</f>
        <v>0</v>
      </c>
      <c r="AQ152" s="160">
        <f t="shared" ref="AQ152" si="2031">IF(OR(AQ142&lt;=$C144,AQ142&gt;$C145),0,IF(AND(AQ142&lt;=$C146,$C152=1,MOD(MONTH(AQ142)-MONTH($C144),6)=0),1,IF(AND(MOD(MONTH(AQ142)-MONTH($C144),$C151)=0,AQ142&gt;=$C146),1,0)))</f>
        <v>0</v>
      </c>
      <c r="AR152" s="160">
        <f t="shared" ref="AR152" si="2032">IF(OR(AR142&lt;=$C144,AR142&gt;$C145),0,IF(AND(AR142&lt;=$C146,$C152=1,MOD(MONTH(AR142)-MONTH($C144),6)=0),1,IF(AND(MOD(MONTH(AR142)-MONTH($C144),$C151)=0,AR142&gt;=$C146),1,0)))</f>
        <v>0</v>
      </c>
      <c r="AS152" s="160">
        <f t="shared" ref="AS152" si="2033">IF(OR(AS142&lt;=$C144,AS142&gt;$C145),0,IF(AND(AS142&lt;=$C146,$C152=1,MOD(MONTH(AS142)-MONTH($C144),6)=0),1,IF(AND(MOD(MONTH(AS142)-MONTH($C144),$C151)=0,AS142&gt;=$C146),1,0)))</f>
        <v>0</v>
      </c>
      <c r="AT152" s="160">
        <f t="shared" ref="AT152:AU152" si="2034">IF(OR(AT142&lt;=$C144,AT142&gt;$C145),0,IF(AND(AT142&lt;=$C146,$C152=1,MOD(MONTH(AT142)-MONTH($C144),6)=0),1,IF(AND(MOD(MONTH(AT142)-MONTH($C144),$C151)=0,AT142&gt;=$C146),1,0)))</f>
        <v>0</v>
      </c>
      <c r="AU152" s="160">
        <f t="shared" si="2034"/>
        <v>0</v>
      </c>
      <c r="AV152" s="160">
        <f t="shared" ref="AV152" si="2035">IF(OR(AV142&lt;=$C144,AV142&gt;$C145),0,IF(AND(AV142&lt;=$C146,$C152=1,MOD(MONTH(AV142)-MONTH($C144),6)=0),1,IF(AND(MOD(MONTH(AV142)-MONTH($C144),$C151)=0,AV142&gt;=$C146),1,0)))</f>
        <v>0</v>
      </c>
      <c r="AW152" s="160">
        <f t="shared" ref="AW152" si="2036">IF(OR(AW142&lt;=$C144,AW142&gt;$C145),0,IF(AND(AW142&lt;=$C146,$C152=1,MOD(MONTH(AW142)-MONTH($C144),6)=0),1,IF(AND(MOD(MONTH(AW142)-MONTH($C144),$C151)=0,AW142&gt;=$C146),1,0)))</f>
        <v>0</v>
      </c>
      <c r="AX152" s="160">
        <f t="shared" ref="AX152" si="2037">IF(OR(AX142&lt;=$C144,AX142&gt;$C145),0,IF(AND(AX142&lt;=$C146,$C152=1,MOD(MONTH(AX142)-MONTH($C144),6)=0),1,IF(AND(MOD(MONTH(AX142)-MONTH($C144),$C151)=0,AX142&gt;=$C146),1,0)))</f>
        <v>0</v>
      </c>
      <c r="AY152" s="160">
        <f t="shared" ref="AY152" si="2038">IF(OR(AY142&lt;=$C144,AY142&gt;$C145),0,IF(AND(AY142&lt;=$C146,$C152=1,MOD(MONTH(AY142)-MONTH($C144),6)=0),1,IF(AND(MOD(MONTH(AY142)-MONTH($C144),$C151)=0,AY142&gt;=$C146),1,0)))</f>
        <v>0</v>
      </c>
      <c r="AZ152" s="160">
        <f t="shared" ref="AZ152" si="2039">IF(OR(AZ142&lt;=$C144,AZ142&gt;$C145),0,IF(AND(AZ142&lt;=$C146,$C152=1,MOD(MONTH(AZ142)-MONTH($C144),6)=0),1,IF(AND(MOD(MONTH(AZ142)-MONTH($C144),$C151)=0,AZ142&gt;=$C146),1,0)))</f>
        <v>0</v>
      </c>
      <c r="BA152" s="160">
        <f t="shared" ref="BA152" si="2040">IF(OR(BA142&lt;=$C144,BA142&gt;$C145),0,IF(AND(BA142&lt;=$C146,$C152=1,MOD(MONTH(BA142)-MONTH($C144),6)=0),1,IF(AND(MOD(MONTH(BA142)-MONTH($C144),$C151)=0,BA142&gt;=$C146),1,0)))</f>
        <v>1</v>
      </c>
      <c r="BB152" s="160">
        <f t="shared" ref="BB152" si="2041">IF(OR(BB142&lt;=$C144,BB142&gt;$C145),0,IF(AND(BB142&lt;=$C146,$C152=1,MOD(MONTH(BB142)-MONTH($C144),6)=0),1,IF(AND(MOD(MONTH(BB142)-MONTH($C144),$C151)=0,BB142&gt;=$C146),1,0)))</f>
        <v>0</v>
      </c>
      <c r="BC152" s="160">
        <f t="shared" ref="BC152" si="2042">IF(OR(BC142&lt;=$C144,BC142&gt;$C145),0,IF(AND(BC142&lt;=$C146,$C152=1,MOD(MONTH(BC142)-MONTH($C144),6)=0),1,IF(AND(MOD(MONTH(BC142)-MONTH($C144),$C151)=0,BC142&gt;=$C146),1,0)))</f>
        <v>0</v>
      </c>
      <c r="BD152" s="160">
        <f t="shared" ref="BD152" si="2043">IF(OR(BD142&lt;=$C144,BD142&gt;$C145),0,IF(AND(BD142&lt;=$C146,$C152=1,MOD(MONTH(BD142)-MONTH($C144),6)=0),1,IF(AND(MOD(MONTH(BD142)-MONTH($C144),$C151)=0,BD142&gt;=$C146),1,0)))</f>
        <v>0</v>
      </c>
      <c r="BE152" s="160">
        <f t="shared" ref="BE152" si="2044">IF(OR(BE142&lt;=$C144,BE142&gt;$C145),0,IF(AND(BE142&lt;=$C146,$C152=1,MOD(MONTH(BE142)-MONTH($C144),6)=0),1,IF(AND(MOD(MONTH(BE142)-MONTH($C144),$C151)=0,BE142&gt;=$C146),1,0)))</f>
        <v>0</v>
      </c>
      <c r="BF152" s="160">
        <f t="shared" ref="BF152" si="2045">IF(OR(BF142&lt;=$C144,BF142&gt;$C145),0,IF(AND(BF142&lt;=$C146,$C152=1,MOD(MONTH(BF142)-MONTH($C144),6)=0),1,IF(AND(MOD(MONTH(BF142)-MONTH($C144),$C151)=0,BF142&gt;=$C146),1,0)))</f>
        <v>0</v>
      </c>
      <c r="BG152" s="160">
        <f t="shared" ref="BG152" si="2046">IF(OR(BG142&lt;=$C144,BG142&gt;$C145),0,IF(AND(BG142&lt;=$C146,$C152=1,MOD(MONTH(BG142)-MONTH($C144),6)=0),1,IF(AND(MOD(MONTH(BG142)-MONTH($C144),$C151)=0,BG142&gt;=$C146),1,0)))</f>
        <v>0</v>
      </c>
      <c r="BH152" s="160">
        <f t="shared" ref="BH152:BI152" si="2047">IF(OR(BH142&lt;=$C144,BH142&gt;$C145),0,IF(AND(BH142&lt;=$C146,$C152=1,MOD(MONTH(BH142)-MONTH($C144),6)=0),1,IF(AND(MOD(MONTH(BH142)-MONTH($C144),$C151)=0,BH142&gt;=$C146),1,0)))</f>
        <v>0</v>
      </c>
      <c r="BI152" s="160">
        <f t="shared" si="2047"/>
        <v>0</v>
      </c>
      <c r="BJ152" s="160">
        <f t="shared" ref="BJ152" si="2048">IF(OR(BJ142&lt;=$C144,BJ142&gt;$C145),0,IF(AND(BJ142&lt;=$C146,$C152=1,MOD(MONTH(BJ142)-MONTH($C144),6)=0),1,IF(AND(MOD(MONTH(BJ142)-MONTH($C144),$C151)=0,BJ142&gt;=$C146),1,0)))</f>
        <v>0</v>
      </c>
      <c r="BK152" s="160">
        <f t="shared" ref="BK152" si="2049">IF(OR(BK142&lt;=$C144,BK142&gt;$C145),0,IF(AND(BK142&lt;=$C146,$C152=1,MOD(MONTH(BK142)-MONTH($C144),6)=0),1,IF(AND(MOD(MONTH(BK142)-MONTH($C144),$C151)=0,BK142&gt;=$C146),1,0)))</f>
        <v>0</v>
      </c>
      <c r="BL152" s="160">
        <f t="shared" ref="BL152" si="2050">IF(OR(BL142&lt;=$C144,BL142&gt;$C145),0,IF(AND(BL142&lt;=$C146,$C152=1,MOD(MONTH(BL142)-MONTH($C144),6)=0),1,IF(AND(MOD(MONTH(BL142)-MONTH($C144),$C151)=0,BL142&gt;=$C146),1,0)))</f>
        <v>0</v>
      </c>
      <c r="BM152" s="160">
        <f t="shared" ref="BM152" si="2051">IF(OR(BM142&lt;=$C144,BM142&gt;$C145),0,IF(AND(BM142&lt;=$C146,$C152=1,MOD(MONTH(BM142)-MONTH($C144),6)=0),1,IF(AND(MOD(MONTH(BM142)-MONTH($C144),$C151)=0,BM142&gt;=$C146),1,0)))</f>
        <v>1</v>
      </c>
      <c r="BN152" s="160">
        <f t="shared" ref="BN152" si="2052">IF(OR(BN142&lt;=$C144,BN142&gt;$C145),0,IF(AND(BN142&lt;=$C146,$C152=1,MOD(MONTH(BN142)-MONTH($C144),6)=0),1,IF(AND(MOD(MONTH(BN142)-MONTH($C144),$C151)=0,BN142&gt;=$C146),1,0)))</f>
        <v>0</v>
      </c>
      <c r="BO152" s="160">
        <f t="shared" ref="BO152" si="2053">IF(OR(BO142&lt;=$C144,BO142&gt;$C145),0,IF(AND(BO142&lt;=$C146,$C152=1,MOD(MONTH(BO142)-MONTH($C144),6)=0),1,IF(AND(MOD(MONTH(BO142)-MONTH($C144),$C151)=0,BO142&gt;=$C146),1,0)))</f>
        <v>0</v>
      </c>
      <c r="BP152" s="160">
        <f t="shared" ref="BP152" si="2054">IF(OR(BP142&lt;=$C144,BP142&gt;$C145),0,IF(AND(BP142&lt;=$C146,$C152=1,MOD(MONTH(BP142)-MONTH($C144),6)=0),1,IF(AND(MOD(MONTH(BP142)-MONTH($C144),$C151)=0,BP142&gt;=$C146),1,0)))</f>
        <v>0</v>
      </c>
      <c r="BQ152" s="160">
        <f t="shared" ref="BQ152" si="2055">IF(OR(BQ142&lt;=$C144,BQ142&gt;$C145),0,IF(AND(BQ142&lt;=$C146,$C152=1,MOD(MONTH(BQ142)-MONTH($C144),6)=0),1,IF(AND(MOD(MONTH(BQ142)-MONTH($C144),$C151)=0,BQ142&gt;=$C146),1,0)))</f>
        <v>0</v>
      </c>
      <c r="BR152" s="160">
        <f t="shared" ref="BR152" si="2056">IF(OR(BR142&lt;=$C144,BR142&gt;$C145),0,IF(AND(BR142&lt;=$C146,$C152=1,MOD(MONTH(BR142)-MONTH($C144),6)=0),1,IF(AND(MOD(MONTH(BR142)-MONTH($C144),$C151)=0,BR142&gt;=$C146),1,0)))</f>
        <v>0</v>
      </c>
      <c r="BS152" s="160">
        <f t="shared" ref="BS152" si="2057">IF(OR(BS142&lt;=$C144,BS142&gt;$C145),0,IF(AND(BS142&lt;=$C146,$C152=1,MOD(MONTH(BS142)-MONTH($C144),6)=0),1,IF(AND(MOD(MONTH(BS142)-MONTH($C144),$C151)=0,BS142&gt;=$C146),1,0)))</f>
        <v>0</v>
      </c>
      <c r="BT152" s="160">
        <f t="shared" ref="BT152" si="2058">IF(OR(BT142&lt;=$C144,BT142&gt;$C145),0,IF(AND(BT142&lt;=$C146,$C152=1,MOD(MONTH(BT142)-MONTH($C144),6)=0),1,IF(AND(MOD(MONTH(BT142)-MONTH($C144),$C151)=0,BT142&gt;=$C146),1,0)))</f>
        <v>0</v>
      </c>
      <c r="BU152" s="160">
        <f t="shared" ref="BU152" si="2059">IF(OR(BU142&lt;=$C144,BU142&gt;$C145),0,IF(AND(BU142&lt;=$C146,$C152=1,MOD(MONTH(BU142)-MONTH($C144),6)=0),1,IF(AND(MOD(MONTH(BU142)-MONTH($C144),$C151)=0,BU142&gt;=$C146),1,0)))</f>
        <v>0</v>
      </c>
      <c r="BV152" s="160">
        <f t="shared" ref="BV152:BW152" si="2060">IF(OR(BV142&lt;=$C144,BV142&gt;$C145),0,IF(AND(BV142&lt;=$C146,$C152=1,MOD(MONTH(BV142)-MONTH($C144),6)=0),1,IF(AND(MOD(MONTH(BV142)-MONTH($C144),$C151)=0,BV142&gt;=$C146),1,0)))</f>
        <v>0</v>
      </c>
      <c r="BW152" s="160">
        <f t="shared" si="2060"/>
        <v>0</v>
      </c>
      <c r="BX152" s="160">
        <f t="shared" ref="BX152" si="2061">IF(OR(BX142&lt;=$C144,BX142&gt;$C145),0,IF(AND(BX142&lt;=$C146,$C152=1,MOD(MONTH(BX142)-MONTH($C144),6)=0),1,IF(AND(MOD(MONTH(BX142)-MONTH($C144),$C151)=0,BX142&gt;=$C146),1,0)))</f>
        <v>0</v>
      </c>
      <c r="BY152" s="160">
        <f t="shared" ref="BY152" si="2062">IF(OR(BY142&lt;=$C144,BY142&gt;$C145),0,IF(AND(BY142&lt;=$C146,$C152=1,MOD(MONTH(BY142)-MONTH($C144),6)=0),1,IF(AND(MOD(MONTH(BY142)-MONTH($C144),$C151)=0,BY142&gt;=$C146),1,0)))</f>
        <v>1</v>
      </c>
      <c r="BZ152" s="160">
        <f t="shared" ref="BZ152" si="2063">IF(OR(BZ142&lt;=$C144,BZ142&gt;$C145),0,IF(AND(BZ142&lt;=$C146,$C152=1,MOD(MONTH(BZ142)-MONTH($C144),6)=0),1,IF(AND(MOD(MONTH(BZ142)-MONTH($C144),$C151)=0,BZ142&gt;=$C146),1,0)))</f>
        <v>0</v>
      </c>
      <c r="CA152" s="160">
        <f t="shared" ref="CA152" si="2064">IF(OR(CA142&lt;=$C144,CA142&gt;$C145),0,IF(AND(CA142&lt;=$C146,$C152=1,MOD(MONTH(CA142)-MONTH($C144),6)=0),1,IF(AND(MOD(MONTH(CA142)-MONTH($C144),$C151)=0,CA142&gt;=$C146),1,0)))</f>
        <v>0</v>
      </c>
      <c r="CB152" s="160">
        <f t="shared" ref="CB152" si="2065">IF(OR(CB142&lt;=$C144,CB142&gt;$C145),0,IF(AND(CB142&lt;=$C146,$C152=1,MOD(MONTH(CB142)-MONTH($C144),6)=0),1,IF(AND(MOD(MONTH(CB142)-MONTH($C144),$C151)=0,CB142&gt;=$C146),1,0)))</f>
        <v>0</v>
      </c>
      <c r="CC152" s="160">
        <f t="shared" ref="CC152" si="2066">IF(OR(CC142&lt;=$C144,CC142&gt;$C145),0,IF(AND(CC142&lt;=$C146,$C152=1,MOD(MONTH(CC142)-MONTH($C144),6)=0),1,IF(AND(MOD(MONTH(CC142)-MONTH($C144),$C151)=0,CC142&gt;=$C146),1,0)))</f>
        <v>0</v>
      </c>
      <c r="CD152" s="160">
        <f t="shared" ref="CD152" si="2067">IF(OR(CD142&lt;=$C144,CD142&gt;$C145),0,IF(AND(CD142&lt;=$C146,$C152=1,MOD(MONTH(CD142)-MONTH($C144),6)=0),1,IF(AND(MOD(MONTH(CD142)-MONTH($C144),$C151)=0,CD142&gt;=$C146),1,0)))</f>
        <v>0</v>
      </c>
      <c r="CE152" s="160">
        <f t="shared" ref="CE152" si="2068">IF(OR(CE142&lt;=$C144,CE142&gt;$C145),0,IF(AND(CE142&lt;=$C146,$C152=1,MOD(MONTH(CE142)-MONTH($C144),6)=0),1,IF(AND(MOD(MONTH(CE142)-MONTH($C144),$C151)=0,CE142&gt;=$C146),1,0)))</f>
        <v>0</v>
      </c>
      <c r="CF152" s="160">
        <f t="shared" ref="CF152" si="2069">IF(OR(CF142&lt;=$C144,CF142&gt;$C145),0,IF(AND(CF142&lt;=$C146,$C152=1,MOD(MONTH(CF142)-MONTH($C144),6)=0),1,IF(AND(MOD(MONTH(CF142)-MONTH($C144),$C151)=0,CF142&gt;=$C146),1,0)))</f>
        <v>0</v>
      </c>
      <c r="CG152" s="160">
        <f t="shared" ref="CG152" si="2070">IF(OR(CG142&lt;=$C144,CG142&gt;$C145),0,IF(AND(CG142&lt;=$C146,$C152=1,MOD(MONTH(CG142)-MONTH($C144),6)=0),1,IF(AND(MOD(MONTH(CG142)-MONTH($C144),$C151)=0,CG142&gt;=$C146),1,0)))</f>
        <v>0</v>
      </c>
      <c r="CH152" s="160">
        <f t="shared" ref="CH152" si="2071">IF(OR(CH142&lt;=$C144,CH142&gt;$C145),0,IF(AND(CH142&lt;=$C146,$C152=1,MOD(MONTH(CH142)-MONTH($C144),6)=0),1,IF(AND(MOD(MONTH(CH142)-MONTH($C144),$C151)=0,CH142&gt;=$C146),1,0)))</f>
        <v>0</v>
      </c>
      <c r="CI152" s="160">
        <f t="shared" ref="CI152" si="2072">IF(OR(CI142&lt;=$C144,CI142&gt;$C145),0,IF(AND(CI142&lt;=$C146,$C152=1,MOD(MONTH(CI142)-MONTH($C144),6)=0),1,IF(AND(MOD(MONTH(CI142)-MONTH($C144),$C151)=0,CI142&gt;=$C146),1,0)))</f>
        <v>0</v>
      </c>
      <c r="CJ152" s="160">
        <f t="shared" ref="CJ152:CK152" si="2073">IF(OR(CJ142&lt;=$C144,CJ142&gt;$C145),0,IF(AND(CJ142&lt;=$C146,$C152=1,MOD(MONTH(CJ142)-MONTH($C144),6)=0),1,IF(AND(MOD(MONTH(CJ142)-MONTH($C144),$C151)=0,CJ142&gt;=$C146),1,0)))</f>
        <v>0</v>
      </c>
      <c r="CK152" s="160">
        <f t="shared" si="2073"/>
        <v>1</v>
      </c>
      <c r="CL152" s="160">
        <f t="shared" ref="CL152" si="2074">IF(OR(CL142&lt;=$C144,CL142&gt;$C145),0,IF(AND(CL142&lt;=$C146,$C152=1,MOD(MONTH(CL142)-MONTH($C144),6)=0),1,IF(AND(MOD(MONTH(CL142)-MONTH($C144),$C151)=0,CL142&gt;=$C146),1,0)))</f>
        <v>0</v>
      </c>
      <c r="CM152" s="160">
        <f t="shared" ref="CM152" si="2075">IF(OR(CM142&lt;=$C144,CM142&gt;$C145),0,IF(AND(CM142&lt;=$C146,$C152=1,MOD(MONTH(CM142)-MONTH($C144),6)=0),1,IF(AND(MOD(MONTH(CM142)-MONTH($C144),$C151)=0,CM142&gt;=$C146),1,0)))</f>
        <v>0</v>
      </c>
      <c r="CN152" s="160">
        <f t="shared" ref="CN152" si="2076">IF(OR(CN142&lt;=$C144,CN142&gt;$C145),0,IF(AND(CN142&lt;=$C146,$C152=1,MOD(MONTH(CN142)-MONTH($C144),6)=0),1,IF(AND(MOD(MONTH(CN142)-MONTH($C144),$C151)=0,CN142&gt;=$C146),1,0)))</f>
        <v>0</v>
      </c>
      <c r="CO152" s="160">
        <f t="shared" ref="CO152" si="2077">IF(OR(CO142&lt;=$C144,CO142&gt;$C145),0,IF(AND(CO142&lt;=$C146,$C152=1,MOD(MONTH(CO142)-MONTH($C144),6)=0),1,IF(AND(MOD(MONTH(CO142)-MONTH($C144),$C151)=0,CO142&gt;=$C146),1,0)))</f>
        <v>0</v>
      </c>
      <c r="CP152" s="160">
        <f t="shared" ref="CP152" si="2078">IF(OR(CP142&lt;=$C144,CP142&gt;$C145),0,IF(AND(CP142&lt;=$C146,$C152=1,MOD(MONTH(CP142)-MONTH($C144),6)=0),1,IF(AND(MOD(MONTH(CP142)-MONTH($C144),$C151)=0,CP142&gt;=$C146),1,0)))</f>
        <v>0</v>
      </c>
      <c r="CQ152" s="160">
        <f t="shared" ref="CQ152" si="2079">IF(OR(CQ142&lt;=$C144,CQ142&gt;$C145),0,IF(AND(CQ142&lt;=$C146,$C152=1,MOD(MONTH(CQ142)-MONTH($C144),6)=0),1,IF(AND(MOD(MONTH(CQ142)-MONTH($C144),$C151)=0,CQ142&gt;=$C146),1,0)))</f>
        <v>0</v>
      </c>
      <c r="CR152" s="160">
        <f t="shared" ref="CR152" si="2080">IF(OR(CR142&lt;=$C144,CR142&gt;$C145),0,IF(AND(CR142&lt;=$C146,$C152=1,MOD(MONTH(CR142)-MONTH($C144),6)=0),1,IF(AND(MOD(MONTH(CR142)-MONTH($C144),$C151)=0,CR142&gt;=$C146),1,0)))</f>
        <v>0</v>
      </c>
      <c r="CS152" s="160">
        <f t="shared" ref="CS152" si="2081">IF(OR(CS142&lt;=$C144,CS142&gt;$C145),0,IF(AND(CS142&lt;=$C146,$C152=1,MOD(MONTH(CS142)-MONTH($C144),6)=0),1,IF(AND(MOD(MONTH(CS142)-MONTH($C144),$C151)=0,CS142&gt;=$C146),1,0)))</f>
        <v>0</v>
      </c>
      <c r="CT152" s="160">
        <f t="shared" ref="CT152" si="2082">IF(OR(CT142&lt;=$C144,CT142&gt;$C145),0,IF(AND(CT142&lt;=$C146,$C152=1,MOD(MONTH(CT142)-MONTH($C144),6)=0),1,IF(AND(MOD(MONTH(CT142)-MONTH($C144),$C151)=0,CT142&gt;=$C146),1,0)))</f>
        <v>0</v>
      </c>
      <c r="CU152" s="160">
        <f t="shared" ref="CU152" si="2083">IF(OR(CU142&lt;=$C144,CU142&gt;$C145),0,IF(AND(CU142&lt;=$C146,$C152=1,MOD(MONTH(CU142)-MONTH($C144),6)=0),1,IF(AND(MOD(MONTH(CU142)-MONTH($C144),$C151)=0,CU142&gt;=$C146),1,0)))</f>
        <v>0</v>
      </c>
      <c r="CV152" s="160">
        <f t="shared" ref="CV152" si="2084">IF(OR(CV142&lt;=$C144,CV142&gt;$C145),0,IF(AND(CV142&lt;=$C146,$C152=1,MOD(MONTH(CV142)-MONTH($C144),6)=0),1,IF(AND(MOD(MONTH(CV142)-MONTH($C144),$C151)=0,CV142&gt;=$C146),1,0)))</f>
        <v>0</v>
      </c>
      <c r="CW152" s="160">
        <f t="shared" ref="CW152" si="2085">IF(OR(CW142&lt;=$C144,CW142&gt;$C145),0,IF(AND(CW142&lt;=$C146,$C152=1,MOD(MONTH(CW142)-MONTH($C144),6)=0),1,IF(AND(MOD(MONTH(CW142)-MONTH($C144),$C151)=0,CW142&gt;=$C146),1,0)))</f>
        <v>0</v>
      </c>
      <c r="CX152" s="160">
        <f t="shared" ref="CX152:CY152" si="2086">IF(OR(CX142&lt;=$C144,CX142&gt;$C145),0,IF(AND(CX142&lt;=$C146,$C152=1,MOD(MONTH(CX142)-MONTH($C144),6)=0),1,IF(AND(MOD(MONTH(CX142)-MONTH($C144),$C151)=0,CX142&gt;=$C146),1,0)))</f>
        <v>0</v>
      </c>
      <c r="CY152" s="160">
        <f t="shared" si="2086"/>
        <v>0</v>
      </c>
      <c r="CZ152" s="160">
        <f t="shared" ref="CZ152" si="2087">IF(OR(CZ142&lt;=$C144,CZ142&gt;$C145),0,IF(AND(CZ142&lt;=$C146,$C152=1,MOD(MONTH(CZ142)-MONTH($C144),6)=0),1,IF(AND(MOD(MONTH(CZ142)-MONTH($C144),$C151)=0,CZ142&gt;=$C146),1,0)))</f>
        <v>0</v>
      </c>
      <c r="DA152" s="160">
        <f t="shared" ref="DA152" si="2088">IF(OR(DA142&lt;=$C144,DA142&gt;$C145),0,IF(AND(DA142&lt;=$C146,$C152=1,MOD(MONTH(DA142)-MONTH($C144),6)=0),1,IF(AND(MOD(MONTH(DA142)-MONTH($C144),$C151)=0,DA142&gt;=$C146),1,0)))</f>
        <v>0</v>
      </c>
      <c r="DB152" s="160">
        <f t="shared" ref="DB152" si="2089">IF(OR(DB142&lt;=$C144,DB142&gt;$C145),0,IF(AND(DB142&lt;=$C146,$C152=1,MOD(MONTH(DB142)-MONTH($C144),6)=0),1,IF(AND(MOD(MONTH(DB142)-MONTH($C144),$C151)=0,DB142&gt;=$C146),1,0)))</f>
        <v>0</v>
      </c>
      <c r="DC152" s="160">
        <f t="shared" ref="DC152" si="2090">IF(OR(DC142&lt;=$C144,DC142&gt;$C145),0,IF(AND(DC142&lt;=$C146,$C152=1,MOD(MONTH(DC142)-MONTH($C144),6)=0),1,IF(AND(MOD(MONTH(DC142)-MONTH($C144),$C151)=0,DC142&gt;=$C146),1,0)))</f>
        <v>0</v>
      </c>
      <c r="DD152" s="160">
        <f t="shared" ref="DD152" si="2091">IF(OR(DD142&lt;=$C144,DD142&gt;$C145),0,IF(AND(DD142&lt;=$C146,$C152=1,MOD(MONTH(DD142)-MONTH($C144),6)=0),1,IF(AND(MOD(MONTH(DD142)-MONTH($C144),$C151)=0,DD142&gt;=$C146),1,0)))</f>
        <v>0</v>
      </c>
      <c r="DE152" s="160">
        <f t="shared" ref="DE152" si="2092">IF(OR(DE142&lt;=$C144,DE142&gt;$C145),0,IF(AND(DE142&lt;=$C146,$C152=1,MOD(MONTH(DE142)-MONTH($C144),6)=0),1,IF(AND(MOD(MONTH(DE142)-MONTH($C144),$C151)=0,DE142&gt;=$C146),1,0)))</f>
        <v>0</v>
      </c>
      <c r="DF152" s="160">
        <f t="shared" ref="DF152" si="2093">IF(OR(DF142&lt;=$C144,DF142&gt;$C145),0,IF(AND(DF142&lt;=$C146,$C152=1,MOD(MONTH(DF142)-MONTH($C144),6)=0),1,IF(AND(MOD(MONTH(DF142)-MONTH($C144),$C151)=0,DF142&gt;=$C146),1,0)))</f>
        <v>0</v>
      </c>
      <c r="DG152" s="160">
        <f t="shared" ref="DG152" si="2094">IF(OR(DG142&lt;=$C144,DG142&gt;$C145),0,IF(AND(DG142&lt;=$C146,$C152=1,MOD(MONTH(DG142)-MONTH($C144),6)=0),1,IF(AND(MOD(MONTH(DG142)-MONTH($C144),$C151)=0,DG142&gt;=$C146),1,0)))</f>
        <v>0</v>
      </c>
      <c r="DH152" s="160">
        <f t="shared" ref="DH152" si="2095">IF(OR(DH142&lt;=$C144,DH142&gt;$C145),0,IF(AND(DH142&lt;=$C146,$C152=1,MOD(MONTH(DH142)-MONTH($C144),6)=0),1,IF(AND(MOD(MONTH(DH142)-MONTH($C144),$C151)=0,DH142&gt;=$C146),1,0)))</f>
        <v>0</v>
      </c>
      <c r="DI152" s="160">
        <f t="shared" ref="DI152" si="2096">IF(OR(DI142&lt;=$C144,DI142&gt;$C145),0,IF(AND(DI142&lt;=$C146,$C152=1,MOD(MONTH(DI142)-MONTH($C144),6)=0),1,IF(AND(MOD(MONTH(DI142)-MONTH($C144),$C151)=0,DI142&gt;=$C146),1,0)))</f>
        <v>0</v>
      </c>
      <c r="DJ152" s="160">
        <f t="shared" ref="DJ152" si="2097">IF(OR(DJ142&lt;=$C144,DJ142&gt;$C145),0,IF(AND(DJ142&lt;=$C146,$C152=1,MOD(MONTH(DJ142)-MONTH($C144),6)=0),1,IF(AND(MOD(MONTH(DJ142)-MONTH($C144),$C151)=0,DJ142&gt;=$C146),1,0)))</f>
        <v>0</v>
      </c>
      <c r="DK152" s="160">
        <f t="shared" ref="DK152" si="2098">IF(OR(DK142&lt;=$C144,DK142&gt;$C145),0,IF(AND(DK142&lt;=$C146,$C152=1,MOD(MONTH(DK142)-MONTH($C144),6)=0),1,IF(AND(MOD(MONTH(DK142)-MONTH($C144),$C151)=0,DK142&gt;=$C146),1,0)))</f>
        <v>0</v>
      </c>
      <c r="DL152" s="160">
        <f t="shared" ref="DL152:DM152" si="2099">IF(OR(DL142&lt;=$C144,DL142&gt;$C145),0,IF(AND(DL142&lt;=$C146,$C152=1,MOD(MONTH(DL142)-MONTH($C144),6)=0),1,IF(AND(MOD(MONTH(DL142)-MONTH($C144),$C151)=0,DL142&gt;=$C146),1,0)))</f>
        <v>0</v>
      </c>
      <c r="DM152" s="160">
        <f t="shared" si="2099"/>
        <v>0</v>
      </c>
      <c r="DN152" s="160">
        <f t="shared" ref="DN152" si="2100">IF(OR(DN142&lt;=$C144,DN142&gt;$C145),0,IF(AND(DN142&lt;=$C146,$C152=1,MOD(MONTH(DN142)-MONTH($C144),6)=0),1,IF(AND(MOD(MONTH(DN142)-MONTH($C144),$C151)=0,DN142&gt;=$C146),1,0)))</f>
        <v>0</v>
      </c>
      <c r="DO152" s="160">
        <f t="shared" ref="DO152" si="2101">IF(OR(DO142&lt;=$C144,DO142&gt;$C145),0,IF(AND(DO142&lt;=$C146,$C152=1,MOD(MONTH(DO142)-MONTH($C144),6)=0),1,IF(AND(MOD(MONTH(DO142)-MONTH($C144),$C151)=0,DO142&gt;=$C146),1,0)))</f>
        <v>0</v>
      </c>
      <c r="DP152" s="160">
        <f t="shared" ref="DP152" si="2102">IF(OR(DP142&lt;=$C144,DP142&gt;$C145),0,IF(AND(DP142&lt;=$C146,$C152=1,MOD(MONTH(DP142)-MONTH($C144),6)=0),1,IF(AND(MOD(MONTH(DP142)-MONTH($C144),$C151)=0,DP142&gt;=$C146),1,0)))</f>
        <v>0</v>
      </c>
      <c r="DQ152" s="160">
        <f t="shared" ref="DQ152" si="2103">IF(OR(DQ142&lt;=$C144,DQ142&gt;$C145),0,IF(AND(DQ142&lt;=$C146,$C152=1,MOD(MONTH(DQ142)-MONTH($C144),6)=0),1,IF(AND(MOD(MONTH(DQ142)-MONTH($C144),$C151)=0,DQ142&gt;=$C146),1,0)))</f>
        <v>0</v>
      </c>
      <c r="DR152" s="160">
        <f t="shared" ref="DR152" si="2104">IF(OR(DR142&lt;=$C144,DR142&gt;$C145),0,IF(AND(DR142&lt;=$C146,$C152=1,MOD(MONTH(DR142)-MONTH($C144),6)=0),1,IF(AND(MOD(MONTH(DR142)-MONTH($C144),$C151)=0,DR142&gt;=$C146),1,0)))</f>
        <v>0</v>
      </c>
      <c r="DS152" s="160">
        <f t="shared" ref="DS152" si="2105">IF(OR(DS142&lt;=$C144,DS142&gt;$C145),0,IF(AND(DS142&lt;=$C146,$C152=1,MOD(MONTH(DS142)-MONTH($C144),6)=0),1,IF(AND(MOD(MONTH(DS142)-MONTH($C144),$C151)=0,DS142&gt;=$C146),1,0)))</f>
        <v>0</v>
      </c>
      <c r="DT152" s="160">
        <f t="shared" ref="DT152" si="2106">IF(OR(DT142&lt;=$C144,DT142&gt;$C145),0,IF(AND(DT142&lt;=$C146,$C152=1,MOD(MONTH(DT142)-MONTH($C144),6)=0),1,IF(AND(MOD(MONTH(DT142)-MONTH($C144),$C151)=0,DT142&gt;=$C146),1,0)))</f>
        <v>0</v>
      </c>
      <c r="DU152" s="160">
        <f t="shared" ref="DU152" si="2107">IF(OR(DU142&lt;=$C144,DU142&gt;$C145),0,IF(AND(DU142&lt;=$C146,$C152=1,MOD(MONTH(DU142)-MONTH($C144),6)=0),1,IF(AND(MOD(MONTH(DU142)-MONTH($C144),$C151)=0,DU142&gt;=$C146),1,0)))</f>
        <v>0</v>
      </c>
      <c r="DV152" s="160">
        <f t="shared" ref="DV152" si="2108">IF(OR(DV142&lt;=$C144,DV142&gt;$C145),0,IF(AND(DV142&lt;=$C146,$C152=1,MOD(MONTH(DV142)-MONTH($C144),6)=0),1,IF(AND(MOD(MONTH(DV142)-MONTH($C144),$C151)=0,DV142&gt;=$C146),1,0)))</f>
        <v>0</v>
      </c>
      <c r="DW152" s="160">
        <f t="shared" ref="DW152" si="2109">IF(OR(DW142&lt;=$C144,DW142&gt;$C145),0,IF(AND(DW142&lt;=$C146,$C152=1,MOD(MONTH(DW142)-MONTH($C144),6)=0),1,IF(AND(MOD(MONTH(DW142)-MONTH($C144),$C151)=0,DW142&gt;=$C146),1,0)))</f>
        <v>0</v>
      </c>
      <c r="DX152" s="160">
        <f t="shared" ref="DX152" si="2110">IF(OR(DX142&lt;=$C144,DX142&gt;$C145),0,IF(AND(DX142&lt;=$C146,$C152=1,MOD(MONTH(DX142)-MONTH($C144),6)=0),1,IF(AND(MOD(MONTH(DX142)-MONTH($C144),$C151)=0,DX142&gt;=$C146),1,0)))</f>
        <v>0</v>
      </c>
      <c r="DY152" s="160">
        <f t="shared" ref="DY152" si="2111">IF(OR(DY142&lt;=$C144,DY142&gt;$C145),0,IF(AND(DY142&lt;=$C146,$C152=1,MOD(MONTH(DY142)-MONTH($C144),6)=0),1,IF(AND(MOD(MONTH(DY142)-MONTH($C144),$C151)=0,DY142&gt;=$C146),1,0)))</f>
        <v>0</v>
      </c>
      <c r="DZ152" s="160">
        <f t="shared" ref="DZ152:EA152" si="2112">IF(OR(DZ142&lt;=$C144,DZ142&gt;$C145),0,IF(AND(DZ142&lt;=$C146,$C152=1,MOD(MONTH(DZ142)-MONTH($C144),6)=0),1,IF(AND(MOD(MONTH(DZ142)-MONTH($C144),$C151)=0,DZ142&gt;=$C146),1,0)))</f>
        <v>0</v>
      </c>
      <c r="EA152" s="160">
        <f t="shared" si="2112"/>
        <v>0</v>
      </c>
      <c r="EB152" s="160">
        <f t="shared" ref="EB152" si="2113">IF(OR(EB142&lt;=$C144,EB142&gt;$C145),0,IF(AND(EB142&lt;=$C146,$C152=1,MOD(MONTH(EB142)-MONTH($C144),6)=0),1,IF(AND(MOD(MONTH(EB142)-MONTH($C144),$C151)=0,EB142&gt;=$C146),1,0)))</f>
        <v>0</v>
      </c>
      <c r="EC152" s="160">
        <f t="shared" ref="EC152" si="2114">IF(OR(EC142&lt;=$C144,EC142&gt;$C145),0,IF(AND(EC142&lt;=$C146,$C152=1,MOD(MONTH(EC142)-MONTH($C144),6)=0),1,IF(AND(MOD(MONTH(EC142)-MONTH($C144),$C151)=0,EC142&gt;=$C146),1,0)))</f>
        <v>0</v>
      </c>
      <c r="ED152" s="160">
        <f t="shared" ref="ED152" si="2115">IF(OR(ED142&lt;=$C144,ED142&gt;$C145),0,IF(AND(ED142&lt;=$C146,$C152=1,MOD(MONTH(ED142)-MONTH($C144),6)=0),1,IF(AND(MOD(MONTH(ED142)-MONTH($C144),$C151)=0,ED142&gt;=$C146),1,0)))</f>
        <v>0</v>
      </c>
      <c r="EE152" s="160">
        <f t="shared" ref="EE152" si="2116">IF(OR(EE142&lt;=$C144,EE142&gt;$C145),0,IF(AND(EE142&lt;=$C146,$C152=1,MOD(MONTH(EE142)-MONTH($C144),6)=0),1,IF(AND(MOD(MONTH(EE142)-MONTH($C144),$C151)=0,EE142&gt;=$C146),1,0)))</f>
        <v>0</v>
      </c>
      <c r="EF152" s="160">
        <f t="shared" ref="EF152" si="2117">IF(OR(EF142&lt;=$C144,EF142&gt;$C145),0,IF(AND(EF142&lt;=$C146,$C152=1,MOD(MONTH(EF142)-MONTH($C144),6)=0),1,IF(AND(MOD(MONTH(EF142)-MONTH($C144),$C151)=0,EF142&gt;=$C146),1,0)))</f>
        <v>0</v>
      </c>
      <c r="EG152" s="160">
        <f t="shared" ref="EG152" si="2118">IF(OR(EG142&lt;=$C144,EG142&gt;$C145),0,IF(AND(EG142&lt;=$C146,$C152=1,MOD(MONTH(EG142)-MONTH($C144),6)=0),1,IF(AND(MOD(MONTH(EG142)-MONTH($C144),$C151)=0,EG142&gt;=$C146),1,0)))</f>
        <v>0</v>
      </c>
      <c r="EH152" s="160">
        <f t="shared" ref="EH152" si="2119">IF(OR(EH142&lt;=$C144,EH142&gt;$C145),0,IF(AND(EH142&lt;=$C146,$C152=1,MOD(MONTH(EH142)-MONTH($C144),6)=0),1,IF(AND(MOD(MONTH(EH142)-MONTH($C144),$C151)=0,EH142&gt;=$C146),1,0)))</f>
        <v>0</v>
      </c>
      <c r="EI152" s="160">
        <f t="shared" ref="EI152" si="2120">IF(OR(EI142&lt;=$C144,EI142&gt;$C145),0,IF(AND(EI142&lt;=$C146,$C152=1,MOD(MONTH(EI142)-MONTH($C144),6)=0),1,IF(AND(MOD(MONTH(EI142)-MONTH($C144),$C151)=0,EI142&gt;=$C146),1,0)))</f>
        <v>0</v>
      </c>
      <c r="EJ152" s="160">
        <f t="shared" ref="EJ152" si="2121">IF(OR(EJ142&lt;=$C144,EJ142&gt;$C145),0,IF(AND(EJ142&lt;=$C146,$C152=1,MOD(MONTH(EJ142)-MONTH($C144),6)=0),1,IF(AND(MOD(MONTH(EJ142)-MONTH($C144),$C151)=0,EJ142&gt;=$C146),1,0)))</f>
        <v>0</v>
      </c>
      <c r="EK152" s="160">
        <f t="shared" ref="EK152" si="2122">IF(OR(EK142&lt;=$C144,EK142&gt;$C145),0,IF(AND(EK142&lt;=$C146,$C152=1,MOD(MONTH(EK142)-MONTH($C144),6)=0),1,IF(AND(MOD(MONTH(EK142)-MONTH($C144),$C151)=0,EK142&gt;=$C146),1,0)))</f>
        <v>0</v>
      </c>
      <c r="EL152" s="160">
        <f t="shared" ref="EL152" si="2123">IF(OR(EL142&lt;=$C144,EL142&gt;$C145),0,IF(AND(EL142&lt;=$C146,$C152=1,MOD(MONTH(EL142)-MONTH($C144),6)=0),1,IF(AND(MOD(MONTH(EL142)-MONTH($C144),$C151)=0,EL142&gt;=$C146),1,0)))</f>
        <v>0</v>
      </c>
      <c r="EM152" s="160">
        <f t="shared" ref="EM152" si="2124">IF(OR(EM142&lt;=$C144,EM142&gt;$C145),0,IF(AND(EM142&lt;=$C146,$C152=1,MOD(MONTH(EM142)-MONTH($C144),6)=0),1,IF(AND(MOD(MONTH(EM142)-MONTH($C144),$C151)=0,EM142&gt;=$C146),1,0)))</f>
        <v>0</v>
      </c>
      <c r="EN152" s="160">
        <f t="shared" ref="EN152:EO152" si="2125">IF(OR(EN142&lt;=$C144,EN142&gt;$C145),0,IF(AND(EN142&lt;=$C146,$C152=1,MOD(MONTH(EN142)-MONTH($C144),6)=0),1,IF(AND(MOD(MONTH(EN142)-MONTH($C144),$C151)=0,EN142&gt;=$C146),1,0)))</f>
        <v>0</v>
      </c>
      <c r="EO152" s="160">
        <f t="shared" si="2125"/>
        <v>0</v>
      </c>
      <c r="EP152" s="160">
        <f t="shared" ref="EP152" si="2126">IF(OR(EP142&lt;=$C144,EP142&gt;$C145),0,IF(AND(EP142&lt;=$C146,$C152=1,MOD(MONTH(EP142)-MONTH($C144),6)=0),1,IF(AND(MOD(MONTH(EP142)-MONTH($C144),$C151)=0,EP142&gt;=$C146),1,0)))</f>
        <v>0</v>
      </c>
      <c r="EQ152" s="160">
        <f t="shared" ref="EQ152" si="2127">IF(OR(EQ142&lt;=$C144,EQ142&gt;$C145),0,IF(AND(EQ142&lt;=$C146,$C152=1,MOD(MONTH(EQ142)-MONTH($C144),6)=0),1,IF(AND(MOD(MONTH(EQ142)-MONTH($C144),$C151)=0,EQ142&gt;=$C146),1,0)))</f>
        <v>0</v>
      </c>
      <c r="ER152" s="160">
        <f t="shared" ref="ER152" si="2128">IF(OR(ER142&lt;=$C144,ER142&gt;$C145),0,IF(AND(ER142&lt;=$C146,$C152=1,MOD(MONTH(ER142)-MONTH($C144),6)=0),1,IF(AND(MOD(MONTH(ER142)-MONTH($C144),$C151)=0,ER142&gt;=$C146),1,0)))</f>
        <v>0</v>
      </c>
      <c r="ES152" s="160">
        <f t="shared" ref="ES152" si="2129">IF(OR(ES142&lt;=$C144,ES142&gt;$C145),0,IF(AND(ES142&lt;=$C146,$C152=1,MOD(MONTH(ES142)-MONTH($C144),6)=0),1,IF(AND(MOD(MONTH(ES142)-MONTH($C144),$C151)=0,ES142&gt;=$C146),1,0)))</f>
        <v>0</v>
      </c>
      <c r="ET152" s="160">
        <f t="shared" ref="ET152" si="2130">IF(OR(ET142&lt;=$C144,ET142&gt;$C145),0,IF(AND(ET142&lt;=$C146,$C152=1,MOD(MONTH(ET142)-MONTH($C144),6)=0),1,IF(AND(MOD(MONTH(ET142)-MONTH($C144),$C151)=0,ET142&gt;=$C146),1,0)))</f>
        <v>0</v>
      </c>
      <c r="EU152" s="160">
        <f t="shared" ref="EU152" si="2131">IF(OR(EU142&lt;=$C144,EU142&gt;$C145),0,IF(AND(EU142&lt;=$C146,$C152=1,MOD(MONTH(EU142)-MONTH($C144),6)=0),1,IF(AND(MOD(MONTH(EU142)-MONTH($C144),$C151)=0,EU142&gt;=$C146),1,0)))</f>
        <v>0</v>
      </c>
      <c r="EV152" s="160">
        <f t="shared" ref="EV152" si="2132">IF(OR(EV142&lt;=$C144,EV142&gt;$C145),0,IF(AND(EV142&lt;=$C146,$C152=1,MOD(MONTH(EV142)-MONTH($C144),6)=0),1,IF(AND(MOD(MONTH(EV142)-MONTH($C144),$C151)=0,EV142&gt;=$C146),1,0)))</f>
        <v>0</v>
      </c>
      <c r="EW152" s="160">
        <f t="shared" ref="EW152" si="2133">IF(OR(EW142&lt;=$C144,EW142&gt;$C145),0,IF(AND(EW142&lt;=$C146,$C152=1,MOD(MONTH(EW142)-MONTH($C144),6)=0),1,IF(AND(MOD(MONTH(EW142)-MONTH($C144),$C151)=0,EW142&gt;=$C146),1,0)))</f>
        <v>0</v>
      </c>
      <c r="EX152" s="160">
        <f t="shared" ref="EX152" si="2134">IF(OR(EX142&lt;=$C144,EX142&gt;$C145),0,IF(AND(EX142&lt;=$C146,$C152=1,MOD(MONTH(EX142)-MONTH($C144),6)=0),1,IF(AND(MOD(MONTH(EX142)-MONTH($C144),$C151)=0,EX142&gt;=$C146),1,0)))</f>
        <v>0</v>
      </c>
      <c r="EY152" s="160">
        <f t="shared" ref="EY152" si="2135">IF(OR(EY142&lt;=$C144,EY142&gt;$C145),0,IF(AND(EY142&lt;=$C146,$C152=1,MOD(MONTH(EY142)-MONTH($C144),6)=0),1,IF(AND(MOD(MONTH(EY142)-MONTH($C144),$C151)=0,EY142&gt;=$C146),1,0)))</f>
        <v>0</v>
      </c>
      <c r="EZ152" s="160">
        <f t="shared" ref="EZ152" si="2136">IF(OR(EZ142&lt;=$C144,EZ142&gt;$C145),0,IF(AND(EZ142&lt;=$C146,$C152=1,MOD(MONTH(EZ142)-MONTH($C144),6)=0),1,IF(AND(MOD(MONTH(EZ142)-MONTH($C144),$C151)=0,EZ142&gt;=$C146),1,0)))</f>
        <v>0</v>
      </c>
      <c r="FA152" s="160">
        <f t="shared" ref="FA152" si="2137">IF(OR(FA142&lt;=$C144,FA142&gt;$C145),0,IF(AND(FA142&lt;=$C146,$C152=1,MOD(MONTH(FA142)-MONTH($C144),6)=0),1,IF(AND(MOD(MONTH(FA142)-MONTH($C144),$C151)=0,FA142&gt;=$C146),1,0)))</f>
        <v>0</v>
      </c>
      <c r="FB152" s="160">
        <f t="shared" ref="FB152:FC152" si="2138">IF(OR(FB142&lt;=$C144,FB142&gt;$C145),0,IF(AND(FB142&lt;=$C146,$C152=1,MOD(MONTH(FB142)-MONTH($C144),6)=0),1,IF(AND(MOD(MONTH(FB142)-MONTH($C144),$C151)=0,FB142&gt;=$C146),1,0)))</f>
        <v>0</v>
      </c>
      <c r="FC152" s="160">
        <f t="shared" si="2138"/>
        <v>0</v>
      </c>
      <c r="FD152" s="160">
        <f t="shared" ref="FD152" si="2139">IF(OR(FD142&lt;=$C144,FD142&gt;$C145),0,IF(AND(FD142&lt;=$C146,$C152=1,MOD(MONTH(FD142)-MONTH($C144),6)=0),1,IF(AND(MOD(MONTH(FD142)-MONTH($C144),$C151)=0,FD142&gt;=$C146),1,0)))</f>
        <v>0</v>
      </c>
      <c r="FE152" s="160">
        <f t="shared" ref="FE152" si="2140">IF(OR(FE142&lt;=$C144,FE142&gt;$C145),0,IF(AND(FE142&lt;=$C146,$C152=1,MOD(MONTH(FE142)-MONTH($C144),6)=0),1,IF(AND(MOD(MONTH(FE142)-MONTH($C144),$C151)=0,FE142&gt;=$C146),1,0)))</f>
        <v>0</v>
      </c>
      <c r="FF152" s="160">
        <f t="shared" ref="FF152" si="2141">IF(OR(FF142&lt;=$C144,FF142&gt;$C145),0,IF(AND(FF142&lt;=$C146,$C152=1,MOD(MONTH(FF142)-MONTH($C144),6)=0),1,IF(AND(MOD(MONTH(FF142)-MONTH($C144),$C151)=0,FF142&gt;=$C146),1,0)))</f>
        <v>0</v>
      </c>
      <c r="FG152" s="160">
        <f t="shared" ref="FG152" si="2142">IF(OR(FG142&lt;=$C144,FG142&gt;$C145),0,IF(AND(FG142&lt;=$C146,$C152=1,MOD(MONTH(FG142)-MONTH($C144),6)=0),1,IF(AND(MOD(MONTH(FG142)-MONTH($C144),$C151)=0,FG142&gt;=$C146),1,0)))</f>
        <v>0</v>
      </c>
      <c r="FH152" s="160">
        <f t="shared" ref="FH152" si="2143">IF(OR(FH142&lt;=$C144,FH142&gt;$C145),0,IF(AND(FH142&lt;=$C146,$C152=1,MOD(MONTH(FH142)-MONTH($C144),6)=0),1,IF(AND(MOD(MONTH(FH142)-MONTH($C144),$C151)=0,FH142&gt;=$C146),1,0)))</f>
        <v>0</v>
      </c>
      <c r="FI152" s="160">
        <f t="shared" ref="FI152" si="2144">IF(OR(FI142&lt;=$C144,FI142&gt;$C145),0,IF(AND(FI142&lt;=$C146,$C152=1,MOD(MONTH(FI142)-MONTH($C144),6)=0),1,IF(AND(MOD(MONTH(FI142)-MONTH($C144),$C151)=0,FI142&gt;=$C146),1,0)))</f>
        <v>0</v>
      </c>
      <c r="FJ152" s="160">
        <f t="shared" ref="FJ152" si="2145">IF(OR(FJ142&lt;=$C144,FJ142&gt;$C145),0,IF(AND(FJ142&lt;=$C146,$C152=1,MOD(MONTH(FJ142)-MONTH($C144),6)=0),1,IF(AND(MOD(MONTH(FJ142)-MONTH($C144),$C151)=0,FJ142&gt;=$C146),1,0)))</f>
        <v>0</v>
      </c>
      <c r="FK152" s="160">
        <f t="shared" ref="FK152" si="2146">IF(OR(FK142&lt;=$C144,FK142&gt;$C145),0,IF(AND(FK142&lt;=$C146,$C152=1,MOD(MONTH(FK142)-MONTH($C144),6)=0),1,IF(AND(MOD(MONTH(FK142)-MONTH($C144),$C151)=0,FK142&gt;=$C146),1,0)))</f>
        <v>0</v>
      </c>
      <c r="FL152" s="160">
        <f t="shared" ref="FL152" si="2147">IF(OR(FL142&lt;=$C144,FL142&gt;$C145),0,IF(AND(FL142&lt;=$C146,$C152=1,MOD(MONTH(FL142)-MONTH($C144),6)=0),1,IF(AND(MOD(MONTH(FL142)-MONTH($C144),$C151)=0,FL142&gt;=$C146),1,0)))</f>
        <v>0</v>
      </c>
      <c r="FM152" s="160">
        <f t="shared" ref="FM152" si="2148">IF(OR(FM142&lt;=$C144,FM142&gt;$C145),0,IF(AND(FM142&lt;=$C146,$C152=1,MOD(MONTH(FM142)-MONTH($C144),6)=0),1,IF(AND(MOD(MONTH(FM142)-MONTH($C144),$C151)=0,FM142&gt;=$C146),1,0)))</f>
        <v>0</v>
      </c>
      <c r="FN152" s="160">
        <f t="shared" ref="FN152" si="2149">IF(OR(FN142&lt;=$C144,FN142&gt;$C145),0,IF(AND(FN142&lt;=$C146,$C152=1,MOD(MONTH(FN142)-MONTH($C144),6)=0),1,IF(AND(MOD(MONTH(FN142)-MONTH($C144),$C151)=0,FN142&gt;=$C146),1,0)))</f>
        <v>0</v>
      </c>
      <c r="FO152" s="160">
        <f t="shared" ref="FO152" si="2150">IF(OR(FO142&lt;=$C144,FO142&gt;$C145),0,IF(AND(FO142&lt;=$C146,$C152=1,MOD(MONTH(FO142)-MONTH($C144),6)=0),1,IF(AND(MOD(MONTH(FO142)-MONTH($C144),$C151)=0,FO142&gt;=$C146),1,0)))</f>
        <v>0</v>
      </c>
      <c r="FP152" s="160">
        <f t="shared" ref="FP152:FQ152" si="2151">IF(OR(FP142&lt;=$C144,FP142&gt;$C145),0,IF(AND(FP142&lt;=$C146,$C152=1,MOD(MONTH(FP142)-MONTH($C144),6)=0),1,IF(AND(MOD(MONTH(FP142)-MONTH($C144),$C151)=0,FP142&gt;=$C146),1,0)))</f>
        <v>0</v>
      </c>
      <c r="FQ152" s="160">
        <f t="shared" si="2151"/>
        <v>0</v>
      </c>
      <c r="FR152" s="160">
        <f t="shared" ref="FR152" si="2152">IF(OR(FR142&lt;=$C144,FR142&gt;$C145),0,IF(AND(FR142&lt;=$C146,$C152=1,MOD(MONTH(FR142)-MONTH($C144),6)=0),1,IF(AND(MOD(MONTH(FR142)-MONTH($C144),$C151)=0,FR142&gt;=$C146),1,0)))</f>
        <v>0</v>
      </c>
      <c r="FS152" s="160">
        <f t="shared" ref="FS152" si="2153">IF(OR(FS142&lt;=$C144,FS142&gt;$C145),0,IF(AND(FS142&lt;=$C146,$C152=1,MOD(MONTH(FS142)-MONTH($C144),6)=0),1,IF(AND(MOD(MONTH(FS142)-MONTH($C144),$C151)=0,FS142&gt;=$C146),1,0)))</f>
        <v>0</v>
      </c>
      <c r="FT152" s="160">
        <f t="shared" ref="FT152" si="2154">IF(OR(FT142&lt;=$C144,FT142&gt;$C145),0,IF(AND(FT142&lt;=$C146,$C152=1,MOD(MONTH(FT142)-MONTH($C144),6)=0),1,IF(AND(MOD(MONTH(FT142)-MONTH($C144),$C151)=0,FT142&gt;=$C146),1,0)))</f>
        <v>0</v>
      </c>
      <c r="FU152" s="160">
        <f t="shared" ref="FU152" si="2155">IF(OR(FU142&lt;=$C144,FU142&gt;$C145),0,IF(AND(FU142&lt;=$C146,$C152=1,MOD(MONTH(FU142)-MONTH($C144),6)=0),1,IF(AND(MOD(MONTH(FU142)-MONTH($C144),$C151)=0,FU142&gt;=$C146),1,0)))</f>
        <v>0</v>
      </c>
      <c r="FV152" s="160">
        <f t="shared" ref="FV152" si="2156">IF(OR(FV142&lt;=$C144,FV142&gt;$C145),0,IF(AND(FV142&lt;=$C146,$C152=1,MOD(MONTH(FV142)-MONTH($C144),6)=0),1,IF(AND(MOD(MONTH(FV142)-MONTH($C144),$C151)=0,FV142&gt;=$C146),1,0)))</f>
        <v>0</v>
      </c>
      <c r="FW152" s="160">
        <f t="shared" ref="FW152" si="2157">IF(OR(FW142&lt;=$C144,FW142&gt;$C145),0,IF(AND(FW142&lt;=$C146,$C152=1,MOD(MONTH(FW142)-MONTH($C144),6)=0),1,IF(AND(MOD(MONTH(FW142)-MONTH($C144),$C151)=0,FW142&gt;=$C146),1,0)))</f>
        <v>0</v>
      </c>
      <c r="FX152" s="160">
        <f t="shared" ref="FX152" si="2158">IF(OR(FX142&lt;=$C144,FX142&gt;$C145),0,IF(AND(FX142&lt;=$C146,$C152=1,MOD(MONTH(FX142)-MONTH($C144),6)=0),1,IF(AND(MOD(MONTH(FX142)-MONTH($C144),$C151)=0,FX142&gt;=$C146),1,0)))</f>
        <v>0</v>
      </c>
      <c r="FY152" s="160">
        <f t="shared" ref="FY152" si="2159">IF(OR(FY142&lt;=$C144,FY142&gt;$C145),0,IF(AND(FY142&lt;=$C146,$C152=1,MOD(MONTH(FY142)-MONTH($C144),6)=0),1,IF(AND(MOD(MONTH(FY142)-MONTH($C144),$C151)=0,FY142&gt;=$C146),1,0)))</f>
        <v>0</v>
      </c>
      <c r="FZ152" s="160">
        <f t="shared" ref="FZ152" si="2160">IF(OR(FZ142&lt;=$C144,FZ142&gt;$C145),0,IF(AND(FZ142&lt;=$C146,$C152=1,MOD(MONTH(FZ142)-MONTH($C144),6)=0),1,IF(AND(MOD(MONTH(FZ142)-MONTH($C144),$C151)=0,FZ142&gt;=$C146),1,0)))</f>
        <v>0</v>
      </c>
      <c r="GA152" s="160">
        <f t="shared" ref="GA152" si="2161">IF(OR(GA142&lt;=$C144,GA142&gt;$C145),0,IF(AND(GA142&lt;=$C146,$C152=1,MOD(MONTH(GA142)-MONTH($C144),6)=0),1,IF(AND(MOD(MONTH(GA142)-MONTH($C144),$C151)=0,GA142&gt;=$C146),1,0)))</f>
        <v>0</v>
      </c>
      <c r="GB152" s="160">
        <f t="shared" ref="GB152" si="2162">IF(OR(GB142&lt;=$C144,GB142&gt;$C145),0,IF(AND(GB142&lt;=$C146,$C152=1,MOD(MONTH(GB142)-MONTH($C144),6)=0),1,IF(AND(MOD(MONTH(GB142)-MONTH($C144),$C151)=0,GB142&gt;=$C146),1,0)))</f>
        <v>0</v>
      </c>
      <c r="GC152" s="160">
        <f t="shared" ref="GC152" si="2163">IF(OR(GC142&lt;=$C144,GC142&gt;$C145),0,IF(AND(GC142&lt;=$C146,$C152=1,MOD(MONTH(GC142)-MONTH($C144),6)=0),1,IF(AND(MOD(MONTH(GC142)-MONTH($C144),$C151)=0,GC142&gt;=$C146),1,0)))</f>
        <v>0</v>
      </c>
      <c r="GD152" s="160">
        <f t="shared" ref="GD152:GE152" si="2164">IF(OR(GD142&lt;=$C144,GD142&gt;$C145),0,IF(AND(GD142&lt;=$C146,$C152=1,MOD(MONTH(GD142)-MONTH($C144),6)=0),1,IF(AND(MOD(MONTH(GD142)-MONTH($C144),$C151)=0,GD142&gt;=$C146),1,0)))</f>
        <v>0</v>
      </c>
      <c r="GE152" s="160">
        <f t="shared" si="2164"/>
        <v>0</v>
      </c>
      <c r="GF152" s="160">
        <f t="shared" ref="GF152" si="2165">IF(OR(GF142&lt;=$C144,GF142&gt;$C145),0,IF(AND(GF142&lt;=$C146,$C152=1,MOD(MONTH(GF142)-MONTH($C144),6)=0),1,IF(AND(MOD(MONTH(GF142)-MONTH($C144),$C151)=0,GF142&gt;=$C146),1,0)))</f>
        <v>0</v>
      </c>
      <c r="GG152" s="160">
        <f t="shared" ref="GG152" si="2166">IF(OR(GG142&lt;=$C144,GG142&gt;$C145),0,IF(AND(GG142&lt;=$C146,$C152=1,MOD(MONTH(GG142)-MONTH($C144),6)=0),1,IF(AND(MOD(MONTH(GG142)-MONTH($C144),$C151)=0,GG142&gt;=$C146),1,0)))</f>
        <v>0</v>
      </c>
      <c r="GH152" s="160">
        <f t="shared" ref="GH152" si="2167">IF(OR(GH142&lt;=$C144,GH142&gt;$C145),0,IF(AND(GH142&lt;=$C146,$C152=1,MOD(MONTH(GH142)-MONTH($C144),6)=0),1,IF(AND(MOD(MONTH(GH142)-MONTH($C144),$C151)=0,GH142&gt;=$C146),1,0)))</f>
        <v>0</v>
      </c>
      <c r="GI152" s="160">
        <f t="shared" ref="GI152" si="2168">IF(OR(GI142&lt;=$C144,GI142&gt;$C145),0,IF(AND(GI142&lt;=$C146,$C152=1,MOD(MONTH(GI142)-MONTH($C144),6)=0),1,IF(AND(MOD(MONTH(GI142)-MONTH($C144),$C151)=0,GI142&gt;=$C146),1,0)))</f>
        <v>0</v>
      </c>
      <c r="GJ152" s="160">
        <f t="shared" ref="GJ152" si="2169">IF(OR(GJ142&lt;=$C144,GJ142&gt;$C145),0,IF(AND(GJ142&lt;=$C146,$C152=1,MOD(MONTH(GJ142)-MONTH($C144),6)=0),1,IF(AND(MOD(MONTH(GJ142)-MONTH($C144),$C151)=0,GJ142&gt;=$C146),1,0)))</f>
        <v>0</v>
      </c>
      <c r="GK152" s="160">
        <f t="shared" ref="GK152" si="2170">IF(OR(GK142&lt;=$C144,GK142&gt;$C145),0,IF(AND(GK142&lt;=$C146,$C152=1,MOD(MONTH(GK142)-MONTH($C144),6)=0),1,IF(AND(MOD(MONTH(GK142)-MONTH($C144),$C151)=0,GK142&gt;=$C146),1,0)))</f>
        <v>0</v>
      </c>
      <c r="GL152" s="160">
        <f t="shared" ref="GL152" si="2171">IF(OR(GL142&lt;=$C144,GL142&gt;$C145),0,IF(AND(GL142&lt;=$C146,$C152=1,MOD(MONTH(GL142)-MONTH($C144),6)=0),1,IF(AND(MOD(MONTH(GL142)-MONTH($C144),$C151)=0,GL142&gt;=$C146),1,0)))</f>
        <v>0</v>
      </c>
      <c r="GM152" s="160">
        <f t="shared" ref="GM152" si="2172">IF(OR(GM142&lt;=$C144,GM142&gt;$C145),0,IF(AND(GM142&lt;=$C146,$C152=1,MOD(MONTH(GM142)-MONTH($C144),6)=0),1,IF(AND(MOD(MONTH(GM142)-MONTH($C144),$C151)=0,GM142&gt;=$C146),1,0)))</f>
        <v>0</v>
      </c>
      <c r="GN152" s="160">
        <f t="shared" ref="GN152" si="2173">IF(OR(GN142&lt;=$C144,GN142&gt;$C145),0,IF(AND(GN142&lt;=$C146,$C152=1,MOD(MONTH(GN142)-MONTH($C144),6)=0),1,IF(AND(MOD(MONTH(GN142)-MONTH($C144),$C151)=0,GN142&gt;=$C146),1,0)))</f>
        <v>0</v>
      </c>
      <c r="GO152" s="160">
        <f t="shared" ref="GO152" si="2174">IF(OR(GO142&lt;=$C144,GO142&gt;$C145),0,IF(AND(GO142&lt;=$C146,$C152=1,MOD(MONTH(GO142)-MONTH($C144),6)=0),1,IF(AND(MOD(MONTH(GO142)-MONTH($C144),$C151)=0,GO142&gt;=$C146),1,0)))</f>
        <v>0</v>
      </c>
      <c r="GP152" s="160">
        <f t="shared" ref="GP152" si="2175">IF(OR(GP142&lt;=$C144,GP142&gt;$C145),0,IF(AND(GP142&lt;=$C146,$C152=1,MOD(MONTH(GP142)-MONTH($C144),6)=0),1,IF(AND(MOD(MONTH(GP142)-MONTH($C144),$C151)=0,GP142&gt;=$C146),1,0)))</f>
        <v>0</v>
      </c>
      <c r="GQ152" s="160">
        <f t="shared" ref="GQ152" si="2176">IF(OR(GQ142&lt;=$C144,GQ142&gt;$C145),0,IF(AND(GQ142&lt;=$C146,$C152=1,MOD(MONTH(GQ142)-MONTH($C144),6)=0),1,IF(AND(MOD(MONTH(GQ142)-MONTH($C144),$C151)=0,GQ142&gt;=$C146),1,0)))</f>
        <v>0</v>
      </c>
    </row>
    <row r="153" spans="2:199" s="315" customFormat="1" outlineLevel="1">
      <c r="B153" s="182" t="s">
        <v>412</v>
      </c>
      <c r="C153" s="131">
        <v>0</v>
      </c>
      <c r="D153" s="182" t="s">
        <v>405</v>
      </c>
      <c r="E153" s="160">
        <f>IF(E147&lt;&gt;"",1,0)</f>
        <v>0</v>
      </c>
      <c r="F153" s="160">
        <f t="shared" ref="F153:BQ153" si="2177">IF(F147&lt;&gt;"",1,0)</f>
        <v>0</v>
      </c>
      <c r="G153" s="160">
        <f t="shared" si="2177"/>
        <v>0</v>
      </c>
      <c r="H153" s="160">
        <f t="shared" si="2177"/>
        <v>0</v>
      </c>
      <c r="I153" s="160">
        <f t="shared" si="2177"/>
        <v>0</v>
      </c>
      <c r="J153" s="160">
        <f t="shared" si="2177"/>
        <v>0</v>
      </c>
      <c r="K153" s="160">
        <f t="shared" si="2177"/>
        <v>0</v>
      </c>
      <c r="L153" s="160">
        <f t="shared" si="2177"/>
        <v>0</v>
      </c>
      <c r="M153" s="160">
        <f t="shared" si="2177"/>
        <v>0</v>
      </c>
      <c r="N153" s="160">
        <f t="shared" si="2177"/>
        <v>0</v>
      </c>
      <c r="O153" s="160">
        <f t="shared" si="2177"/>
        <v>0</v>
      </c>
      <c r="P153" s="160">
        <f t="shared" si="2177"/>
        <v>0</v>
      </c>
      <c r="Q153" s="160">
        <f t="shared" si="2177"/>
        <v>0</v>
      </c>
      <c r="R153" s="160">
        <f t="shared" si="2177"/>
        <v>0</v>
      </c>
      <c r="S153" s="160">
        <f t="shared" si="2177"/>
        <v>0</v>
      </c>
      <c r="T153" s="160">
        <f t="shared" si="2177"/>
        <v>0</v>
      </c>
      <c r="U153" s="160">
        <f t="shared" si="2177"/>
        <v>0</v>
      </c>
      <c r="V153" s="160">
        <f t="shared" si="2177"/>
        <v>0</v>
      </c>
      <c r="W153" s="160">
        <f t="shared" si="2177"/>
        <v>0</v>
      </c>
      <c r="X153" s="160">
        <f t="shared" si="2177"/>
        <v>0</v>
      </c>
      <c r="Y153" s="160">
        <f t="shared" si="2177"/>
        <v>0</v>
      </c>
      <c r="Z153" s="160">
        <f t="shared" si="2177"/>
        <v>0</v>
      </c>
      <c r="AA153" s="160">
        <f t="shared" si="2177"/>
        <v>0</v>
      </c>
      <c r="AB153" s="160">
        <f t="shared" si="2177"/>
        <v>0</v>
      </c>
      <c r="AC153" s="160">
        <f t="shared" si="2177"/>
        <v>0</v>
      </c>
      <c r="AD153" s="160">
        <f t="shared" si="2177"/>
        <v>0</v>
      </c>
      <c r="AE153" s="160">
        <f t="shared" si="2177"/>
        <v>0</v>
      </c>
      <c r="AF153" s="160">
        <f t="shared" si="2177"/>
        <v>0</v>
      </c>
      <c r="AG153" s="160">
        <f t="shared" si="2177"/>
        <v>0</v>
      </c>
      <c r="AH153" s="160">
        <f t="shared" si="2177"/>
        <v>0</v>
      </c>
      <c r="AI153" s="160">
        <f t="shared" si="2177"/>
        <v>0</v>
      </c>
      <c r="AJ153" s="160">
        <f t="shared" si="2177"/>
        <v>0</v>
      </c>
      <c r="AK153" s="160">
        <f t="shared" si="2177"/>
        <v>0</v>
      </c>
      <c r="AL153" s="160">
        <f t="shared" si="2177"/>
        <v>0</v>
      </c>
      <c r="AM153" s="160">
        <f t="shared" si="2177"/>
        <v>0</v>
      </c>
      <c r="AN153" s="160">
        <f t="shared" si="2177"/>
        <v>0</v>
      </c>
      <c r="AO153" s="160">
        <f t="shared" si="2177"/>
        <v>0</v>
      </c>
      <c r="AP153" s="160">
        <f t="shared" si="2177"/>
        <v>0</v>
      </c>
      <c r="AQ153" s="160">
        <f t="shared" si="2177"/>
        <v>0</v>
      </c>
      <c r="AR153" s="160">
        <f t="shared" si="2177"/>
        <v>0</v>
      </c>
      <c r="AS153" s="160">
        <f t="shared" si="2177"/>
        <v>0</v>
      </c>
      <c r="AT153" s="160">
        <f t="shared" si="2177"/>
        <v>0</v>
      </c>
      <c r="AU153" s="160">
        <f t="shared" si="2177"/>
        <v>0</v>
      </c>
      <c r="AV153" s="160">
        <f t="shared" si="2177"/>
        <v>0</v>
      </c>
      <c r="AW153" s="160">
        <f t="shared" si="2177"/>
        <v>0</v>
      </c>
      <c r="AX153" s="160">
        <f t="shared" si="2177"/>
        <v>0</v>
      </c>
      <c r="AY153" s="160">
        <f t="shared" si="2177"/>
        <v>0</v>
      </c>
      <c r="AZ153" s="160">
        <f t="shared" si="2177"/>
        <v>0</v>
      </c>
      <c r="BA153" s="160">
        <f t="shared" si="2177"/>
        <v>0</v>
      </c>
      <c r="BB153" s="160">
        <f t="shared" si="2177"/>
        <v>0</v>
      </c>
      <c r="BC153" s="160">
        <f t="shared" si="2177"/>
        <v>0</v>
      </c>
      <c r="BD153" s="160">
        <f t="shared" si="2177"/>
        <v>0</v>
      </c>
      <c r="BE153" s="160">
        <f t="shared" si="2177"/>
        <v>0</v>
      </c>
      <c r="BF153" s="160">
        <f t="shared" si="2177"/>
        <v>0</v>
      </c>
      <c r="BG153" s="160">
        <f t="shared" si="2177"/>
        <v>0</v>
      </c>
      <c r="BH153" s="160">
        <f t="shared" si="2177"/>
        <v>0</v>
      </c>
      <c r="BI153" s="160">
        <f t="shared" si="2177"/>
        <v>0</v>
      </c>
      <c r="BJ153" s="160">
        <f t="shared" si="2177"/>
        <v>0</v>
      </c>
      <c r="BK153" s="160">
        <f t="shared" si="2177"/>
        <v>0</v>
      </c>
      <c r="BL153" s="160">
        <f t="shared" si="2177"/>
        <v>0</v>
      </c>
      <c r="BM153" s="160">
        <f t="shared" si="2177"/>
        <v>0</v>
      </c>
      <c r="BN153" s="160">
        <f t="shared" si="2177"/>
        <v>0</v>
      </c>
      <c r="BO153" s="160">
        <f t="shared" si="2177"/>
        <v>0</v>
      </c>
      <c r="BP153" s="160">
        <f t="shared" si="2177"/>
        <v>0</v>
      </c>
      <c r="BQ153" s="160">
        <f t="shared" si="2177"/>
        <v>0</v>
      </c>
      <c r="BR153" s="160">
        <f t="shared" ref="BR153:EC153" si="2178">IF(BR147&lt;&gt;"",1,0)</f>
        <v>0</v>
      </c>
      <c r="BS153" s="160">
        <f t="shared" si="2178"/>
        <v>0</v>
      </c>
      <c r="BT153" s="160">
        <f t="shared" si="2178"/>
        <v>0</v>
      </c>
      <c r="BU153" s="160">
        <f t="shared" si="2178"/>
        <v>0</v>
      </c>
      <c r="BV153" s="160">
        <f t="shared" si="2178"/>
        <v>0</v>
      </c>
      <c r="BW153" s="160">
        <f t="shared" si="2178"/>
        <v>0</v>
      </c>
      <c r="BX153" s="160">
        <f t="shared" si="2178"/>
        <v>0</v>
      </c>
      <c r="BY153" s="160">
        <f t="shared" si="2178"/>
        <v>1</v>
      </c>
      <c r="BZ153" s="160">
        <f t="shared" si="2178"/>
        <v>0</v>
      </c>
      <c r="CA153" s="160">
        <f t="shared" si="2178"/>
        <v>0</v>
      </c>
      <c r="CB153" s="160">
        <f t="shared" si="2178"/>
        <v>0</v>
      </c>
      <c r="CC153" s="160">
        <f t="shared" si="2178"/>
        <v>0</v>
      </c>
      <c r="CD153" s="160">
        <f t="shared" si="2178"/>
        <v>0</v>
      </c>
      <c r="CE153" s="160">
        <f t="shared" si="2178"/>
        <v>0</v>
      </c>
      <c r="CF153" s="160">
        <f t="shared" si="2178"/>
        <v>0</v>
      </c>
      <c r="CG153" s="160">
        <f t="shared" si="2178"/>
        <v>0</v>
      </c>
      <c r="CH153" s="160">
        <f t="shared" si="2178"/>
        <v>0</v>
      </c>
      <c r="CI153" s="160">
        <f t="shared" si="2178"/>
        <v>0</v>
      </c>
      <c r="CJ153" s="160">
        <f t="shared" si="2178"/>
        <v>0</v>
      </c>
      <c r="CK153" s="160">
        <f t="shared" si="2178"/>
        <v>1</v>
      </c>
      <c r="CL153" s="160">
        <f t="shared" si="2178"/>
        <v>0</v>
      </c>
      <c r="CM153" s="160">
        <f t="shared" si="2178"/>
        <v>0</v>
      </c>
      <c r="CN153" s="160">
        <f t="shared" si="2178"/>
        <v>0</v>
      </c>
      <c r="CO153" s="160">
        <f t="shared" si="2178"/>
        <v>0</v>
      </c>
      <c r="CP153" s="160">
        <f t="shared" si="2178"/>
        <v>0</v>
      </c>
      <c r="CQ153" s="160">
        <f t="shared" si="2178"/>
        <v>0</v>
      </c>
      <c r="CR153" s="160">
        <f t="shared" si="2178"/>
        <v>0</v>
      </c>
      <c r="CS153" s="160">
        <f t="shared" si="2178"/>
        <v>0</v>
      </c>
      <c r="CT153" s="160">
        <f t="shared" si="2178"/>
        <v>0</v>
      </c>
      <c r="CU153" s="160">
        <f t="shared" si="2178"/>
        <v>0</v>
      </c>
      <c r="CV153" s="160">
        <f t="shared" si="2178"/>
        <v>0</v>
      </c>
      <c r="CW153" s="160">
        <f t="shared" si="2178"/>
        <v>0</v>
      </c>
      <c r="CX153" s="160">
        <f t="shared" si="2178"/>
        <v>0</v>
      </c>
      <c r="CY153" s="160">
        <f t="shared" si="2178"/>
        <v>0</v>
      </c>
      <c r="CZ153" s="160">
        <f t="shared" si="2178"/>
        <v>0</v>
      </c>
      <c r="DA153" s="160">
        <f t="shared" si="2178"/>
        <v>0</v>
      </c>
      <c r="DB153" s="160">
        <f t="shared" si="2178"/>
        <v>0</v>
      </c>
      <c r="DC153" s="160">
        <f t="shared" si="2178"/>
        <v>0</v>
      </c>
      <c r="DD153" s="160">
        <f t="shared" si="2178"/>
        <v>0</v>
      </c>
      <c r="DE153" s="160">
        <f t="shared" si="2178"/>
        <v>0</v>
      </c>
      <c r="DF153" s="160">
        <f t="shared" si="2178"/>
        <v>0</v>
      </c>
      <c r="DG153" s="160">
        <f t="shared" si="2178"/>
        <v>0</v>
      </c>
      <c r="DH153" s="160">
        <f t="shared" si="2178"/>
        <v>0</v>
      </c>
      <c r="DI153" s="160">
        <f t="shared" si="2178"/>
        <v>0</v>
      </c>
      <c r="DJ153" s="160">
        <f t="shared" si="2178"/>
        <v>0</v>
      </c>
      <c r="DK153" s="160">
        <f t="shared" si="2178"/>
        <v>0</v>
      </c>
      <c r="DL153" s="160">
        <f t="shared" si="2178"/>
        <v>0</v>
      </c>
      <c r="DM153" s="160">
        <f t="shared" si="2178"/>
        <v>0</v>
      </c>
      <c r="DN153" s="160">
        <f t="shared" si="2178"/>
        <v>0</v>
      </c>
      <c r="DO153" s="160">
        <f t="shared" si="2178"/>
        <v>0</v>
      </c>
      <c r="DP153" s="160">
        <f t="shared" si="2178"/>
        <v>0</v>
      </c>
      <c r="DQ153" s="160">
        <f t="shared" si="2178"/>
        <v>0</v>
      </c>
      <c r="DR153" s="160">
        <f t="shared" si="2178"/>
        <v>0</v>
      </c>
      <c r="DS153" s="160">
        <f t="shared" si="2178"/>
        <v>0</v>
      </c>
      <c r="DT153" s="160">
        <f t="shared" si="2178"/>
        <v>0</v>
      </c>
      <c r="DU153" s="160">
        <f t="shared" si="2178"/>
        <v>0</v>
      </c>
      <c r="DV153" s="160">
        <f t="shared" si="2178"/>
        <v>0</v>
      </c>
      <c r="DW153" s="160">
        <f t="shared" si="2178"/>
        <v>0</v>
      </c>
      <c r="DX153" s="160">
        <f t="shared" si="2178"/>
        <v>0</v>
      </c>
      <c r="DY153" s="160">
        <f t="shared" si="2178"/>
        <v>0</v>
      </c>
      <c r="DZ153" s="160">
        <f t="shared" si="2178"/>
        <v>0</v>
      </c>
      <c r="EA153" s="160">
        <f t="shared" si="2178"/>
        <v>0</v>
      </c>
      <c r="EB153" s="160">
        <f t="shared" si="2178"/>
        <v>0</v>
      </c>
      <c r="EC153" s="160">
        <f t="shared" si="2178"/>
        <v>0</v>
      </c>
      <c r="ED153" s="160">
        <f t="shared" ref="ED153:GO153" si="2179">IF(ED147&lt;&gt;"",1,0)</f>
        <v>0</v>
      </c>
      <c r="EE153" s="160">
        <f t="shared" si="2179"/>
        <v>0</v>
      </c>
      <c r="EF153" s="160">
        <f t="shared" si="2179"/>
        <v>0</v>
      </c>
      <c r="EG153" s="160">
        <f t="shared" si="2179"/>
        <v>0</v>
      </c>
      <c r="EH153" s="160">
        <f t="shared" si="2179"/>
        <v>0</v>
      </c>
      <c r="EI153" s="160">
        <f t="shared" si="2179"/>
        <v>0</v>
      </c>
      <c r="EJ153" s="160">
        <f t="shared" si="2179"/>
        <v>0</v>
      </c>
      <c r="EK153" s="160">
        <f t="shared" si="2179"/>
        <v>0</v>
      </c>
      <c r="EL153" s="160">
        <f t="shared" si="2179"/>
        <v>0</v>
      </c>
      <c r="EM153" s="160">
        <f t="shared" si="2179"/>
        <v>0</v>
      </c>
      <c r="EN153" s="160">
        <f t="shared" si="2179"/>
        <v>0</v>
      </c>
      <c r="EO153" s="160">
        <f t="shared" si="2179"/>
        <v>0</v>
      </c>
      <c r="EP153" s="160">
        <f t="shared" si="2179"/>
        <v>0</v>
      </c>
      <c r="EQ153" s="160">
        <f t="shared" si="2179"/>
        <v>0</v>
      </c>
      <c r="ER153" s="160">
        <f t="shared" si="2179"/>
        <v>0</v>
      </c>
      <c r="ES153" s="160">
        <f t="shared" si="2179"/>
        <v>0</v>
      </c>
      <c r="ET153" s="160">
        <f t="shared" si="2179"/>
        <v>0</v>
      </c>
      <c r="EU153" s="160">
        <f t="shared" si="2179"/>
        <v>0</v>
      </c>
      <c r="EV153" s="160">
        <f t="shared" si="2179"/>
        <v>0</v>
      </c>
      <c r="EW153" s="160">
        <f t="shared" si="2179"/>
        <v>0</v>
      </c>
      <c r="EX153" s="160">
        <f t="shared" si="2179"/>
        <v>0</v>
      </c>
      <c r="EY153" s="160">
        <f t="shared" si="2179"/>
        <v>0</v>
      </c>
      <c r="EZ153" s="160">
        <f t="shared" si="2179"/>
        <v>0</v>
      </c>
      <c r="FA153" s="160">
        <f t="shared" si="2179"/>
        <v>0</v>
      </c>
      <c r="FB153" s="160">
        <f t="shared" si="2179"/>
        <v>0</v>
      </c>
      <c r="FC153" s="160">
        <f t="shared" si="2179"/>
        <v>0</v>
      </c>
      <c r="FD153" s="160">
        <f t="shared" si="2179"/>
        <v>0</v>
      </c>
      <c r="FE153" s="160">
        <f t="shared" si="2179"/>
        <v>0</v>
      </c>
      <c r="FF153" s="160">
        <f t="shared" si="2179"/>
        <v>0</v>
      </c>
      <c r="FG153" s="160">
        <f t="shared" si="2179"/>
        <v>0</v>
      </c>
      <c r="FH153" s="160">
        <f t="shared" si="2179"/>
        <v>0</v>
      </c>
      <c r="FI153" s="160">
        <f t="shared" si="2179"/>
        <v>0</v>
      </c>
      <c r="FJ153" s="160">
        <f t="shared" si="2179"/>
        <v>0</v>
      </c>
      <c r="FK153" s="160">
        <f t="shared" si="2179"/>
        <v>0</v>
      </c>
      <c r="FL153" s="160">
        <f t="shared" si="2179"/>
        <v>0</v>
      </c>
      <c r="FM153" s="160">
        <f t="shared" si="2179"/>
        <v>0</v>
      </c>
      <c r="FN153" s="160">
        <f t="shared" si="2179"/>
        <v>0</v>
      </c>
      <c r="FO153" s="160">
        <f t="shared" si="2179"/>
        <v>0</v>
      </c>
      <c r="FP153" s="160">
        <f t="shared" si="2179"/>
        <v>0</v>
      </c>
      <c r="FQ153" s="160">
        <f t="shared" si="2179"/>
        <v>0</v>
      </c>
      <c r="FR153" s="160">
        <f t="shared" si="2179"/>
        <v>0</v>
      </c>
      <c r="FS153" s="160">
        <f t="shared" si="2179"/>
        <v>0</v>
      </c>
      <c r="FT153" s="160">
        <f t="shared" si="2179"/>
        <v>0</v>
      </c>
      <c r="FU153" s="160">
        <f t="shared" si="2179"/>
        <v>0</v>
      </c>
      <c r="FV153" s="160">
        <f t="shared" si="2179"/>
        <v>0</v>
      </c>
      <c r="FW153" s="160">
        <f t="shared" si="2179"/>
        <v>0</v>
      </c>
      <c r="FX153" s="160">
        <f t="shared" si="2179"/>
        <v>0</v>
      </c>
      <c r="FY153" s="160">
        <f t="shared" si="2179"/>
        <v>0</v>
      </c>
      <c r="FZ153" s="160">
        <f t="shared" si="2179"/>
        <v>0</v>
      </c>
      <c r="GA153" s="160">
        <f t="shared" si="2179"/>
        <v>0</v>
      </c>
      <c r="GB153" s="160">
        <f t="shared" si="2179"/>
        <v>0</v>
      </c>
      <c r="GC153" s="160">
        <f t="shared" si="2179"/>
        <v>0</v>
      </c>
      <c r="GD153" s="160">
        <f t="shared" si="2179"/>
        <v>0</v>
      </c>
      <c r="GE153" s="160">
        <f t="shared" si="2179"/>
        <v>0</v>
      </c>
      <c r="GF153" s="160">
        <f t="shared" si="2179"/>
        <v>0</v>
      </c>
      <c r="GG153" s="160">
        <f t="shared" si="2179"/>
        <v>0</v>
      </c>
      <c r="GH153" s="160">
        <f t="shared" si="2179"/>
        <v>0</v>
      </c>
      <c r="GI153" s="160">
        <f t="shared" si="2179"/>
        <v>0</v>
      </c>
      <c r="GJ153" s="160">
        <f t="shared" si="2179"/>
        <v>0</v>
      </c>
      <c r="GK153" s="160">
        <f t="shared" si="2179"/>
        <v>0</v>
      </c>
      <c r="GL153" s="160">
        <f t="shared" si="2179"/>
        <v>0</v>
      </c>
      <c r="GM153" s="160">
        <f t="shared" si="2179"/>
        <v>0</v>
      </c>
      <c r="GN153" s="160">
        <f t="shared" si="2179"/>
        <v>0</v>
      </c>
      <c r="GO153" s="160">
        <f t="shared" si="2179"/>
        <v>0</v>
      </c>
      <c r="GP153" s="160">
        <f t="shared" ref="GP153:GQ153" si="2180">IF(GP147&lt;&gt;"",1,0)</f>
        <v>0</v>
      </c>
      <c r="GQ153" s="160">
        <f t="shared" si="2180"/>
        <v>0</v>
      </c>
    </row>
    <row r="154" spans="2:199" s="315" customFormat="1" outlineLevel="1">
      <c r="B154" s="182" t="s">
        <v>406</v>
      </c>
      <c r="C154" s="207">
        <v>2</v>
      </c>
      <c r="D154" s="159"/>
      <c r="E154" s="159">
        <f>MAX(C154-E153,0)</f>
        <v>2</v>
      </c>
      <c r="F154" s="159">
        <f>MAX(E154-F153,0)</f>
        <v>2</v>
      </c>
      <c r="G154" s="159">
        <f t="shared" ref="G154" si="2181">MAX(F154-G153,0)</f>
        <v>2</v>
      </c>
      <c r="H154" s="159">
        <f t="shared" ref="H154" si="2182">MAX(G154-H153,0)</f>
        <v>2</v>
      </c>
      <c r="I154" s="159">
        <f t="shared" ref="I154" si="2183">MAX(H154-I153,0)</f>
        <v>2</v>
      </c>
      <c r="J154" s="159">
        <f t="shared" ref="J154" si="2184">MAX(I154-J153,0)</f>
        <v>2</v>
      </c>
      <c r="K154" s="159">
        <f t="shared" ref="K154" si="2185">MAX(J154-K153,0)</f>
        <v>2</v>
      </c>
      <c r="L154" s="159">
        <f t="shared" ref="L154" si="2186">MAX(K154-L153,0)</f>
        <v>2</v>
      </c>
      <c r="M154" s="159">
        <f t="shared" ref="M154" si="2187">MAX(L154-M153,0)</f>
        <v>2</v>
      </c>
      <c r="N154" s="159">
        <f t="shared" ref="N154" si="2188">MAX(M154-N153,0)</f>
        <v>2</v>
      </c>
      <c r="O154" s="159">
        <f t="shared" ref="O154" si="2189">MAX(N154-O153,0)</f>
        <v>2</v>
      </c>
      <c r="P154" s="159">
        <f t="shared" ref="P154" si="2190">MAX(O154-P153,0)</f>
        <v>2</v>
      </c>
      <c r="Q154" s="159">
        <f t="shared" ref="Q154" si="2191">MAX(P154-Q153,0)</f>
        <v>2</v>
      </c>
      <c r="R154" s="159">
        <f t="shared" ref="R154" si="2192">MAX(Q154-R153,0)</f>
        <v>2</v>
      </c>
      <c r="S154" s="159">
        <f t="shared" ref="S154" si="2193">MAX(R154-S153,0)</f>
        <v>2</v>
      </c>
      <c r="T154" s="159">
        <f t="shared" ref="T154" si="2194">MAX(S154-T153,0)</f>
        <v>2</v>
      </c>
      <c r="U154" s="159">
        <f t="shared" ref="U154" si="2195">MAX(T154-U153,0)</f>
        <v>2</v>
      </c>
      <c r="V154" s="159">
        <f t="shared" ref="V154" si="2196">MAX(U154-V153,0)</f>
        <v>2</v>
      </c>
      <c r="W154" s="159">
        <f t="shared" ref="W154" si="2197">MAX(V154-W153,0)</f>
        <v>2</v>
      </c>
      <c r="X154" s="159">
        <f t="shared" ref="X154" si="2198">MAX(W154-X153,0)</f>
        <v>2</v>
      </c>
      <c r="Y154" s="159">
        <f t="shared" ref="Y154" si="2199">MAX(X154-Y153,0)</f>
        <v>2</v>
      </c>
      <c r="Z154" s="159">
        <f t="shared" ref="Z154" si="2200">MAX(Y154-Z153,0)</f>
        <v>2</v>
      </c>
      <c r="AA154" s="159">
        <f t="shared" ref="AA154" si="2201">MAX(Z154-AA153,0)</f>
        <v>2</v>
      </c>
      <c r="AB154" s="159">
        <f t="shared" ref="AB154" si="2202">MAX(AA154-AB153,0)</f>
        <v>2</v>
      </c>
      <c r="AC154" s="159">
        <f t="shared" ref="AC154" si="2203">MAX(AB154-AC153,0)</f>
        <v>2</v>
      </c>
      <c r="AD154" s="159">
        <f t="shared" ref="AD154" si="2204">MAX(AC154-AD153,0)</f>
        <v>2</v>
      </c>
      <c r="AE154" s="159">
        <f t="shared" ref="AE154" si="2205">MAX(AD154-AE153,0)</f>
        <v>2</v>
      </c>
      <c r="AF154" s="159">
        <f t="shared" ref="AF154" si="2206">MAX(AE154-AF153,0)</f>
        <v>2</v>
      </c>
      <c r="AG154" s="159">
        <f t="shared" ref="AG154" si="2207">MAX(AF154-AG153,0)</f>
        <v>2</v>
      </c>
      <c r="AH154" s="159">
        <f t="shared" ref="AH154" si="2208">MAX(AG154-AH153,0)</f>
        <v>2</v>
      </c>
      <c r="AI154" s="159">
        <f t="shared" ref="AI154" si="2209">MAX(AH154-AI153,0)</f>
        <v>2</v>
      </c>
      <c r="AJ154" s="159">
        <f t="shared" ref="AJ154" si="2210">MAX(AI154-AJ153,0)</f>
        <v>2</v>
      </c>
      <c r="AK154" s="159">
        <f t="shared" ref="AK154" si="2211">MAX(AJ154-AK153,0)</f>
        <v>2</v>
      </c>
      <c r="AL154" s="159">
        <f t="shared" ref="AL154" si="2212">MAX(AK154-AL153,0)</f>
        <v>2</v>
      </c>
      <c r="AM154" s="159">
        <f t="shared" ref="AM154" si="2213">MAX(AL154-AM153,0)</f>
        <v>2</v>
      </c>
      <c r="AN154" s="159">
        <f t="shared" ref="AN154" si="2214">MAX(AM154-AN153,0)</f>
        <v>2</v>
      </c>
      <c r="AO154" s="159">
        <f t="shared" ref="AO154" si="2215">MAX(AN154-AO153,0)</f>
        <v>2</v>
      </c>
      <c r="AP154" s="159">
        <f t="shared" ref="AP154" si="2216">MAX(AO154-AP153,0)</f>
        <v>2</v>
      </c>
      <c r="AQ154" s="159">
        <f t="shared" ref="AQ154" si="2217">MAX(AP154-AQ153,0)</f>
        <v>2</v>
      </c>
      <c r="AR154" s="159">
        <f t="shared" ref="AR154" si="2218">MAX(AQ154-AR153,0)</f>
        <v>2</v>
      </c>
      <c r="AS154" s="159">
        <f t="shared" ref="AS154" si="2219">MAX(AR154-AS153,0)</f>
        <v>2</v>
      </c>
      <c r="AT154" s="159">
        <f t="shared" ref="AT154" si="2220">MAX(AS154-AT153,0)</f>
        <v>2</v>
      </c>
      <c r="AU154" s="159">
        <f t="shared" ref="AU154" si="2221">MAX(AT154-AU153,0)</f>
        <v>2</v>
      </c>
      <c r="AV154" s="159">
        <f t="shared" ref="AV154" si="2222">MAX(AU154-AV153,0)</f>
        <v>2</v>
      </c>
      <c r="AW154" s="159">
        <f t="shared" ref="AW154" si="2223">MAX(AV154-AW153,0)</f>
        <v>2</v>
      </c>
      <c r="AX154" s="159">
        <f t="shared" ref="AX154" si="2224">MAX(AW154-AX153,0)</f>
        <v>2</v>
      </c>
      <c r="AY154" s="159">
        <f t="shared" ref="AY154" si="2225">MAX(AX154-AY153,0)</f>
        <v>2</v>
      </c>
      <c r="AZ154" s="159">
        <f t="shared" ref="AZ154" si="2226">MAX(AY154-AZ153,0)</f>
        <v>2</v>
      </c>
      <c r="BA154" s="159">
        <f t="shared" ref="BA154" si="2227">MAX(AZ154-BA153,0)</f>
        <v>2</v>
      </c>
      <c r="BB154" s="159">
        <f t="shared" ref="BB154" si="2228">MAX(BA154-BB153,0)</f>
        <v>2</v>
      </c>
      <c r="BC154" s="159">
        <f t="shared" ref="BC154" si="2229">MAX(BB154-BC153,0)</f>
        <v>2</v>
      </c>
      <c r="BD154" s="159">
        <f t="shared" ref="BD154" si="2230">MAX(BC154-BD153,0)</f>
        <v>2</v>
      </c>
      <c r="BE154" s="159">
        <f t="shared" ref="BE154" si="2231">MAX(BD154-BE153,0)</f>
        <v>2</v>
      </c>
      <c r="BF154" s="159">
        <f t="shared" ref="BF154" si="2232">MAX(BE154-BF153,0)</f>
        <v>2</v>
      </c>
      <c r="BG154" s="159">
        <f t="shared" ref="BG154" si="2233">MAX(BF154-BG153,0)</f>
        <v>2</v>
      </c>
      <c r="BH154" s="159">
        <f t="shared" ref="BH154" si="2234">MAX(BG154-BH153,0)</f>
        <v>2</v>
      </c>
      <c r="BI154" s="159">
        <f t="shared" ref="BI154" si="2235">MAX(BH154-BI153,0)</f>
        <v>2</v>
      </c>
      <c r="BJ154" s="159">
        <f t="shared" ref="BJ154" si="2236">MAX(BI154-BJ153,0)</f>
        <v>2</v>
      </c>
      <c r="BK154" s="159">
        <f t="shared" ref="BK154" si="2237">MAX(BJ154-BK153,0)</f>
        <v>2</v>
      </c>
      <c r="BL154" s="159">
        <f t="shared" ref="BL154" si="2238">MAX(BK154-BL153,0)</f>
        <v>2</v>
      </c>
      <c r="BM154" s="159">
        <f t="shared" ref="BM154" si="2239">MAX(BL154-BM153,0)</f>
        <v>2</v>
      </c>
      <c r="BN154" s="159">
        <f t="shared" ref="BN154" si="2240">MAX(BM154-BN153,0)</f>
        <v>2</v>
      </c>
      <c r="BO154" s="159">
        <f t="shared" ref="BO154" si="2241">MAX(BN154-BO153,0)</f>
        <v>2</v>
      </c>
      <c r="BP154" s="159">
        <f t="shared" ref="BP154" si="2242">MAX(BO154-BP153,0)</f>
        <v>2</v>
      </c>
      <c r="BQ154" s="159">
        <f t="shared" ref="BQ154" si="2243">MAX(BP154-BQ153,0)</f>
        <v>2</v>
      </c>
      <c r="BR154" s="159">
        <f t="shared" ref="BR154" si="2244">MAX(BQ154-BR153,0)</f>
        <v>2</v>
      </c>
      <c r="BS154" s="159">
        <f t="shared" ref="BS154" si="2245">MAX(BR154-BS153,0)</f>
        <v>2</v>
      </c>
      <c r="BT154" s="159">
        <f t="shared" ref="BT154" si="2246">MAX(BS154-BT153,0)</f>
        <v>2</v>
      </c>
      <c r="BU154" s="159">
        <f t="shared" ref="BU154" si="2247">MAX(BT154-BU153,0)</f>
        <v>2</v>
      </c>
      <c r="BV154" s="159">
        <f t="shared" ref="BV154" si="2248">MAX(BU154-BV153,0)</f>
        <v>2</v>
      </c>
      <c r="BW154" s="159">
        <f t="shared" ref="BW154" si="2249">MAX(BV154-BW153,0)</f>
        <v>2</v>
      </c>
      <c r="BX154" s="159">
        <f t="shared" ref="BX154" si="2250">MAX(BW154-BX153,0)</f>
        <v>2</v>
      </c>
      <c r="BY154" s="159">
        <f t="shared" ref="BY154" si="2251">MAX(BX154-BY153,0)</f>
        <v>1</v>
      </c>
      <c r="BZ154" s="159">
        <f t="shared" ref="BZ154" si="2252">MAX(BY154-BZ153,0)</f>
        <v>1</v>
      </c>
      <c r="CA154" s="159">
        <f t="shared" ref="CA154" si="2253">MAX(BZ154-CA153,0)</f>
        <v>1</v>
      </c>
      <c r="CB154" s="159">
        <f t="shared" ref="CB154" si="2254">MAX(CA154-CB153,0)</f>
        <v>1</v>
      </c>
      <c r="CC154" s="159">
        <f t="shared" ref="CC154" si="2255">MAX(CB154-CC153,0)</f>
        <v>1</v>
      </c>
      <c r="CD154" s="159">
        <f t="shared" ref="CD154" si="2256">MAX(CC154-CD153,0)</f>
        <v>1</v>
      </c>
      <c r="CE154" s="159">
        <f t="shared" ref="CE154" si="2257">MAX(CD154-CE153,0)</f>
        <v>1</v>
      </c>
      <c r="CF154" s="159">
        <f t="shared" ref="CF154" si="2258">MAX(CE154-CF153,0)</f>
        <v>1</v>
      </c>
      <c r="CG154" s="159">
        <f t="shared" ref="CG154" si="2259">MAX(CF154-CG153,0)</f>
        <v>1</v>
      </c>
      <c r="CH154" s="159">
        <f t="shared" ref="CH154" si="2260">MAX(CG154-CH153,0)</f>
        <v>1</v>
      </c>
      <c r="CI154" s="159">
        <f t="shared" ref="CI154" si="2261">MAX(CH154-CI153,0)</f>
        <v>1</v>
      </c>
      <c r="CJ154" s="159">
        <f t="shared" ref="CJ154" si="2262">MAX(CI154-CJ153,0)</f>
        <v>1</v>
      </c>
      <c r="CK154" s="159">
        <f t="shared" ref="CK154" si="2263">MAX(CJ154-CK153,0)</f>
        <v>0</v>
      </c>
      <c r="CL154" s="159">
        <f t="shared" ref="CL154" si="2264">MAX(CK154-CL153,0)</f>
        <v>0</v>
      </c>
      <c r="CM154" s="159">
        <f t="shared" ref="CM154" si="2265">MAX(CL154-CM153,0)</f>
        <v>0</v>
      </c>
      <c r="CN154" s="159">
        <f t="shared" ref="CN154" si="2266">MAX(CM154-CN153,0)</f>
        <v>0</v>
      </c>
      <c r="CO154" s="159">
        <f t="shared" ref="CO154" si="2267">MAX(CN154-CO153,0)</f>
        <v>0</v>
      </c>
      <c r="CP154" s="159">
        <f t="shared" ref="CP154" si="2268">MAX(CO154-CP153,0)</f>
        <v>0</v>
      </c>
      <c r="CQ154" s="159">
        <f t="shared" ref="CQ154" si="2269">MAX(CP154-CQ153,0)</f>
        <v>0</v>
      </c>
      <c r="CR154" s="159">
        <f t="shared" ref="CR154" si="2270">MAX(CQ154-CR153,0)</f>
        <v>0</v>
      </c>
      <c r="CS154" s="159">
        <f t="shared" ref="CS154" si="2271">MAX(CR154-CS153,0)</f>
        <v>0</v>
      </c>
      <c r="CT154" s="159">
        <f t="shared" ref="CT154" si="2272">MAX(CS154-CT153,0)</f>
        <v>0</v>
      </c>
      <c r="CU154" s="159">
        <f t="shared" ref="CU154" si="2273">MAX(CT154-CU153,0)</f>
        <v>0</v>
      </c>
      <c r="CV154" s="159">
        <f t="shared" ref="CV154" si="2274">MAX(CU154-CV153,0)</f>
        <v>0</v>
      </c>
      <c r="CW154" s="159">
        <f t="shared" ref="CW154" si="2275">MAX(CV154-CW153,0)</f>
        <v>0</v>
      </c>
      <c r="CX154" s="159">
        <f t="shared" ref="CX154" si="2276">MAX(CW154-CX153,0)</f>
        <v>0</v>
      </c>
      <c r="CY154" s="159">
        <f t="shared" ref="CY154" si="2277">MAX(CX154-CY153,0)</f>
        <v>0</v>
      </c>
      <c r="CZ154" s="159">
        <f t="shared" ref="CZ154" si="2278">MAX(CY154-CZ153,0)</f>
        <v>0</v>
      </c>
      <c r="DA154" s="159">
        <f t="shared" ref="DA154" si="2279">MAX(CZ154-DA153,0)</f>
        <v>0</v>
      </c>
      <c r="DB154" s="159">
        <f t="shared" ref="DB154" si="2280">MAX(DA154-DB153,0)</f>
        <v>0</v>
      </c>
      <c r="DC154" s="159">
        <f t="shared" ref="DC154" si="2281">MAX(DB154-DC153,0)</f>
        <v>0</v>
      </c>
      <c r="DD154" s="159">
        <f t="shared" ref="DD154" si="2282">MAX(DC154-DD153,0)</f>
        <v>0</v>
      </c>
      <c r="DE154" s="159">
        <f t="shared" ref="DE154" si="2283">MAX(DD154-DE153,0)</f>
        <v>0</v>
      </c>
      <c r="DF154" s="159">
        <f t="shared" ref="DF154" si="2284">MAX(DE154-DF153,0)</f>
        <v>0</v>
      </c>
      <c r="DG154" s="159">
        <f t="shared" ref="DG154" si="2285">MAX(DF154-DG153,0)</f>
        <v>0</v>
      </c>
      <c r="DH154" s="159">
        <f t="shared" ref="DH154" si="2286">MAX(DG154-DH153,0)</f>
        <v>0</v>
      </c>
      <c r="DI154" s="159">
        <f t="shared" ref="DI154" si="2287">MAX(DH154-DI153,0)</f>
        <v>0</v>
      </c>
      <c r="DJ154" s="159">
        <f t="shared" ref="DJ154" si="2288">MAX(DI154-DJ153,0)</f>
        <v>0</v>
      </c>
      <c r="DK154" s="159">
        <f t="shared" ref="DK154" si="2289">MAX(DJ154-DK153,0)</f>
        <v>0</v>
      </c>
      <c r="DL154" s="159">
        <f t="shared" ref="DL154" si="2290">MAX(DK154-DL153,0)</f>
        <v>0</v>
      </c>
      <c r="DM154" s="159">
        <f t="shared" ref="DM154" si="2291">MAX(DL154-DM153,0)</f>
        <v>0</v>
      </c>
      <c r="DN154" s="159">
        <f t="shared" ref="DN154" si="2292">MAX(DM154-DN153,0)</f>
        <v>0</v>
      </c>
      <c r="DO154" s="159">
        <f t="shared" ref="DO154" si="2293">MAX(DN154-DO153,0)</f>
        <v>0</v>
      </c>
      <c r="DP154" s="159">
        <f t="shared" ref="DP154" si="2294">MAX(DO154-DP153,0)</f>
        <v>0</v>
      </c>
      <c r="DQ154" s="159">
        <f t="shared" ref="DQ154" si="2295">MAX(DP154-DQ153,0)</f>
        <v>0</v>
      </c>
      <c r="DR154" s="159">
        <f t="shared" ref="DR154" si="2296">MAX(DQ154-DR153,0)</f>
        <v>0</v>
      </c>
      <c r="DS154" s="159">
        <f t="shared" ref="DS154" si="2297">MAX(DR154-DS153,0)</f>
        <v>0</v>
      </c>
      <c r="DT154" s="159">
        <f t="shared" ref="DT154" si="2298">MAX(DS154-DT153,0)</f>
        <v>0</v>
      </c>
      <c r="DU154" s="159">
        <f t="shared" ref="DU154" si="2299">MAX(DT154-DU153,0)</f>
        <v>0</v>
      </c>
      <c r="DV154" s="159">
        <f t="shared" ref="DV154" si="2300">MAX(DU154-DV153,0)</f>
        <v>0</v>
      </c>
      <c r="DW154" s="159">
        <f t="shared" ref="DW154" si="2301">MAX(DV154-DW153,0)</f>
        <v>0</v>
      </c>
      <c r="DX154" s="159">
        <f t="shared" ref="DX154" si="2302">MAX(DW154-DX153,0)</f>
        <v>0</v>
      </c>
      <c r="DY154" s="159">
        <f t="shared" ref="DY154" si="2303">MAX(DX154-DY153,0)</f>
        <v>0</v>
      </c>
      <c r="DZ154" s="159">
        <f t="shared" ref="DZ154" si="2304">MAX(DY154-DZ153,0)</f>
        <v>0</v>
      </c>
      <c r="EA154" s="159">
        <f t="shared" ref="EA154" si="2305">MAX(DZ154-EA153,0)</f>
        <v>0</v>
      </c>
      <c r="EB154" s="159">
        <f t="shared" ref="EB154" si="2306">MAX(EA154-EB153,0)</f>
        <v>0</v>
      </c>
      <c r="EC154" s="159">
        <f t="shared" ref="EC154" si="2307">MAX(EB154-EC153,0)</f>
        <v>0</v>
      </c>
      <c r="ED154" s="159">
        <f t="shared" ref="ED154" si="2308">MAX(EC154-ED153,0)</f>
        <v>0</v>
      </c>
      <c r="EE154" s="159">
        <f t="shared" ref="EE154" si="2309">MAX(ED154-EE153,0)</f>
        <v>0</v>
      </c>
      <c r="EF154" s="159">
        <f t="shared" ref="EF154" si="2310">MAX(EE154-EF153,0)</f>
        <v>0</v>
      </c>
      <c r="EG154" s="159">
        <f t="shared" ref="EG154" si="2311">MAX(EF154-EG153,0)</f>
        <v>0</v>
      </c>
      <c r="EH154" s="159">
        <f t="shared" ref="EH154" si="2312">MAX(EG154-EH153,0)</f>
        <v>0</v>
      </c>
      <c r="EI154" s="159">
        <f t="shared" ref="EI154" si="2313">MAX(EH154-EI153,0)</f>
        <v>0</v>
      </c>
      <c r="EJ154" s="159">
        <f t="shared" ref="EJ154" si="2314">MAX(EI154-EJ153,0)</f>
        <v>0</v>
      </c>
      <c r="EK154" s="159">
        <f t="shared" ref="EK154" si="2315">MAX(EJ154-EK153,0)</f>
        <v>0</v>
      </c>
      <c r="EL154" s="159">
        <f t="shared" ref="EL154" si="2316">MAX(EK154-EL153,0)</f>
        <v>0</v>
      </c>
      <c r="EM154" s="159">
        <f t="shared" ref="EM154" si="2317">MAX(EL154-EM153,0)</f>
        <v>0</v>
      </c>
      <c r="EN154" s="159">
        <f t="shared" ref="EN154" si="2318">MAX(EM154-EN153,0)</f>
        <v>0</v>
      </c>
      <c r="EO154" s="159">
        <f t="shared" ref="EO154" si="2319">MAX(EN154-EO153,0)</f>
        <v>0</v>
      </c>
      <c r="EP154" s="159">
        <f t="shared" ref="EP154" si="2320">MAX(EO154-EP153,0)</f>
        <v>0</v>
      </c>
      <c r="EQ154" s="159">
        <f t="shared" ref="EQ154" si="2321">MAX(EP154-EQ153,0)</f>
        <v>0</v>
      </c>
      <c r="ER154" s="159">
        <f t="shared" ref="ER154" si="2322">MAX(EQ154-ER153,0)</f>
        <v>0</v>
      </c>
      <c r="ES154" s="159">
        <f t="shared" ref="ES154" si="2323">MAX(ER154-ES153,0)</f>
        <v>0</v>
      </c>
      <c r="ET154" s="159">
        <f t="shared" ref="ET154" si="2324">MAX(ES154-ET153,0)</f>
        <v>0</v>
      </c>
      <c r="EU154" s="159">
        <f t="shared" ref="EU154" si="2325">MAX(ET154-EU153,0)</f>
        <v>0</v>
      </c>
      <c r="EV154" s="159">
        <f t="shared" ref="EV154" si="2326">MAX(EU154-EV153,0)</f>
        <v>0</v>
      </c>
      <c r="EW154" s="159">
        <f t="shared" ref="EW154" si="2327">MAX(EV154-EW153,0)</f>
        <v>0</v>
      </c>
      <c r="EX154" s="159">
        <f t="shared" ref="EX154" si="2328">MAX(EW154-EX153,0)</f>
        <v>0</v>
      </c>
      <c r="EY154" s="159">
        <f t="shared" ref="EY154" si="2329">MAX(EX154-EY153,0)</f>
        <v>0</v>
      </c>
      <c r="EZ154" s="159">
        <f t="shared" ref="EZ154" si="2330">MAX(EY154-EZ153,0)</f>
        <v>0</v>
      </c>
      <c r="FA154" s="159">
        <f t="shared" ref="FA154" si="2331">MAX(EZ154-FA153,0)</f>
        <v>0</v>
      </c>
      <c r="FB154" s="159">
        <f t="shared" ref="FB154" si="2332">MAX(FA154-FB153,0)</f>
        <v>0</v>
      </c>
      <c r="FC154" s="159">
        <f t="shared" ref="FC154" si="2333">MAX(FB154-FC153,0)</f>
        <v>0</v>
      </c>
      <c r="FD154" s="159">
        <f t="shared" ref="FD154" si="2334">MAX(FC154-FD153,0)</f>
        <v>0</v>
      </c>
      <c r="FE154" s="159">
        <f t="shared" ref="FE154" si="2335">MAX(FD154-FE153,0)</f>
        <v>0</v>
      </c>
      <c r="FF154" s="159">
        <f t="shared" ref="FF154" si="2336">MAX(FE154-FF153,0)</f>
        <v>0</v>
      </c>
      <c r="FG154" s="159">
        <f t="shared" ref="FG154" si="2337">MAX(FF154-FG153,0)</f>
        <v>0</v>
      </c>
      <c r="FH154" s="159">
        <f t="shared" ref="FH154" si="2338">MAX(FG154-FH153,0)</f>
        <v>0</v>
      </c>
      <c r="FI154" s="159">
        <f t="shared" ref="FI154" si="2339">MAX(FH154-FI153,0)</f>
        <v>0</v>
      </c>
      <c r="FJ154" s="159">
        <f t="shared" ref="FJ154" si="2340">MAX(FI154-FJ153,0)</f>
        <v>0</v>
      </c>
      <c r="FK154" s="159">
        <f t="shared" ref="FK154" si="2341">MAX(FJ154-FK153,0)</f>
        <v>0</v>
      </c>
      <c r="FL154" s="159">
        <f t="shared" ref="FL154" si="2342">MAX(FK154-FL153,0)</f>
        <v>0</v>
      </c>
      <c r="FM154" s="159">
        <f t="shared" ref="FM154" si="2343">MAX(FL154-FM153,0)</f>
        <v>0</v>
      </c>
      <c r="FN154" s="159">
        <f t="shared" ref="FN154" si="2344">MAX(FM154-FN153,0)</f>
        <v>0</v>
      </c>
      <c r="FO154" s="159">
        <f t="shared" ref="FO154" si="2345">MAX(FN154-FO153,0)</f>
        <v>0</v>
      </c>
      <c r="FP154" s="159">
        <f t="shared" ref="FP154" si="2346">MAX(FO154-FP153,0)</f>
        <v>0</v>
      </c>
      <c r="FQ154" s="159">
        <f t="shared" ref="FQ154" si="2347">MAX(FP154-FQ153,0)</f>
        <v>0</v>
      </c>
      <c r="FR154" s="159">
        <f t="shared" ref="FR154" si="2348">MAX(FQ154-FR153,0)</f>
        <v>0</v>
      </c>
      <c r="FS154" s="159">
        <f t="shared" ref="FS154" si="2349">MAX(FR154-FS153,0)</f>
        <v>0</v>
      </c>
      <c r="FT154" s="159">
        <f t="shared" ref="FT154" si="2350">MAX(FS154-FT153,0)</f>
        <v>0</v>
      </c>
      <c r="FU154" s="159">
        <f t="shared" ref="FU154" si="2351">MAX(FT154-FU153,0)</f>
        <v>0</v>
      </c>
      <c r="FV154" s="159">
        <f t="shared" ref="FV154" si="2352">MAX(FU154-FV153,0)</f>
        <v>0</v>
      </c>
      <c r="FW154" s="159">
        <f t="shared" ref="FW154" si="2353">MAX(FV154-FW153,0)</f>
        <v>0</v>
      </c>
      <c r="FX154" s="159">
        <f t="shared" ref="FX154" si="2354">MAX(FW154-FX153,0)</f>
        <v>0</v>
      </c>
      <c r="FY154" s="159">
        <f t="shared" ref="FY154" si="2355">MAX(FX154-FY153,0)</f>
        <v>0</v>
      </c>
      <c r="FZ154" s="159">
        <f t="shared" ref="FZ154" si="2356">MAX(FY154-FZ153,0)</f>
        <v>0</v>
      </c>
      <c r="GA154" s="159">
        <f t="shared" ref="GA154" si="2357">MAX(FZ154-GA153,0)</f>
        <v>0</v>
      </c>
      <c r="GB154" s="159">
        <f t="shared" ref="GB154" si="2358">MAX(GA154-GB153,0)</f>
        <v>0</v>
      </c>
      <c r="GC154" s="159">
        <f t="shared" ref="GC154" si="2359">MAX(GB154-GC153,0)</f>
        <v>0</v>
      </c>
      <c r="GD154" s="159">
        <f t="shared" ref="GD154" si="2360">MAX(GC154-GD153,0)</f>
        <v>0</v>
      </c>
      <c r="GE154" s="159">
        <f t="shared" ref="GE154" si="2361">MAX(GD154-GE153,0)</f>
        <v>0</v>
      </c>
      <c r="GF154" s="159">
        <f t="shared" ref="GF154" si="2362">MAX(GE154-GF153,0)</f>
        <v>0</v>
      </c>
      <c r="GG154" s="159">
        <f t="shared" ref="GG154" si="2363">MAX(GF154-GG153,0)</f>
        <v>0</v>
      </c>
      <c r="GH154" s="159">
        <f t="shared" ref="GH154" si="2364">MAX(GG154-GH153,0)</f>
        <v>0</v>
      </c>
      <c r="GI154" s="159">
        <f t="shared" ref="GI154" si="2365">MAX(GH154-GI153,0)</f>
        <v>0</v>
      </c>
      <c r="GJ154" s="159">
        <f t="shared" ref="GJ154" si="2366">MAX(GI154-GJ153,0)</f>
        <v>0</v>
      </c>
      <c r="GK154" s="159">
        <f t="shared" ref="GK154" si="2367">MAX(GJ154-GK153,0)</f>
        <v>0</v>
      </c>
      <c r="GL154" s="159">
        <f t="shared" ref="GL154" si="2368">MAX(GK154-GL153,0)</f>
        <v>0</v>
      </c>
      <c r="GM154" s="159">
        <f t="shared" ref="GM154" si="2369">MAX(GL154-GM153,0)</f>
        <v>0</v>
      </c>
      <c r="GN154" s="159">
        <f t="shared" ref="GN154" si="2370">MAX(GM154-GN153,0)</f>
        <v>0</v>
      </c>
      <c r="GO154" s="159">
        <f t="shared" ref="GO154" si="2371">MAX(GN154-GO153,0)</f>
        <v>0</v>
      </c>
      <c r="GP154" s="159">
        <f t="shared" ref="GP154" si="2372">MAX(GO154-GP153,0)</f>
        <v>0</v>
      </c>
      <c r="GQ154" s="159">
        <f t="shared" ref="GQ154" si="2373">MAX(GP154-GQ153,0)</f>
        <v>0</v>
      </c>
    </row>
    <row r="155" spans="2:199" s="156" customFormat="1" outlineLevel="1">
      <c r="B155" s="157"/>
      <c r="C155" s="157"/>
      <c r="D155" s="315"/>
      <c r="E155" s="315"/>
      <c r="F155" s="315"/>
      <c r="G155" s="315"/>
      <c r="H155" s="315"/>
      <c r="I155" s="315"/>
      <c r="J155" s="315"/>
      <c r="K155" s="315"/>
      <c r="L155" s="315"/>
      <c r="M155" s="315"/>
      <c r="N155" s="315"/>
      <c r="O155" s="315"/>
      <c r="P155" s="315"/>
      <c r="Q155" s="315"/>
      <c r="R155" s="315"/>
      <c r="S155" s="315"/>
      <c r="T155" s="315"/>
      <c r="U155" s="315"/>
      <c r="V155" s="315"/>
      <c r="W155" s="315"/>
      <c r="X155" s="315"/>
      <c r="Y155" s="315"/>
      <c r="Z155" s="315"/>
      <c r="AA155" s="315"/>
      <c r="AB155" s="315"/>
      <c r="AC155" s="315"/>
      <c r="AD155" s="315"/>
      <c r="AE155" s="315"/>
      <c r="AF155" s="315"/>
      <c r="AG155" s="315"/>
      <c r="AH155" s="315"/>
      <c r="AI155" s="315"/>
      <c r="AJ155" s="315"/>
      <c r="AK155" s="315"/>
      <c r="AL155" s="315"/>
      <c r="AM155" s="315"/>
      <c r="AN155" s="315"/>
      <c r="AO155" s="315"/>
      <c r="AP155" s="315"/>
      <c r="AQ155" s="315"/>
      <c r="AR155" s="315"/>
      <c r="AS155" s="315"/>
      <c r="AT155" s="315"/>
      <c r="AU155" s="315"/>
      <c r="AV155" s="315"/>
      <c r="AW155" s="315"/>
      <c r="AX155" s="315"/>
      <c r="AY155" s="315"/>
      <c r="AZ155" s="315"/>
      <c r="BA155" s="315"/>
      <c r="BB155" s="315"/>
      <c r="BC155" s="315"/>
      <c r="BD155" s="315"/>
      <c r="BE155" s="315"/>
      <c r="BF155" s="315"/>
      <c r="BG155" s="315"/>
      <c r="BH155" s="315"/>
      <c r="BI155" s="315"/>
      <c r="BJ155" s="315"/>
      <c r="BK155" s="315"/>
      <c r="BL155" s="315"/>
      <c r="BM155" s="315"/>
      <c r="BN155" s="315"/>
      <c r="BO155" s="315"/>
      <c r="BP155" s="315"/>
      <c r="BQ155" s="315"/>
      <c r="BR155" s="315"/>
      <c r="BS155" s="315"/>
      <c r="BT155" s="315"/>
      <c r="BU155" s="315"/>
      <c r="BV155" s="315"/>
      <c r="BW155" s="315"/>
      <c r="BX155" s="315"/>
      <c r="BY155" s="315"/>
      <c r="BZ155" s="315"/>
      <c r="CA155" s="315"/>
      <c r="CB155" s="315"/>
      <c r="CC155" s="315"/>
      <c r="CD155" s="315"/>
      <c r="CE155" s="315"/>
      <c r="CF155" s="315"/>
      <c r="CG155" s="315"/>
      <c r="CH155" s="315"/>
      <c r="CI155" s="315"/>
      <c r="CJ155" s="315"/>
      <c r="CK155" s="315"/>
      <c r="CL155" s="315"/>
      <c r="CM155" s="315"/>
      <c r="CN155" s="315"/>
      <c r="CO155" s="315"/>
      <c r="CP155" s="315"/>
      <c r="CQ155" s="315"/>
      <c r="CR155" s="315"/>
      <c r="CS155" s="315"/>
      <c r="CT155" s="315"/>
      <c r="CU155" s="315"/>
      <c r="CV155" s="315"/>
      <c r="CW155" s="315"/>
      <c r="CX155" s="315"/>
      <c r="CY155" s="315"/>
      <c r="CZ155" s="315"/>
      <c r="DA155" s="315"/>
      <c r="DB155" s="315"/>
      <c r="DC155" s="315"/>
      <c r="DD155" s="315"/>
      <c r="DE155" s="315"/>
      <c r="DF155" s="315"/>
      <c r="DG155" s="315"/>
      <c r="DH155" s="315"/>
      <c r="DI155" s="315"/>
      <c r="DJ155" s="315"/>
      <c r="DK155" s="315"/>
      <c r="DL155" s="315"/>
      <c r="DM155" s="315"/>
      <c r="DN155" s="315"/>
      <c r="DO155" s="315"/>
      <c r="DP155" s="315"/>
      <c r="DQ155" s="315"/>
      <c r="DR155" s="315"/>
      <c r="DS155" s="315"/>
      <c r="DT155" s="315"/>
      <c r="DU155" s="315"/>
      <c r="DV155" s="315"/>
      <c r="DW155" s="315"/>
      <c r="DX155" s="315"/>
      <c r="DY155" s="315"/>
      <c r="DZ155" s="315"/>
      <c r="EA155" s="315"/>
      <c r="EB155" s="315"/>
      <c r="EC155" s="315"/>
      <c r="ED155" s="315"/>
      <c r="EE155" s="315"/>
      <c r="EF155" s="315"/>
      <c r="EG155" s="315"/>
      <c r="EH155" s="315"/>
      <c r="EI155" s="315"/>
      <c r="EJ155" s="315"/>
      <c r="EK155" s="315"/>
      <c r="EL155" s="315"/>
      <c r="EM155" s="315"/>
      <c r="EN155" s="315"/>
      <c r="EO155" s="315"/>
      <c r="EP155" s="315"/>
      <c r="EQ155" s="315"/>
      <c r="ER155" s="315"/>
      <c r="ES155" s="315"/>
      <c r="ET155" s="315"/>
      <c r="EU155" s="315"/>
      <c r="EV155" s="315"/>
      <c r="EW155" s="315"/>
      <c r="EX155" s="315"/>
      <c r="EY155" s="315"/>
      <c r="EZ155" s="315"/>
      <c r="FA155" s="315"/>
      <c r="FB155" s="315"/>
      <c r="FC155" s="315"/>
      <c r="FD155" s="315"/>
      <c r="FE155" s="315"/>
      <c r="FF155" s="315"/>
      <c r="FG155" s="315"/>
      <c r="FH155" s="315"/>
      <c r="FI155" s="315"/>
      <c r="FJ155" s="315"/>
      <c r="FK155" s="315"/>
      <c r="FL155" s="315"/>
      <c r="FM155" s="315"/>
      <c r="FN155" s="315"/>
      <c r="FO155" s="315"/>
      <c r="FP155" s="315"/>
      <c r="FQ155" s="315"/>
      <c r="FR155" s="315"/>
      <c r="FS155" s="315"/>
      <c r="FT155" s="315"/>
      <c r="FU155" s="315"/>
      <c r="FV155" s="315"/>
      <c r="FW155" s="315"/>
      <c r="FX155" s="315"/>
      <c r="FY155" s="315"/>
      <c r="FZ155" s="315"/>
      <c r="GA155" s="315"/>
      <c r="GB155" s="315"/>
      <c r="GC155" s="315"/>
      <c r="GD155" s="315"/>
      <c r="GE155" s="315"/>
      <c r="GF155" s="315"/>
      <c r="GG155" s="315"/>
      <c r="GH155" s="315"/>
      <c r="GI155" s="315"/>
      <c r="GJ155" s="315"/>
      <c r="GK155" s="315"/>
      <c r="GL155" s="315"/>
      <c r="GM155" s="315"/>
      <c r="GN155" s="315"/>
      <c r="GO155" s="315"/>
      <c r="GP155" s="315"/>
      <c r="GQ155" s="315"/>
    </row>
    <row r="156" spans="2:199" s="315" customFormat="1" outlineLevel="1">
      <c r="B156" s="184" t="s">
        <v>388</v>
      </c>
      <c r="C156" s="185"/>
      <c r="D156" s="186"/>
      <c r="E156" s="186">
        <f t="shared" ref="E156" si="2374">D162</f>
        <v>0</v>
      </c>
      <c r="F156" s="186">
        <f t="shared" ref="F156" si="2375">E162</f>
        <v>268674.75248229573</v>
      </c>
      <c r="G156" s="186">
        <f t="shared" ref="G156" si="2376">F162</f>
        <v>270849.21411404951</v>
      </c>
      <c r="H156" s="186">
        <f t="shared" ref="H156" si="2377">G162</f>
        <v>273093.77444825327</v>
      </c>
      <c r="I156" s="186">
        <f t="shared" ref="I156" si="2378">H162</f>
        <v>275014.20043621305</v>
      </c>
      <c r="J156" s="186">
        <f t="shared" ref="J156" si="2379">I162</f>
        <v>277206.94985557173</v>
      </c>
      <c r="K156" s="186">
        <f t="shared" ref="K156" si="2380">J162</f>
        <v>279243.23388009088</v>
      </c>
      <c r="L156" s="186">
        <f t="shared" ref="L156" si="2381">K162</f>
        <v>266666.66666666669</v>
      </c>
      <c r="M156" s="186">
        <f t="shared" ref="M156" si="2382">L162</f>
        <v>268792.85934169282</v>
      </c>
      <c r="N156" s="186">
        <f t="shared" ref="N156" si="2383">M162</f>
        <v>270598.77203551261</v>
      </c>
      <c r="O156" s="186">
        <f t="shared" ref="O156" si="2384">N162</f>
        <v>272586.51425062487</v>
      </c>
      <c r="P156" s="186">
        <f t="shared" ref="P156" si="2385">O162</f>
        <v>274759.90718778956</v>
      </c>
      <c r="Q156" s="186">
        <f t="shared" ref="Q156" si="2386">P162</f>
        <v>276864.40907892986</v>
      </c>
      <c r="R156" s="186">
        <f t="shared" ref="R156" si="2387">Q162</f>
        <v>266666.66666666669</v>
      </c>
      <c r="S156" s="186">
        <f t="shared" ref="S156" si="2388">R162</f>
        <v>268876.56572216965</v>
      </c>
      <c r="T156" s="186">
        <f t="shared" ref="T156" si="2389">S162</f>
        <v>271020.37841413706</v>
      </c>
      <c r="U156" s="186">
        <f t="shared" ref="U156" si="2390">T162</f>
        <v>273148.78729841992</v>
      </c>
      <c r="V156" s="186">
        <f t="shared" ref="V156" si="2391">U162</f>
        <v>275641.27842653828</v>
      </c>
      <c r="W156" s="186">
        <f t="shared" ref="W156" si="2392">V162</f>
        <v>277924.44407336548</v>
      </c>
      <c r="X156" s="186">
        <f t="shared" ref="X156" si="2393">W162</f>
        <v>280374.81730419467</v>
      </c>
      <c r="Y156" s="186">
        <f t="shared" ref="Y156" si="2394">X162</f>
        <v>282950.34268603305</v>
      </c>
      <c r="Z156" s="186">
        <f t="shared" ref="Z156" si="2395">Y162</f>
        <v>285340.5667724869</v>
      </c>
      <c r="AA156" s="186">
        <f t="shared" ref="AA156" si="2396">Z162</f>
        <v>287645.677473936</v>
      </c>
      <c r="AB156" s="186">
        <f t="shared" ref="AB156" si="2397">AA162</f>
        <v>290075.56541871029</v>
      </c>
      <c r="AC156" s="186">
        <f t="shared" ref="AC156" si="2398">AB162</f>
        <v>292633.07130053197</v>
      </c>
      <c r="AD156" s="186">
        <f t="shared" ref="AD156" si="2399">AC162</f>
        <v>266666.66666666663</v>
      </c>
      <c r="AE156" s="186">
        <f t="shared" ref="AE156" si="2400">AD162</f>
        <v>269214.79019815341</v>
      </c>
      <c r="AF156" s="186">
        <f t="shared" ref="AF156" si="2401">AE162</f>
        <v>271588.37312442064</v>
      </c>
      <c r="AG156" s="186">
        <f t="shared" ref="AG156" si="2402">AF162</f>
        <v>274083.18615762977</v>
      </c>
      <c r="AH156" s="186">
        <f t="shared" ref="AH156" si="2403">AG162</f>
        <v>276702.17796850402</v>
      </c>
      <c r="AI156" s="186">
        <f t="shared" ref="AI156" si="2404">AH162</f>
        <v>279039.62065995339</v>
      </c>
      <c r="AJ156" s="186">
        <f t="shared" ref="AJ156" si="2405">AI162</f>
        <v>281602.88091441663</v>
      </c>
      <c r="AK156" s="186">
        <f t="shared" ref="AK156" si="2406">AJ162</f>
        <v>284085.68577678746</v>
      </c>
      <c r="AL156" s="186">
        <f t="shared" ref="AL156" si="2407">AK162</f>
        <v>286275.85564591613</v>
      </c>
      <c r="AM156" s="186">
        <f t="shared" ref="AM156" si="2408">AL162</f>
        <v>288905.58801458176</v>
      </c>
      <c r="AN156" s="186">
        <f t="shared" ref="AN156" si="2409">AM162</f>
        <v>291346.11905839754</v>
      </c>
      <c r="AO156" s="186">
        <f t="shared" ref="AO156" si="2410">AN162</f>
        <v>293807.26649740589</v>
      </c>
      <c r="AP156" s="186">
        <f t="shared" ref="AP156" si="2411">AO162</f>
        <v>266666.66666666657</v>
      </c>
      <c r="AQ156" s="186">
        <f t="shared" ref="AQ156" si="2412">AP162</f>
        <v>269214.79019815335</v>
      </c>
      <c r="AR156" s="186">
        <f t="shared" ref="AR156" si="2413">AQ162</f>
        <v>271588.37312442058</v>
      </c>
      <c r="AS156" s="186">
        <f t="shared" ref="AS156" si="2414">AR162</f>
        <v>273982.88319181453</v>
      </c>
      <c r="AT156" s="186">
        <f t="shared" ref="AT156" si="2415">AS162</f>
        <v>276398.50490841822</v>
      </c>
      <c r="AU156" s="186">
        <f t="shared" ref="AU156" si="2416">AT162</f>
        <v>278733.38232054777</v>
      </c>
      <c r="AV156" s="186">
        <f t="shared" ref="AV156" si="2417">AU162</f>
        <v>281293.82946710207</v>
      </c>
      <c r="AW156" s="186">
        <f t="shared" ref="AW156" si="2418">AV162</f>
        <v>283794.53106186248</v>
      </c>
      <c r="AX156" s="186">
        <f t="shared" ref="AX156" si="2419">AW162</f>
        <v>286317.46388891793</v>
      </c>
      <c r="AY156" s="186">
        <f t="shared" ref="AY156" si="2420">AX162</f>
        <v>288862.82558388007</v>
      </c>
      <c r="AZ156" s="186">
        <f t="shared" ref="AZ156" si="2421">AY162</f>
        <v>291430.81553934084</v>
      </c>
      <c r="BA156" s="186">
        <f t="shared" ref="BA156" si="2422">AZ162</f>
        <v>294021.63492049184</v>
      </c>
      <c r="BB156" s="186">
        <f t="shared" ref="BB156" si="2423">BA162</f>
        <v>266666.66666666657</v>
      </c>
      <c r="BC156" s="186">
        <f t="shared" ref="BC156" si="2424">BB162</f>
        <v>269037.33281268942</v>
      </c>
      <c r="BD156" s="186">
        <f t="shared" ref="BD156" si="2425">BC162</f>
        <v>271429.07417612185</v>
      </c>
      <c r="BE156" s="186">
        <f t="shared" ref="BE156" si="2426">BD162</f>
        <v>273842.07811560557</v>
      </c>
      <c r="BF156" s="186">
        <f t="shared" ref="BF156" si="2427">BE162</f>
        <v>276276.5336554001</v>
      </c>
      <c r="BG156" s="186">
        <f t="shared" ref="BG156" si="2428">BF162</f>
        <v>278732.6315001903</v>
      </c>
      <c r="BH156" s="186">
        <f t="shared" ref="BH156" si="2429">BG162</f>
        <v>281210.56405002536</v>
      </c>
      <c r="BI156" s="186">
        <f t="shared" ref="BI156" si="2430">BH162</f>
        <v>283710.52541539056</v>
      </c>
      <c r="BJ156" s="186">
        <f t="shared" ref="BJ156" si="2431">BI162</f>
        <v>286232.71143241285</v>
      </c>
      <c r="BK156" s="186">
        <f t="shared" ref="BK156" si="2432">BJ162</f>
        <v>288777.31967820216</v>
      </c>
      <c r="BL156" s="186">
        <f t="shared" ref="BL156" si="2433">BK162</f>
        <v>291344.54948632838</v>
      </c>
      <c r="BM156" s="186">
        <f t="shared" ref="BM156" si="2434">BL162</f>
        <v>293934.60196243657</v>
      </c>
      <c r="BN156" s="186">
        <f t="shared" ref="BN156" si="2435">BM162</f>
        <v>266666.66666666663</v>
      </c>
      <c r="BO156" s="186">
        <f t="shared" ref="BO156" si="2436">BN162</f>
        <v>269037.33281268948</v>
      </c>
      <c r="BP156" s="186">
        <f t="shared" ref="BP156" si="2437">BO162</f>
        <v>271429.07417612191</v>
      </c>
      <c r="BQ156" s="186">
        <f t="shared" ref="BQ156" si="2438">BP162</f>
        <v>273842.07811560563</v>
      </c>
      <c r="BR156" s="186">
        <f t="shared" ref="BR156" si="2439">BQ162</f>
        <v>276276.53365540016</v>
      </c>
      <c r="BS156" s="186">
        <f t="shared" ref="BS156" si="2440">BR162</f>
        <v>278732.63150019036</v>
      </c>
      <c r="BT156" s="186">
        <f t="shared" ref="BT156" si="2441">BS162</f>
        <v>281210.56405002542</v>
      </c>
      <c r="BU156" s="186">
        <f t="shared" ref="BU156" si="2442">BT162</f>
        <v>283658.73449934641</v>
      </c>
      <c r="BV156" s="186">
        <f t="shared" ref="BV156" si="2443">BU162</f>
        <v>286128.21829643997</v>
      </c>
      <c r="BW156" s="186">
        <f t="shared" ref="BW156" si="2444">BV162</f>
        <v>288619.2009916192</v>
      </c>
      <c r="BX156" s="186">
        <f t="shared" ref="BX156" si="2445">BW162</f>
        <v>291131.86975056602</v>
      </c>
      <c r="BY156" s="186">
        <f t="shared" ref="BY156" si="2446">BX162</f>
        <v>293666.41336839437</v>
      </c>
      <c r="BZ156" s="186">
        <f t="shared" ref="BZ156" si="2447">BY162</f>
        <v>133333.33333333334</v>
      </c>
      <c r="CA156" s="186">
        <f t="shared" ref="CA156" si="2448">BZ162</f>
        <v>134494.11023258974</v>
      </c>
      <c r="CB156" s="186">
        <f t="shared" ref="CB156" si="2449">CA162</f>
        <v>135664.99265441997</v>
      </c>
      <c r="CC156" s="186">
        <f t="shared" ref="CC156" si="2450">CB162</f>
        <v>136846.06857575275</v>
      </c>
      <c r="CD156" s="186">
        <f t="shared" ref="CD156" si="2451">CC162</f>
        <v>138037.42673942866</v>
      </c>
      <c r="CE156" s="186">
        <f t="shared" ref="CE156" si="2452">CD162</f>
        <v>139239.15666086809</v>
      </c>
      <c r="CF156" s="186">
        <f t="shared" ref="CF156" si="2453">CE162</f>
        <v>140451.34863479715</v>
      </c>
      <c r="CG156" s="186">
        <f t="shared" ref="CG156" si="2454">CF162</f>
        <v>141673.01481769761</v>
      </c>
      <c r="CH156" s="186">
        <f t="shared" ref="CH156" si="2455">CG162</f>
        <v>142905.30723008572</v>
      </c>
      <c r="CI156" s="186">
        <f t="shared" ref="CI156" si="2456">CH162</f>
        <v>144148.31830044536</v>
      </c>
      <c r="CJ156" s="186">
        <f t="shared" ref="CJ156" si="2457">CI162</f>
        <v>145402.14126121681</v>
      </c>
      <c r="CK156" s="186">
        <f t="shared" ref="CK156" si="2458">CJ162</f>
        <v>146666.8701557896</v>
      </c>
      <c r="CL156" s="186">
        <f t="shared" ref="CL156" si="2459">CK162</f>
        <v>0</v>
      </c>
      <c r="CM156" s="186">
        <f t="shared" ref="CM156" si="2460">CL162</f>
        <v>0</v>
      </c>
      <c r="CN156" s="186">
        <f t="shared" ref="CN156" si="2461">CM162</f>
        <v>0</v>
      </c>
      <c r="CO156" s="186">
        <f t="shared" ref="CO156" si="2462">CN162</f>
        <v>0</v>
      </c>
      <c r="CP156" s="186">
        <f t="shared" ref="CP156" si="2463">CO162</f>
        <v>0</v>
      </c>
      <c r="CQ156" s="186">
        <f t="shared" ref="CQ156" si="2464">CP162</f>
        <v>0</v>
      </c>
      <c r="CR156" s="186">
        <f t="shared" ref="CR156" si="2465">CQ162</f>
        <v>0</v>
      </c>
      <c r="CS156" s="186">
        <f t="shared" ref="CS156" si="2466">CR162</f>
        <v>0</v>
      </c>
      <c r="CT156" s="186">
        <f t="shared" ref="CT156" si="2467">CS162</f>
        <v>0</v>
      </c>
      <c r="CU156" s="186">
        <f t="shared" ref="CU156" si="2468">CT162</f>
        <v>0</v>
      </c>
      <c r="CV156" s="186">
        <f t="shared" ref="CV156" si="2469">CU162</f>
        <v>0</v>
      </c>
      <c r="CW156" s="186">
        <f t="shared" ref="CW156" si="2470">CV162</f>
        <v>0</v>
      </c>
      <c r="CX156" s="186">
        <f t="shared" ref="CX156" si="2471">CW162</f>
        <v>0</v>
      </c>
      <c r="CY156" s="186">
        <f t="shared" ref="CY156" si="2472">CX162</f>
        <v>0</v>
      </c>
      <c r="CZ156" s="186">
        <f t="shared" ref="CZ156" si="2473">CY162</f>
        <v>0</v>
      </c>
      <c r="DA156" s="186">
        <f t="shared" ref="DA156" si="2474">CZ162</f>
        <v>0</v>
      </c>
      <c r="DB156" s="186">
        <f t="shared" ref="DB156" si="2475">DA162</f>
        <v>0</v>
      </c>
      <c r="DC156" s="186">
        <f t="shared" ref="DC156" si="2476">DB162</f>
        <v>0</v>
      </c>
      <c r="DD156" s="186">
        <f t="shared" ref="DD156" si="2477">DC162</f>
        <v>0</v>
      </c>
      <c r="DE156" s="186">
        <f t="shared" ref="DE156" si="2478">DD162</f>
        <v>0</v>
      </c>
      <c r="DF156" s="186">
        <f t="shared" ref="DF156" si="2479">DE162</f>
        <v>0</v>
      </c>
      <c r="DG156" s="186">
        <f t="shared" ref="DG156" si="2480">DF162</f>
        <v>0</v>
      </c>
      <c r="DH156" s="186">
        <f t="shared" ref="DH156" si="2481">DG162</f>
        <v>0</v>
      </c>
      <c r="DI156" s="186">
        <f t="shared" ref="DI156" si="2482">DH162</f>
        <v>0</v>
      </c>
      <c r="DJ156" s="186">
        <f t="shared" ref="DJ156" si="2483">DI162</f>
        <v>0</v>
      </c>
      <c r="DK156" s="186">
        <f t="shared" ref="DK156" si="2484">DJ162</f>
        <v>0</v>
      </c>
      <c r="DL156" s="186">
        <f t="shared" ref="DL156" si="2485">DK162</f>
        <v>0</v>
      </c>
      <c r="DM156" s="186">
        <f t="shared" ref="DM156" si="2486">DL162</f>
        <v>0</v>
      </c>
      <c r="DN156" s="186">
        <f t="shared" ref="DN156" si="2487">DM162</f>
        <v>0</v>
      </c>
      <c r="DO156" s="186">
        <f t="shared" ref="DO156" si="2488">DN162</f>
        <v>0</v>
      </c>
      <c r="DP156" s="186">
        <f t="shared" ref="DP156" si="2489">DO162</f>
        <v>0</v>
      </c>
      <c r="DQ156" s="186">
        <f t="shared" ref="DQ156" si="2490">DP162</f>
        <v>0</v>
      </c>
      <c r="DR156" s="186">
        <f t="shared" ref="DR156" si="2491">DQ162</f>
        <v>0</v>
      </c>
      <c r="DS156" s="186">
        <f t="shared" ref="DS156" si="2492">DR162</f>
        <v>0</v>
      </c>
      <c r="DT156" s="186">
        <f t="shared" ref="DT156" si="2493">DS162</f>
        <v>0</v>
      </c>
      <c r="DU156" s="186">
        <f t="shared" ref="DU156" si="2494">DT162</f>
        <v>0</v>
      </c>
      <c r="DV156" s="186">
        <f t="shared" ref="DV156" si="2495">DU162</f>
        <v>0</v>
      </c>
      <c r="DW156" s="186">
        <f t="shared" ref="DW156" si="2496">DV162</f>
        <v>0</v>
      </c>
      <c r="DX156" s="186">
        <f t="shared" ref="DX156" si="2497">DW162</f>
        <v>0</v>
      </c>
      <c r="DY156" s="186">
        <f t="shared" ref="DY156" si="2498">DX162</f>
        <v>0</v>
      </c>
      <c r="DZ156" s="186">
        <f t="shared" ref="DZ156" si="2499">DY162</f>
        <v>0</v>
      </c>
      <c r="EA156" s="186">
        <f t="shared" ref="EA156" si="2500">DZ162</f>
        <v>0</v>
      </c>
      <c r="EB156" s="186">
        <f t="shared" ref="EB156" si="2501">EA162</f>
        <v>0</v>
      </c>
      <c r="EC156" s="186">
        <f t="shared" ref="EC156" si="2502">EB162</f>
        <v>0</v>
      </c>
      <c r="ED156" s="186">
        <f t="shared" ref="ED156" si="2503">EC162</f>
        <v>0</v>
      </c>
      <c r="EE156" s="186">
        <f t="shared" ref="EE156" si="2504">ED162</f>
        <v>0</v>
      </c>
      <c r="EF156" s="186">
        <f t="shared" ref="EF156" si="2505">EE162</f>
        <v>0</v>
      </c>
      <c r="EG156" s="186">
        <f t="shared" ref="EG156" si="2506">EF162</f>
        <v>0</v>
      </c>
      <c r="EH156" s="186">
        <f t="shared" ref="EH156" si="2507">EG162</f>
        <v>0</v>
      </c>
      <c r="EI156" s="186">
        <f t="shared" ref="EI156" si="2508">EH162</f>
        <v>0</v>
      </c>
      <c r="EJ156" s="186">
        <f t="shared" ref="EJ156" si="2509">EI162</f>
        <v>0</v>
      </c>
      <c r="EK156" s="186">
        <f t="shared" ref="EK156" si="2510">EJ162</f>
        <v>0</v>
      </c>
      <c r="EL156" s="186">
        <f t="shared" ref="EL156" si="2511">EK162</f>
        <v>0</v>
      </c>
      <c r="EM156" s="186">
        <f t="shared" ref="EM156" si="2512">EL162</f>
        <v>0</v>
      </c>
      <c r="EN156" s="186">
        <f t="shared" ref="EN156" si="2513">EM162</f>
        <v>0</v>
      </c>
      <c r="EO156" s="186">
        <f t="shared" ref="EO156" si="2514">EN162</f>
        <v>0</v>
      </c>
      <c r="EP156" s="186">
        <f t="shared" ref="EP156" si="2515">EO162</f>
        <v>0</v>
      </c>
      <c r="EQ156" s="186">
        <f t="shared" ref="EQ156" si="2516">EP162</f>
        <v>0</v>
      </c>
      <c r="ER156" s="186">
        <f t="shared" ref="ER156" si="2517">EQ162</f>
        <v>0</v>
      </c>
      <c r="ES156" s="186">
        <f t="shared" ref="ES156" si="2518">ER162</f>
        <v>0</v>
      </c>
      <c r="ET156" s="186">
        <f t="shared" ref="ET156" si="2519">ES162</f>
        <v>0</v>
      </c>
      <c r="EU156" s="186">
        <f t="shared" ref="EU156" si="2520">ET162</f>
        <v>0</v>
      </c>
      <c r="EV156" s="186">
        <f t="shared" ref="EV156" si="2521">EU162</f>
        <v>0</v>
      </c>
      <c r="EW156" s="186">
        <f t="shared" ref="EW156" si="2522">EV162</f>
        <v>0</v>
      </c>
      <c r="EX156" s="186">
        <f t="shared" ref="EX156" si="2523">EW162</f>
        <v>0</v>
      </c>
      <c r="EY156" s="186">
        <f t="shared" ref="EY156" si="2524">EX162</f>
        <v>0</v>
      </c>
      <c r="EZ156" s="186">
        <f t="shared" ref="EZ156" si="2525">EY162</f>
        <v>0</v>
      </c>
      <c r="FA156" s="186">
        <f t="shared" ref="FA156" si="2526">EZ162</f>
        <v>0</v>
      </c>
      <c r="FB156" s="186">
        <f t="shared" ref="FB156" si="2527">FA162</f>
        <v>0</v>
      </c>
      <c r="FC156" s="186">
        <f t="shared" ref="FC156" si="2528">FB162</f>
        <v>0</v>
      </c>
      <c r="FD156" s="186">
        <f t="shared" ref="FD156" si="2529">FC162</f>
        <v>0</v>
      </c>
      <c r="FE156" s="186">
        <f t="shared" ref="FE156" si="2530">FD162</f>
        <v>0</v>
      </c>
      <c r="FF156" s="186">
        <f t="shared" ref="FF156" si="2531">FE162</f>
        <v>0</v>
      </c>
      <c r="FG156" s="186">
        <f t="shared" ref="FG156" si="2532">FF162</f>
        <v>0</v>
      </c>
      <c r="FH156" s="186">
        <f t="shared" ref="FH156" si="2533">FG162</f>
        <v>0</v>
      </c>
      <c r="FI156" s="186">
        <f t="shared" ref="FI156" si="2534">FH162</f>
        <v>0</v>
      </c>
      <c r="FJ156" s="186">
        <f t="shared" ref="FJ156" si="2535">FI162</f>
        <v>0</v>
      </c>
      <c r="FK156" s="186">
        <f t="shared" ref="FK156" si="2536">FJ162</f>
        <v>0</v>
      </c>
      <c r="FL156" s="186">
        <f t="shared" ref="FL156" si="2537">FK162</f>
        <v>0</v>
      </c>
      <c r="FM156" s="186">
        <f t="shared" ref="FM156" si="2538">FL162</f>
        <v>0</v>
      </c>
      <c r="FN156" s="186">
        <f t="shared" ref="FN156" si="2539">FM162</f>
        <v>0</v>
      </c>
      <c r="FO156" s="186">
        <f t="shared" ref="FO156" si="2540">FN162</f>
        <v>0</v>
      </c>
      <c r="FP156" s="186">
        <f t="shared" ref="FP156" si="2541">FO162</f>
        <v>0</v>
      </c>
      <c r="FQ156" s="186">
        <f t="shared" ref="FQ156" si="2542">FP162</f>
        <v>0</v>
      </c>
      <c r="FR156" s="186">
        <f t="shared" ref="FR156" si="2543">FQ162</f>
        <v>0</v>
      </c>
      <c r="FS156" s="186">
        <f t="shared" ref="FS156" si="2544">FR162</f>
        <v>0</v>
      </c>
      <c r="FT156" s="186">
        <f t="shared" ref="FT156" si="2545">FS162</f>
        <v>0</v>
      </c>
      <c r="FU156" s="186">
        <f t="shared" ref="FU156" si="2546">FT162</f>
        <v>0</v>
      </c>
      <c r="FV156" s="186">
        <f t="shared" ref="FV156" si="2547">FU162</f>
        <v>0</v>
      </c>
      <c r="FW156" s="186">
        <f t="shared" ref="FW156" si="2548">FV162</f>
        <v>0</v>
      </c>
      <c r="FX156" s="186">
        <f t="shared" ref="FX156" si="2549">FW162</f>
        <v>0</v>
      </c>
      <c r="FY156" s="186">
        <f t="shared" ref="FY156" si="2550">FX162</f>
        <v>0</v>
      </c>
      <c r="FZ156" s="186">
        <f t="shared" ref="FZ156" si="2551">FY162</f>
        <v>0</v>
      </c>
      <c r="GA156" s="186">
        <f t="shared" ref="GA156" si="2552">FZ162</f>
        <v>0</v>
      </c>
      <c r="GB156" s="186">
        <f t="shared" ref="GB156" si="2553">GA162</f>
        <v>0</v>
      </c>
      <c r="GC156" s="186">
        <f t="shared" ref="GC156" si="2554">GB162</f>
        <v>0</v>
      </c>
      <c r="GD156" s="186">
        <f t="shared" ref="GD156" si="2555">GC162</f>
        <v>0</v>
      </c>
      <c r="GE156" s="186">
        <f t="shared" ref="GE156" si="2556">GD162</f>
        <v>0</v>
      </c>
      <c r="GF156" s="186">
        <f t="shared" ref="GF156" si="2557">GE162</f>
        <v>0</v>
      </c>
      <c r="GG156" s="186">
        <f t="shared" ref="GG156" si="2558">GF162</f>
        <v>0</v>
      </c>
      <c r="GH156" s="186">
        <f t="shared" ref="GH156" si="2559">GG162</f>
        <v>0</v>
      </c>
      <c r="GI156" s="186">
        <f t="shared" ref="GI156" si="2560">GH162</f>
        <v>0</v>
      </c>
      <c r="GJ156" s="186">
        <f t="shared" ref="GJ156" si="2561">GI162</f>
        <v>0</v>
      </c>
      <c r="GK156" s="186">
        <f t="shared" ref="GK156" si="2562">GJ162</f>
        <v>0</v>
      </c>
      <c r="GL156" s="186">
        <f t="shared" ref="GL156" si="2563">GK162</f>
        <v>0</v>
      </c>
      <c r="GM156" s="186">
        <f t="shared" ref="GM156" si="2564">GL162</f>
        <v>0</v>
      </c>
      <c r="GN156" s="186">
        <f t="shared" ref="GN156" si="2565">GM162</f>
        <v>0</v>
      </c>
      <c r="GO156" s="186">
        <f t="shared" ref="GO156" si="2566">GN162</f>
        <v>0</v>
      </c>
      <c r="GP156" s="186">
        <f t="shared" ref="GP156" si="2567">GO162</f>
        <v>0</v>
      </c>
      <c r="GQ156" s="186">
        <f t="shared" ref="GQ156" si="2568">GP162</f>
        <v>0</v>
      </c>
    </row>
    <row r="157" spans="2:199" s="315" customFormat="1" outlineLevel="1">
      <c r="B157" s="187" t="s">
        <v>411</v>
      </c>
      <c r="C157" s="180">
        <f>800000/3</f>
        <v>266666.66666666669</v>
      </c>
      <c r="D157" s="188"/>
      <c r="E157" s="189">
        <f>(IF(E142&lt;$C144,0,IF(E142=$C144,$C157,0)))</f>
        <v>266666.66666666669</v>
      </c>
      <c r="F157" s="189">
        <f t="shared" ref="F157:BQ157" si="2569">(IF(F142&lt;$C144,0,IF(F142=$C144,$C157,0)))</f>
        <v>0</v>
      </c>
      <c r="G157" s="189">
        <f t="shared" si="2569"/>
        <v>0</v>
      </c>
      <c r="H157" s="189">
        <f t="shared" si="2569"/>
        <v>0</v>
      </c>
      <c r="I157" s="189">
        <f t="shared" si="2569"/>
        <v>0</v>
      </c>
      <c r="J157" s="189">
        <f t="shared" si="2569"/>
        <v>0</v>
      </c>
      <c r="K157" s="189">
        <f t="shared" si="2569"/>
        <v>0</v>
      </c>
      <c r="L157" s="189">
        <f t="shared" si="2569"/>
        <v>0</v>
      </c>
      <c r="M157" s="189">
        <f t="shared" si="2569"/>
        <v>0</v>
      </c>
      <c r="N157" s="189">
        <f t="shared" si="2569"/>
        <v>0</v>
      </c>
      <c r="O157" s="189">
        <f t="shared" si="2569"/>
        <v>0</v>
      </c>
      <c r="P157" s="189">
        <f t="shared" si="2569"/>
        <v>0</v>
      </c>
      <c r="Q157" s="189">
        <f t="shared" si="2569"/>
        <v>0</v>
      </c>
      <c r="R157" s="189">
        <f t="shared" si="2569"/>
        <v>0</v>
      </c>
      <c r="S157" s="189">
        <f t="shared" si="2569"/>
        <v>0</v>
      </c>
      <c r="T157" s="189">
        <f t="shared" si="2569"/>
        <v>0</v>
      </c>
      <c r="U157" s="189">
        <f t="shared" si="2569"/>
        <v>0</v>
      </c>
      <c r="V157" s="189">
        <f t="shared" si="2569"/>
        <v>0</v>
      </c>
      <c r="W157" s="189">
        <f t="shared" si="2569"/>
        <v>0</v>
      </c>
      <c r="X157" s="189">
        <f t="shared" si="2569"/>
        <v>0</v>
      </c>
      <c r="Y157" s="189">
        <f t="shared" si="2569"/>
        <v>0</v>
      </c>
      <c r="Z157" s="189">
        <f t="shared" si="2569"/>
        <v>0</v>
      </c>
      <c r="AA157" s="189">
        <f t="shared" si="2569"/>
        <v>0</v>
      </c>
      <c r="AB157" s="189">
        <f t="shared" si="2569"/>
        <v>0</v>
      </c>
      <c r="AC157" s="189">
        <f t="shared" si="2569"/>
        <v>0</v>
      </c>
      <c r="AD157" s="189">
        <f t="shared" si="2569"/>
        <v>0</v>
      </c>
      <c r="AE157" s="189">
        <f t="shared" si="2569"/>
        <v>0</v>
      </c>
      <c r="AF157" s="189">
        <f t="shared" si="2569"/>
        <v>0</v>
      </c>
      <c r="AG157" s="189">
        <f t="shared" si="2569"/>
        <v>0</v>
      </c>
      <c r="AH157" s="189">
        <f t="shared" si="2569"/>
        <v>0</v>
      </c>
      <c r="AI157" s="189">
        <f t="shared" si="2569"/>
        <v>0</v>
      </c>
      <c r="AJ157" s="189">
        <f t="shared" si="2569"/>
        <v>0</v>
      </c>
      <c r="AK157" s="189">
        <f t="shared" si="2569"/>
        <v>0</v>
      </c>
      <c r="AL157" s="189">
        <f t="shared" si="2569"/>
        <v>0</v>
      </c>
      <c r="AM157" s="189">
        <f t="shared" si="2569"/>
        <v>0</v>
      </c>
      <c r="AN157" s="189">
        <f t="shared" si="2569"/>
        <v>0</v>
      </c>
      <c r="AO157" s="189">
        <f t="shared" si="2569"/>
        <v>0</v>
      </c>
      <c r="AP157" s="189">
        <f t="shared" si="2569"/>
        <v>0</v>
      </c>
      <c r="AQ157" s="189">
        <f t="shared" si="2569"/>
        <v>0</v>
      </c>
      <c r="AR157" s="189">
        <f t="shared" si="2569"/>
        <v>0</v>
      </c>
      <c r="AS157" s="189">
        <f t="shared" si="2569"/>
        <v>0</v>
      </c>
      <c r="AT157" s="189">
        <f t="shared" si="2569"/>
        <v>0</v>
      </c>
      <c r="AU157" s="189">
        <f t="shared" si="2569"/>
        <v>0</v>
      </c>
      <c r="AV157" s="189">
        <f t="shared" si="2569"/>
        <v>0</v>
      </c>
      <c r="AW157" s="189">
        <f t="shared" si="2569"/>
        <v>0</v>
      </c>
      <c r="AX157" s="189">
        <f t="shared" si="2569"/>
        <v>0</v>
      </c>
      <c r="AY157" s="189">
        <f t="shared" si="2569"/>
        <v>0</v>
      </c>
      <c r="AZ157" s="189">
        <f t="shared" si="2569"/>
        <v>0</v>
      </c>
      <c r="BA157" s="189">
        <f t="shared" si="2569"/>
        <v>0</v>
      </c>
      <c r="BB157" s="189">
        <f t="shared" si="2569"/>
        <v>0</v>
      </c>
      <c r="BC157" s="189">
        <f t="shared" si="2569"/>
        <v>0</v>
      </c>
      <c r="BD157" s="189">
        <f t="shared" si="2569"/>
        <v>0</v>
      </c>
      <c r="BE157" s="189">
        <f t="shared" si="2569"/>
        <v>0</v>
      </c>
      <c r="BF157" s="189">
        <f t="shared" si="2569"/>
        <v>0</v>
      </c>
      <c r="BG157" s="189">
        <f t="shared" si="2569"/>
        <v>0</v>
      </c>
      <c r="BH157" s="189">
        <f t="shared" si="2569"/>
        <v>0</v>
      </c>
      <c r="BI157" s="189">
        <f t="shared" si="2569"/>
        <v>0</v>
      </c>
      <c r="BJ157" s="189">
        <f t="shared" si="2569"/>
        <v>0</v>
      </c>
      <c r="BK157" s="189">
        <f t="shared" si="2569"/>
        <v>0</v>
      </c>
      <c r="BL157" s="189">
        <f t="shared" si="2569"/>
        <v>0</v>
      </c>
      <c r="BM157" s="189">
        <f t="shared" si="2569"/>
        <v>0</v>
      </c>
      <c r="BN157" s="189">
        <f t="shared" si="2569"/>
        <v>0</v>
      </c>
      <c r="BO157" s="189">
        <f t="shared" si="2569"/>
        <v>0</v>
      </c>
      <c r="BP157" s="189">
        <f t="shared" si="2569"/>
        <v>0</v>
      </c>
      <c r="BQ157" s="189">
        <f t="shared" si="2569"/>
        <v>0</v>
      </c>
      <c r="BR157" s="189">
        <f t="shared" ref="BR157:EC157" si="2570">(IF(BR142&lt;$C144,0,IF(BR142=$C144,$C157,0)))</f>
        <v>0</v>
      </c>
      <c r="BS157" s="189">
        <f t="shared" si="2570"/>
        <v>0</v>
      </c>
      <c r="BT157" s="189">
        <f t="shared" si="2570"/>
        <v>0</v>
      </c>
      <c r="BU157" s="189">
        <f t="shared" si="2570"/>
        <v>0</v>
      </c>
      <c r="BV157" s="189">
        <f t="shared" si="2570"/>
        <v>0</v>
      </c>
      <c r="BW157" s="189">
        <f t="shared" si="2570"/>
        <v>0</v>
      </c>
      <c r="BX157" s="189">
        <f t="shared" si="2570"/>
        <v>0</v>
      </c>
      <c r="BY157" s="189">
        <f t="shared" si="2570"/>
        <v>0</v>
      </c>
      <c r="BZ157" s="189">
        <f t="shared" si="2570"/>
        <v>0</v>
      </c>
      <c r="CA157" s="189">
        <f t="shared" si="2570"/>
        <v>0</v>
      </c>
      <c r="CB157" s="189">
        <f t="shared" si="2570"/>
        <v>0</v>
      </c>
      <c r="CC157" s="189">
        <f t="shared" si="2570"/>
        <v>0</v>
      </c>
      <c r="CD157" s="189">
        <f t="shared" si="2570"/>
        <v>0</v>
      </c>
      <c r="CE157" s="189">
        <f t="shared" si="2570"/>
        <v>0</v>
      </c>
      <c r="CF157" s="189">
        <f t="shared" si="2570"/>
        <v>0</v>
      </c>
      <c r="CG157" s="189">
        <f t="shared" si="2570"/>
        <v>0</v>
      </c>
      <c r="CH157" s="189">
        <f t="shared" si="2570"/>
        <v>0</v>
      </c>
      <c r="CI157" s="189">
        <f t="shared" si="2570"/>
        <v>0</v>
      </c>
      <c r="CJ157" s="189">
        <f t="shared" si="2570"/>
        <v>0</v>
      </c>
      <c r="CK157" s="189">
        <f t="shared" si="2570"/>
        <v>0</v>
      </c>
      <c r="CL157" s="189">
        <f t="shared" si="2570"/>
        <v>0</v>
      </c>
      <c r="CM157" s="189">
        <f t="shared" si="2570"/>
        <v>0</v>
      </c>
      <c r="CN157" s="189">
        <f t="shared" si="2570"/>
        <v>0</v>
      </c>
      <c r="CO157" s="189">
        <f t="shared" si="2570"/>
        <v>0</v>
      </c>
      <c r="CP157" s="189">
        <f t="shared" si="2570"/>
        <v>0</v>
      </c>
      <c r="CQ157" s="189">
        <f t="shared" si="2570"/>
        <v>0</v>
      </c>
      <c r="CR157" s="189">
        <f t="shared" si="2570"/>
        <v>0</v>
      </c>
      <c r="CS157" s="189">
        <f t="shared" si="2570"/>
        <v>0</v>
      </c>
      <c r="CT157" s="189">
        <f t="shared" si="2570"/>
        <v>0</v>
      </c>
      <c r="CU157" s="189">
        <f t="shared" si="2570"/>
        <v>0</v>
      </c>
      <c r="CV157" s="189">
        <f t="shared" si="2570"/>
        <v>0</v>
      </c>
      <c r="CW157" s="189">
        <f t="shared" si="2570"/>
        <v>0</v>
      </c>
      <c r="CX157" s="189">
        <f t="shared" si="2570"/>
        <v>0</v>
      </c>
      <c r="CY157" s="189">
        <f t="shared" si="2570"/>
        <v>0</v>
      </c>
      <c r="CZ157" s="189">
        <f t="shared" si="2570"/>
        <v>0</v>
      </c>
      <c r="DA157" s="189">
        <f t="shared" si="2570"/>
        <v>0</v>
      </c>
      <c r="DB157" s="189">
        <f t="shared" si="2570"/>
        <v>0</v>
      </c>
      <c r="DC157" s="189">
        <f t="shared" si="2570"/>
        <v>0</v>
      </c>
      <c r="DD157" s="189">
        <f t="shared" si="2570"/>
        <v>0</v>
      </c>
      <c r="DE157" s="189">
        <f t="shared" si="2570"/>
        <v>0</v>
      </c>
      <c r="DF157" s="189">
        <f t="shared" si="2570"/>
        <v>0</v>
      </c>
      <c r="DG157" s="189">
        <f t="shared" si="2570"/>
        <v>0</v>
      </c>
      <c r="DH157" s="189">
        <f t="shared" si="2570"/>
        <v>0</v>
      </c>
      <c r="DI157" s="189">
        <f t="shared" si="2570"/>
        <v>0</v>
      </c>
      <c r="DJ157" s="189">
        <f t="shared" si="2570"/>
        <v>0</v>
      </c>
      <c r="DK157" s="189">
        <f t="shared" si="2570"/>
        <v>0</v>
      </c>
      <c r="DL157" s="189">
        <f t="shared" si="2570"/>
        <v>0</v>
      </c>
      <c r="DM157" s="189">
        <f t="shared" si="2570"/>
        <v>0</v>
      </c>
      <c r="DN157" s="189">
        <f t="shared" si="2570"/>
        <v>0</v>
      </c>
      <c r="DO157" s="189">
        <f t="shared" si="2570"/>
        <v>0</v>
      </c>
      <c r="DP157" s="189">
        <f t="shared" si="2570"/>
        <v>0</v>
      </c>
      <c r="DQ157" s="189">
        <f t="shared" si="2570"/>
        <v>0</v>
      </c>
      <c r="DR157" s="189">
        <f t="shared" si="2570"/>
        <v>0</v>
      </c>
      <c r="DS157" s="189">
        <f t="shared" si="2570"/>
        <v>0</v>
      </c>
      <c r="DT157" s="189">
        <f t="shared" si="2570"/>
        <v>0</v>
      </c>
      <c r="DU157" s="189">
        <f t="shared" si="2570"/>
        <v>0</v>
      </c>
      <c r="DV157" s="189">
        <f t="shared" si="2570"/>
        <v>0</v>
      </c>
      <c r="DW157" s="189">
        <f t="shared" si="2570"/>
        <v>0</v>
      </c>
      <c r="DX157" s="189">
        <f t="shared" si="2570"/>
        <v>0</v>
      </c>
      <c r="DY157" s="189">
        <f t="shared" si="2570"/>
        <v>0</v>
      </c>
      <c r="DZ157" s="189">
        <f t="shared" si="2570"/>
        <v>0</v>
      </c>
      <c r="EA157" s="189">
        <f t="shared" si="2570"/>
        <v>0</v>
      </c>
      <c r="EB157" s="189">
        <f t="shared" si="2570"/>
        <v>0</v>
      </c>
      <c r="EC157" s="189">
        <f t="shared" si="2570"/>
        <v>0</v>
      </c>
      <c r="ED157" s="189">
        <f t="shared" ref="ED157:GO157" si="2571">(IF(ED142&lt;$C144,0,IF(ED142=$C144,$C157,0)))</f>
        <v>0</v>
      </c>
      <c r="EE157" s="189">
        <f t="shared" si="2571"/>
        <v>0</v>
      </c>
      <c r="EF157" s="189">
        <f t="shared" si="2571"/>
        <v>0</v>
      </c>
      <c r="EG157" s="189">
        <f t="shared" si="2571"/>
        <v>0</v>
      </c>
      <c r="EH157" s="189">
        <f t="shared" si="2571"/>
        <v>0</v>
      </c>
      <c r="EI157" s="189">
        <f t="shared" si="2571"/>
        <v>0</v>
      </c>
      <c r="EJ157" s="189">
        <f t="shared" si="2571"/>
        <v>0</v>
      </c>
      <c r="EK157" s="189">
        <f t="shared" si="2571"/>
        <v>0</v>
      </c>
      <c r="EL157" s="189">
        <f t="shared" si="2571"/>
        <v>0</v>
      </c>
      <c r="EM157" s="189">
        <f t="shared" si="2571"/>
        <v>0</v>
      </c>
      <c r="EN157" s="189">
        <f t="shared" si="2571"/>
        <v>0</v>
      </c>
      <c r="EO157" s="189">
        <f t="shared" si="2571"/>
        <v>0</v>
      </c>
      <c r="EP157" s="189">
        <f t="shared" si="2571"/>
        <v>0</v>
      </c>
      <c r="EQ157" s="189">
        <f t="shared" si="2571"/>
        <v>0</v>
      </c>
      <c r="ER157" s="189">
        <f t="shared" si="2571"/>
        <v>0</v>
      </c>
      <c r="ES157" s="189">
        <f t="shared" si="2571"/>
        <v>0</v>
      </c>
      <c r="ET157" s="189">
        <f t="shared" si="2571"/>
        <v>0</v>
      </c>
      <c r="EU157" s="189">
        <f t="shared" si="2571"/>
        <v>0</v>
      </c>
      <c r="EV157" s="189">
        <f t="shared" si="2571"/>
        <v>0</v>
      </c>
      <c r="EW157" s="189">
        <f t="shared" si="2571"/>
        <v>0</v>
      </c>
      <c r="EX157" s="189">
        <f t="shared" si="2571"/>
        <v>0</v>
      </c>
      <c r="EY157" s="189">
        <f t="shared" si="2571"/>
        <v>0</v>
      </c>
      <c r="EZ157" s="189">
        <f t="shared" si="2571"/>
        <v>0</v>
      </c>
      <c r="FA157" s="189">
        <f t="shared" si="2571"/>
        <v>0</v>
      </c>
      <c r="FB157" s="189">
        <f t="shared" si="2571"/>
        <v>0</v>
      </c>
      <c r="FC157" s="189">
        <f t="shared" si="2571"/>
        <v>0</v>
      </c>
      <c r="FD157" s="189">
        <f t="shared" si="2571"/>
        <v>0</v>
      </c>
      <c r="FE157" s="189">
        <f t="shared" si="2571"/>
        <v>0</v>
      </c>
      <c r="FF157" s="189">
        <f t="shared" si="2571"/>
        <v>0</v>
      </c>
      <c r="FG157" s="189">
        <f t="shared" si="2571"/>
        <v>0</v>
      </c>
      <c r="FH157" s="189">
        <f t="shared" si="2571"/>
        <v>0</v>
      </c>
      <c r="FI157" s="189">
        <f t="shared" si="2571"/>
        <v>0</v>
      </c>
      <c r="FJ157" s="189">
        <f t="shared" si="2571"/>
        <v>0</v>
      </c>
      <c r="FK157" s="189">
        <f t="shared" si="2571"/>
        <v>0</v>
      </c>
      <c r="FL157" s="189">
        <f t="shared" si="2571"/>
        <v>0</v>
      </c>
      <c r="FM157" s="189">
        <f t="shared" si="2571"/>
        <v>0</v>
      </c>
      <c r="FN157" s="189">
        <f t="shared" si="2571"/>
        <v>0</v>
      </c>
      <c r="FO157" s="189">
        <f t="shared" si="2571"/>
        <v>0</v>
      </c>
      <c r="FP157" s="189">
        <f t="shared" si="2571"/>
        <v>0</v>
      </c>
      <c r="FQ157" s="189">
        <f t="shared" si="2571"/>
        <v>0</v>
      </c>
      <c r="FR157" s="189">
        <f t="shared" si="2571"/>
        <v>0</v>
      </c>
      <c r="FS157" s="189">
        <f t="shared" si="2571"/>
        <v>0</v>
      </c>
      <c r="FT157" s="189">
        <f t="shared" si="2571"/>
        <v>0</v>
      </c>
      <c r="FU157" s="189">
        <f t="shared" si="2571"/>
        <v>0</v>
      </c>
      <c r="FV157" s="189">
        <f t="shared" si="2571"/>
        <v>0</v>
      </c>
      <c r="FW157" s="189">
        <f t="shared" si="2571"/>
        <v>0</v>
      </c>
      <c r="FX157" s="189">
        <f t="shared" si="2571"/>
        <v>0</v>
      </c>
      <c r="FY157" s="189">
        <f t="shared" si="2571"/>
        <v>0</v>
      </c>
      <c r="FZ157" s="189">
        <f t="shared" si="2571"/>
        <v>0</v>
      </c>
      <c r="GA157" s="189">
        <f t="shared" si="2571"/>
        <v>0</v>
      </c>
      <c r="GB157" s="189">
        <f t="shared" si="2571"/>
        <v>0</v>
      </c>
      <c r="GC157" s="189">
        <f t="shared" si="2571"/>
        <v>0</v>
      </c>
      <c r="GD157" s="189">
        <f t="shared" si="2571"/>
        <v>0</v>
      </c>
      <c r="GE157" s="189">
        <f t="shared" si="2571"/>
        <v>0</v>
      </c>
      <c r="GF157" s="189">
        <f t="shared" si="2571"/>
        <v>0</v>
      </c>
      <c r="GG157" s="189">
        <f t="shared" si="2571"/>
        <v>0</v>
      </c>
      <c r="GH157" s="189">
        <f t="shared" si="2571"/>
        <v>0</v>
      </c>
      <c r="GI157" s="189">
        <f t="shared" si="2571"/>
        <v>0</v>
      </c>
      <c r="GJ157" s="189">
        <f t="shared" si="2571"/>
        <v>0</v>
      </c>
      <c r="GK157" s="189">
        <f t="shared" si="2571"/>
        <v>0</v>
      </c>
      <c r="GL157" s="189">
        <f t="shared" si="2571"/>
        <v>0</v>
      </c>
      <c r="GM157" s="189">
        <f t="shared" si="2571"/>
        <v>0</v>
      </c>
      <c r="GN157" s="189">
        <f t="shared" si="2571"/>
        <v>0</v>
      </c>
      <c r="GO157" s="189">
        <f t="shared" si="2571"/>
        <v>0</v>
      </c>
      <c r="GP157" s="189">
        <f t="shared" ref="GP157:GQ157" si="2572">(IF(GP142&lt;$C144,0,IF(GP142=$C144,$C157,0)))</f>
        <v>0</v>
      </c>
      <c r="GQ157" s="189">
        <f t="shared" si="2572"/>
        <v>0</v>
      </c>
    </row>
    <row r="158" spans="2:199" s="315" customFormat="1" outlineLevel="1">
      <c r="B158" s="190" t="s">
        <v>395</v>
      </c>
      <c r="C158" s="164"/>
      <c r="D158" s="191"/>
      <c r="E158" s="191">
        <f>SUM(E156:E157,-D163)*(E166-1)</f>
        <v>0</v>
      </c>
      <c r="F158" s="191">
        <f t="shared" ref="F158" si="2573">SUM(F156:F157,-E163)*(F166-1)</f>
        <v>0</v>
      </c>
      <c r="G158" s="191">
        <f t="shared" ref="G158" si="2574">SUM(G156:G157,-F163)*(G166-1)</f>
        <v>0</v>
      </c>
      <c r="H158" s="191">
        <f t="shared" ref="H158" si="2575">SUM(H156:H157,-G163)*(H166-1)</f>
        <v>0</v>
      </c>
      <c r="I158" s="191">
        <f t="shared" ref="I158" si="2576">SUM(I156:I157,-H163)*(I166-1)</f>
        <v>0</v>
      </c>
      <c r="J158" s="191">
        <f t="shared" ref="J158" si="2577">SUM(J156:J157,-I163)*(J166-1)</f>
        <v>0</v>
      </c>
      <c r="K158" s="191">
        <f t="shared" ref="K158" si="2578">SUM(K156:K157,-J163)*(K166-1)</f>
        <v>0</v>
      </c>
      <c r="L158" s="191">
        <f t="shared" ref="L158" si="2579">SUM(L156:L157,-K163)*(L166-1)</f>
        <v>0</v>
      </c>
      <c r="M158" s="191">
        <f t="shared" ref="M158" si="2580">SUM(M156:M157,-L163)*(M166-1)</f>
        <v>0</v>
      </c>
      <c r="N158" s="191">
        <f t="shared" ref="N158" si="2581">SUM(N156:N157,-M163)*(N166-1)</f>
        <v>0</v>
      </c>
      <c r="O158" s="191">
        <f t="shared" ref="O158" si="2582">SUM(O156:O157,-N163)*(O166-1)</f>
        <v>0</v>
      </c>
      <c r="P158" s="191">
        <f t="shared" ref="P158" si="2583">SUM(P156:P157,-O163)*(P166-1)</f>
        <v>0</v>
      </c>
      <c r="Q158" s="191">
        <f t="shared" ref="Q158" si="2584">SUM(Q156:Q157,-P163)*(Q166-1)</f>
        <v>0</v>
      </c>
      <c r="R158" s="191">
        <f t="shared" ref="R158" si="2585">SUM(R156:R157,-Q163)*(R166-1)</f>
        <v>0</v>
      </c>
      <c r="S158" s="191">
        <f t="shared" ref="S158" si="2586">SUM(S156:S157,-R163)*(S166-1)</f>
        <v>0</v>
      </c>
      <c r="T158" s="191">
        <f t="shared" ref="T158" si="2587">SUM(T156:T157,-S163)*(T166-1)</f>
        <v>0</v>
      </c>
      <c r="U158" s="191">
        <f t="shared" ref="U158" si="2588">SUM(U156:U157,-T163)*(U166-1)</f>
        <v>0</v>
      </c>
      <c r="V158" s="191">
        <f t="shared" ref="V158" si="2589">SUM(V156:V157,-U163)*(V166-1)</f>
        <v>0</v>
      </c>
      <c r="W158" s="191">
        <f t="shared" ref="W158" si="2590">SUM(W156:W157,-V163)*(W166-1)</f>
        <v>0</v>
      </c>
      <c r="X158" s="191">
        <f t="shared" ref="X158" si="2591">SUM(X156:X157,-W163)*(X166-1)</f>
        <v>0</v>
      </c>
      <c r="Y158" s="191">
        <f t="shared" ref="Y158" si="2592">SUM(Y156:Y157,-X163)*(Y166-1)</f>
        <v>0</v>
      </c>
      <c r="Z158" s="191">
        <f t="shared" ref="Z158" si="2593">SUM(Z156:Z157,-Y163)*(Z166-1)</f>
        <v>0</v>
      </c>
      <c r="AA158" s="191">
        <f t="shared" ref="AA158" si="2594">SUM(AA156:AA157,-Z163)*(AA166-1)</f>
        <v>0</v>
      </c>
      <c r="AB158" s="191">
        <f t="shared" ref="AB158" si="2595">SUM(AB156:AB157,-AA163)*(AB166-1)</f>
        <v>0</v>
      </c>
      <c r="AC158" s="191">
        <f t="shared" ref="AC158" si="2596">SUM(AC156:AC157,-AB163)*(AC166-1)</f>
        <v>0</v>
      </c>
      <c r="AD158" s="191">
        <f t="shared" ref="AD158" si="2597">SUM(AD156:AD157,-AC163)*(AD166-1)</f>
        <v>0</v>
      </c>
      <c r="AE158" s="191">
        <f t="shared" ref="AE158" si="2598">SUM(AE156:AE157,-AD163)*(AE166-1)</f>
        <v>0</v>
      </c>
      <c r="AF158" s="191">
        <f t="shared" ref="AF158" si="2599">SUM(AF156:AF157,-AE163)*(AF166-1)</f>
        <v>0</v>
      </c>
      <c r="AG158" s="191">
        <f t="shared" ref="AG158" si="2600">SUM(AG156:AG157,-AF163)*(AG166-1)</f>
        <v>0</v>
      </c>
      <c r="AH158" s="191">
        <f t="shared" ref="AH158" si="2601">SUM(AH156:AH157,-AG163)*(AH166-1)</f>
        <v>0</v>
      </c>
      <c r="AI158" s="191">
        <f t="shared" ref="AI158" si="2602">SUM(AI156:AI157,-AH163)*(AI166-1)</f>
        <v>0</v>
      </c>
      <c r="AJ158" s="191">
        <f t="shared" ref="AJ158" si="2603">SUM(AJ156:AJ157,-AI163)*(AJ166-1)</f>
        <v>0</v>
      </c>
      <c r="AK158" s="191">
        <f t="shared" ref="AK158" si="2604">SUM(AK156:AK157,-AJ163)*(AK166-1)</f>
        <v>0</v>
      </c>
      <c r="AL158" s="191">
        <f t="shared" ref="AL158" si="2605">SUM(AL156:AL157,-AK163)*(AL166-1)</f>
        <v>0</v>
      </c>
      <c r="AM158" s="191">
        <f t="shared" ref="AM158" si="2606">SUM(AM156:AM157,-AL163)*(AM166-1)</f>
        <v>0</v>
      </c>
      <c r="AN158" s="191">
        <f t="shared" ref="AN158" si="2607">SUM(AN156:AN157,-AM163)*(AN166-1)</f>
        <v>0</v>
      </c>
      <c r="AO158" s="191">
        <f t="shared" ref="AO158" si="2608">SUM(AO156:AO157,-AN163)*(AO166-1)</f>
        <v>0</v>
      </c>
      <c r="AP158" s="191">
        <f t="shared" ref="AP158" si="2609">SUM(AP156:AP157,-AO163)*(AP166-1)</f>
        <v>0</v>
      </c>
      <c r="AQ158" s="191">
        <f t="shared" ref="AQ158" si="2610">SUM(AQ156:AQ157,-AP163)*(AQ166-1)</f>
        <v>0</v>
      </c>
      <c r="AR158" s="191">
        <f t="shared" ref="AR158" si="2611">SUM(AR156:AR157,-AQ163)*(AR166-1)</f>
        <v>0</v>
      </c>
      <c r="AS158" s="191">
        <f t="shared" ref="AS158" si="2612">SUM(AS156:AS157,-AR163)*(AS166-1)</f>
        <v>0</v>
      </c>
      <c r="AT158" s="191">
        <f t="shared" ref="AT158" si="2613">SUM(AT156:AT157,-AS163)*(AT166-1)</f>
        <v>0</v>
      </c>
      <c r="AU158" s="191">
        <f t="shared" ref="AU158" si="2614">SUM(AU156:AU157,-AT163)*(AU166-1)</f>
        <v>0</v>
      </c>
      <c r="AV158" s="191">
        <f t="shared" ref="AV158" si="2615">SUM(AV156:AV157,-AU163)*(AV166-1)</f>
        <v>0</v>
      </c>
      <c r="AW158" s="191">
        <f t="shared" ref="AW158" si="2616">SUM(AW156:AW157,-AV163)*(AW166-1)</f>
        <v>0</v>
      </c>
      <c r="AX158" s="191">
        <f t="shared" ref="AX158" si="2617">SUM(AX156:AX157,-AW163)*(AX166-1)</f>
        <v>0</v>
      </c>
      <c r="AY158" s="191">
        <f t="shared" ref="AY158" si="2618">SUM(AY156:AY157,-AX163)*(AY166-1)</f>
        <v>0</v>
      </c>
      <c r="AZ158" s="191">
        <f t="shared" ref="AZ158" si="2619">SUM(AZ156:AZ157,-AY163)*(AZ166-1)</f>
        <v>0</v>
      </c>
      <c r="BA158" s="191">
        <f t="shared" ref="BA158" si="2620">SUM(BA156:BA157,-AZ163)*(BA166-1)</f>
        <v>0</v>
      </c>
      <c r="BB158" s="191">
        <f t="shared" ref="BB158" si="2621">SUM(BB156:BB157,-BA163)*(BB166-1)</f>
        <v>0</v>
      </c>
      <c r="BC158" s="191">
        <f t="shared" ref="BC158" si="2622">SUM(BC156:BC157,-BB163)*(BC166-1)</f>
        <v>0</v>
      </c>
      <c r="BD158" s="191">
        <f t="shared" ref="BD158" si="2623">SUM(BD156:BD157,-BC163)*(BD166-1)</f>
        <v>0</v>
      </c>
      <c r="BE158" s="191">
        <f t="shared" ref="BE158" si="2624">SUM(BE156:BE157,-BD163)*(BE166-1)</f>
        <v>0</v>
      </c>
      <c r="BF158" s="191">
        <f t="shared" ref="BF158" si="2625">SUM(BF156:BF157,-BE163)*(BF166-1)</f>
        <v>0</v>
      </c>
      <c r="BG158" s="191">
        <f t="shared" ref="BG158" si="2626">SUM(BG156:BG157,-BF163)*(BG166-1)</f>
        <v>0</v>
      </c>
      <c r="BH158" s="191">
        <f t="shared" ref="BH158" si="2627">SUM(BH156:BH157,-BG163)*(BH166-1)</f>
        <v>0</v>
      </c>
      <c r="BI158" s="191">
        <f t="shared" ref="BI158" si="2628">SUM(BI156:BI157,-BH163)*(BI166-1)</f>
        <v>0</v>
      </c>
      <c r="BJ158" s="191">
        <f t="shared" ref="BJ158" si="2629">SUM(BJ156:BJ157,-BI163)*(BJ166-1)</f>
        <v>0</v>
      </c>
      <c r="BK158" s="191">
        <f t="shared" ref="BK158" si="2630">SUM(BK156:BK157,-BJ163)*(BK166-1)</f>
        <v>0</v>
      </c>
      <c r="BL158" s="191">
        <f t="shared" ref="BL158" si="2631">SUM(BL156:BL157,-BK163)*(BL166-1)</f>
        <v>0</v>
      </c>
      <c r="BM158" s="191">
        <f t="shared" ref="BM158" si="2632">SUM(BM156:BM157,-BL163)*(BM166-1)</f>
        <v>0</v>
      </c>
      <c r="BN158" s="191">
        <f t="shared" ref="BN158" si="2633">SUM(BN156:BN157,-BM163)*(BN166-1)</f>
        <v>0</v>
      </c>
      <c r="BO158" s="191">
        <f t="shared" ref="BO158" si="2634">SUM(BO156:BO157,-BN163)*(BO166-1)</f>
        <v>0</v>
      </c>
      <c r="BP158" s="191">
        <f t="shared" ref="BP158" si="2635">SUM(BP156:BP157,-BO163)*(BP166-1)</f>
        <v>0</v>
      </c>
      <c r="BQ158" s="191">
        <f t="shared" ref="BQ158" si="2636">SUM(BQ156:BQ157,-BP163)*(BQ166-1)</f>
        <v>0</v>
      </c>
      <c r="BR158" s="191">
        <f t="shared" ref="BR158" si="2637">SUM(BR156:BR157,-BQ163)*(BR166-1)</f>
        <v>0</v>
      </c>
      <c r="BS158" s="191">
        <f t="shared" ref="BS158" si="2638">SUM(BS156:BS157,-BR163)*(BS166-1)</f>
        <v>0</v>
      </c>
      <c r="BT158" s="191">
        <f t="shared" ref="BT158" si="2639">SUM(BT156:BT157,-BS163)*(BT166-1)</f>
        <v>0</v>
      </c>
      <c r="BU158" s="191">
        <f t="shared" ref="BU158" si="2640">SUM(BU156:BU157,-BT163)*(BU166-1)</f>
        <v>0</v>
      </c>
      <c r="BV158" s="191">
        <f t="shared" ref="BV158" si="2641">SUM(BV156:BV157,-BU163)*(BV166-1)</f>
        <v>0</v>
      </c>
      <c r="BW158" s="191">
        <f t="shared" ref="BW158" si="2642">SUM(BW156:BW157,-BV163)*(BW166-1)</f>
        <v>0</v>
      </c>
      <c r="BX158" s="191">
        <f t="shared" ref="BX158" si="2643">SUM(BX156:BX157,-BW163)*(BX166-1)</f>
        <v>0</v>
      </c>
      <c r="BY158" s="191">
        <f t="shared" ref="BY158" si="2644">SUM(BY156:BY157,-BX163)*(BY166-1)</f>
        <v>0</v>
      </c>
      <c r="BZ158" s="191">
        <f t="shared" ref="BZ158" si="2645">SUM(BZ156:BZ157,-BY163)*(BZ166-1)</f>
        <v>0</v>
      </c>
      <c r="CA158" s="191">
        <f t="shared" ref="CA158" si="2646">SUM(CA156:CA157,-BZ163)*(CA166-1)</f>
        <v>0</v>
      </c>
      <c r="CB158" s="191">
        <f t="shared" ref="CB158" si="2647">SUM(CB156:CB157,-CA163)*(CB166-1)</f>
        <v>0</v>
      </c>
      <c r="CC158" s="191">
        <f t="shared" ref="CC158" si="2648">SUM(CC156:CC157,-CB163)*(CC166-1)</f>
        <v>0</v>
      </c>
      <c r="CD158" s="191">
        <f t="shared" ref="CD158" si="2649">SUM(CD156:CD157,-CC163)*(CD166-1)</f>
        <v>0</v>
      </c>
      <c r="CE158" s="191">
        <f t="shared" ref="CE158" si="2650">SUM(CE156:CE157,-CD163)*(CE166-1)</f>
        <v>0</v>
      </c>
      <c r="CF158" s="191">
        <f t="shared" ref="CF158" si="2651">SUM(CF156:CF157,-CE163)*(CF166-1)</f>
        <v>0</v>
      </c>
      <c r="CG158" s="191">
        <f t="shared" ref="CG158" si="2652">SUM(CG156:CG157,-CF163)*(CG166-1)</f>
        <v>0</v>
      </c>
      <c r="CH158" s="191">
        <f t="shared" ref="CH158" si="2653">SUM(CH156:CH157,-CG163)*(CH166-1)</f>
        <v>0</v>
      </c>
      <c r="CI158" s="191">
        <f t="shared" ref="CI158" si="2654">SUM(CI156:CI157,-CH163)*(CI166-1)</f>
        <v>0</v>
      </c>
      <c r="CJ158" s="191">
        <f t="shared" ref="CJ158" si="2655">SUM(CJ156:CJ157,-CI163)*(CJ166-1)</f>
        <v>0</v>
      </c>
      <c r="CK158" s="191">
        <f t="shared" ref="CK158" si="2656">SUM(CK156:CK157,-CJ163)*(CK166-1)</f>
        <v>0</v>
      </c>
      <c r="CL158" s="191">
        <f t="shared" ref="CL158" si="2657">SUM(CL156:CL157,-CK163)*(CL166-1)</f>
        <v>0</v>
      </c>
      <c r="CM158" s="191">
        <f t="shared" ref="CM158" si="2658">SUM(CM156:CM157,-CL163)*(CM166-1)</f>
        <v>0</v>
      </c>
      <c r="CN158" s="191">
        <f t="shared" ref="CN158" si="2659">SUM(CN156:CN157,-CM163)*(CN166-1)</f>
        <v>0</v>
      </c>
      <c r="CO158" s="191">
        <f t="shared" ref="CO158" si="2660">SUM(CO156:CO157,-CN163)*(CO166-1)</f>
        <v>0</v>
      </c>
      <c r="CP158" s="191">
        <f t="shared" ref="CP158" si="2661">SUM(CP156:CP157,-CO163)*(CP166-1)</f>
        <v>0</v>
      </c>
      <c r="CQ158" s="191">
        <f t="shared" ref="CQ158" si="2662">SUM(CQ156:CQ157,-CP163)*(CQ166-1)</f>
        <v>0</v>
      </c>
      <c r="CR158" s="191">
        <f t="shared" ref="CR158" si="2663">SUM(CR156:CR157,-CQ163)*(CR166-1)</f>
        <v>0</v>
      </c>
      <c r="CS158" s="191">
        <f t="shared" ref="CS158" si="2664">SUM(CS156:CS157,-CR163)*(CS166-1)</f>
        <v>0</v>
      </c>
      <c r="CT158" s="191">
        <f t="shared" ref="CT158" si="2665">SUM(CT156:CT157,-CS163)*(CT166-1)</f>
        <v>0</v>
      </c>
      <c r="CU158" s="191">
        <f t="shared" ref="CU158" si="2666">SUM(CU156:CU157,-CT163)*(CU166-1)</f>
        <v>0</v>
      </c>
      <c r="CV158" s="191">
        <f t="shared" ref="CV158" si="2667">SUM(CV156:CV157,-CU163)*(CV166-1)</f>
        <v>0</v>
      </c>
      <c r="CW158" s="191">
        <f t="shared" ref="CW158" si="2668">SUM(CW156:CW157,-CV163)*(CW166-1)</f>
        <v>0</v>
      </c>
      <c r="CX158" s="191">
        <f t="shared" ref="CX158" si="2669">SUM(CX156:CX157,-CW163)*(CX166-1)</f>
        <v>0</v>
      </c>
      <c r="CY158" s="191">
        <f t="shared" ref="CY158" si="2670">SUM(CY156:CY157,-CX163)*(CY166-1)</f>
        <v>0</v>
      </c>
      <c r="CZ158" s="191">
        <f t="shared" ref="CZ158" si="2671">SUM(CZ156:CZ157,-CY163)*(CZ166-1)</f>
        <v>0</v>
      </c>
      <c r="DA158" s="191">
        <f t="shared" ref="DA158" si="2672">SUM(DA156:DA157,-CZ163)*(DA166-1)</f>
        <v>0</v>
      </c>
      <c r="DB158" s="191">
        <f t="shared" ref="DB158" si="2673">SUM(DB156:DB157,-DA163)*(DB166-1)</f>
        <v>0</v>
      </c>
      <c r="DC158" s="191">
        <f t="shared" ref="DC158" si="2674">SUM(DC156:DC157,-DB163)*(DC166-1)</f>
        <v>0</v>
      </c>
      <c r="DD158" s="191">
        <f t="shared" ref="DD158" si="2675">SUM(DD156:DD157,-DC163)*(DD166-1)</f>
        <v>0</v>
      </c>
      <c r="DE158" s="191">
        <f t="shared" ref="DE158" si="2676">SUM(DE156:DE157,-DD163)*(DE166-1)</f>
        <v>0</v>
      </c>
      <c r="DF158" s="191">
        <f t="shared" ref="DF158" si="2677">SUM(DF156:DF157,-DE163)*(DF166-1)</f>
        <v>0</v>
      </c>
      <c r="DG158" s="191">
        <f t="shared" ref="DG158" si="2678">SUM(DG156:DG157,-DF163)*(DG166-1)</f>
        <v>0</v>
      </c>
      <c r="DH158" s="191">
        <f t="shared" ref="DH158" si="2679">SUM(DH156:DH157,-DG163)*(DH166-1)</f>
        <v>0</v>
      </c>
      <c r="DI158" s="191">
        <f t="shared" ref="DI158" si="2680">SUM(DI156:DI157,-DH163)*(DI166-1)</f>
        <v>0</v>
      </c>
      <c r="DJ158" s="191">
        <f t="shared" ref="DJ158" si="2681">SUM(DJ156:DJ157,-DI163)*(DJ166-1)</f>
        <v>0</v>
      </c>
      <c r="DK158" s="191">
        <f t="shared" ref="DK158" si="2682">SUM(DK156:DK157,-DJ163)*(DK166-1)</f>
        <v>0</v>
      </c>
      <c r="DL158" s="191">
        <f t="shared" ref="DL158" si="2683">SUM(DL156:DL157,-DK163)*(DL166-1)</f>
        <v>0</v>
      </c>
      <c r="DM158" s="191">
        <f t="shared" ref="DM158" si="2684">SUM(DM156:DM157,-DL163)*(DM166-1)</f>
        <v>0</v>
      </c>
      <c r="DN158" s="191">
        <f t="shared" ref="DN158" si="2685">SUM(DN156:DN157,-DM163)*(DN166-1)</f>
        <v>0</v>
      </c>
      <c r="DO158" s="191">
        <f t="shared" ref="DO158" si="2686">SUM(DO156:DO157,-DN163)*(DO166-1)</f>
        <v>0</v>
      </c>
      <c r="DP158" s="191">
        <f t="shared" ref="DP158" si="2687">SUM(DP156:DP157,-DO163)*(DP166-1)</f>
        <v>0</v>
      </c>
      <c r="DQ158" s="191">
        <f t="shared" ref="DQ158" si="2688">SUM(DQ156:DQ157,-DP163)*(DQ166-1)</f>
        <v>0</v>
      </c>
      <c r="DR158" s="191">
        <f t="shared" ref="DR158" si="2689">SUM(DR156:DR157,-DQ163)*(DR166-1)</f>
        <v>0</v>
      </c>
      <c r="DS158" s="191">
        <f t="shared" ref="DS158" si="2690">SUM(DS156:DS157,-DR163)*(DS166-1)</f>
        <v>0</v>
      </c>
      <c r="DT158" s="191">
        <f t="shared" ref="DT158" si="2691">SUM(DT156:DT157,-DS163)*(DT166-1)</f>
        <v>0</v>
      </c>
      <c r="DU158" s="191">
        <f t="shared" ref="DU158" si="2692">SUM(DU156:DU157,-DT163)*(DU166-1)</f>
        <v>0</v>
      </c>
      <c r="DV158" s="191">
        <f t="shared" ref="DV158" si="2693">SUM(DV156:DV157,-DU163)*(DV166-1)</f>
        <v>0</v>
      </c>
      <c r="DW158" s="191">
        <f t="shared" ref="DW158" si="2694">SUM(DW156:DW157,-DV163)*(DW166-1)</f>
        <v>0</v>
      </c>
      <c r="DX158" s="191">
        <f t="shared" ref="DX158" si="2695">SUM(DX156:DX157,-DW163)*(DX166-1)</f>
        <v>0</v>
      </c>
      <c r="DY158" s="191">
        <f t="shared" ref="DY158" si="2696">SUM(DY156:DY157,-DX163)*(DY166-1)</f>
        <v>0</v>
      </c>
      <c r="DZ158" s="191">
        <f t="shared" ref="DZ158" si="2697">SUM(DZ156:DZ157,-DY163)*(DZ166-1)</f>
        <v>0</v>
      </c>
      <c r="EA158" s="191">
        <f t="shared" ref="EA158" si="2698">SUM(EA156:EA157,-DZ163)*(EA166-1)</f>
        <v>0</v>
      </c>
      <c r="EB158" s="191">
        <f t="shared" ref="EB158" si="2699">SUM(EB156:EB157,-EA163)*(EB166-1)</f>
        <v>0</v>
      </c>
      <c r="EC158" s="191">
        <f t="shared" ref="EC158" si="2700">SUM(EC156:EC157,-EB163)*(EC166-1)</f>
        <v>0</v>
      </c>
      <c r="ED158" s="191">
        <f t="shared" ref="ED158" si="2701">SUM(ED156:ED157,-EC163)*(ED166-1)</f>
        <v>0</v>
      </c>
      <c r="EE158" s="191">
        <f t="shared" ref="EE158" si="2702">SUM(EE156:EE157,-ED163)*(EE166-1)</f>
        <v>0</v>
      </c>
      <c r="EF158" s="191">
        <f t="shared" ref="EF158" si="2703">SUM(EF156:EF157,-EE163)*(EF166-1)</f>
        <v>0</v>
      </c>
      <c r="EG158" s="191">
        <f t="shared" ref="EG158" si="2704">SUM(EG156:EG157,-EF163)*(EG166-1)</f>
        <v>0</v>
      </c>
      <c r="EH158" s="191">
        <f t="shared" ref="EH158" si="2705">SUM(EH156:EH157,-EG163)*(EH166-1)</f>
        <v>0</v>
      </c>
      <c r="EI158" s="191">
        <f t="shared" ref="EI158" si="2706">SUM(EI156:EI157,-EH163)*(EI166-1)</f>
        <v>0</v>
      </c>
      <c r="EJ158" s="191">
        <f t="shared" ref="EJ158" si="2707">SUM(EJ156:EJ157,-EI163)*(EJ166-1)</f>
        <v>0</v>
      </c>
      <c r="EK158" s="191">
        <f t="shared" ref="EK158" si="2708">SUM(EK156:EK157,-EJ163)*(EK166-1)</f>
        <v>0</v>
      </c>
      <c r="EL158" s="191">
        <f t="shared" ref="EL158" si="2709">SUM(EL156:EL157,-EK163)*(EL166-1)</f>
        <v>0</v>
      </c>
      <c r="EM158" s="191">
        <f t="shared" ref="EM158" si="2710">SUM(EM156:EM157,-EL163)*(EM166-1)</f>
        <v>0</v>
      </c>
      <c r="EN158" s="191">
        <f t="shared" ref="EN158" si="2711">SUM(EN156:EN157,-EM163)*(EN166-1)</f>
        <v>0</v>
      </c>
      <c r="EO158" s="191">
        <f t="shared" ref="EO158" si="2712">SUM(EO156:EO157,-EN163)*(EO166-1)</f>
        <v>0</v>
      </c>
      <c r="EP158" s="191">
        <f t="shared" ref="EP158" si="2713">SUM(EP156:EP157,-EO163)*(EP166-1)</f>
        <v>0</v>
      </c>
      <c r="EQ158" s="191">
        <f t="shared" ref="EQ158" si="2714">SUM(EQ156:EQ157,-EP163)*(EQ166-1)</f>
        <v>0</v>
      </c>
      <c r="ER158" s="191">
        <f t="shared" ref="ER158" si="2715">SUM(ER156:ER157,-EQ163)*(ER166-1)</f>
        <v>0</v>
      </c>
      <c r="ES158" s="191">
        <f t="shared" ref="ES158" si="2716">SUM(ES156:ES157,-ER163)*(ES166-1)</f>
        <v>0</v>
      </c>
      <c r="ET158" s="191">
        <f t="shared" ref="ET158" si="2717">SUM(ET156:ET157,-ES163)*(ET166-1)</f>
        <v>0</v>
      </c>
      <c r="EU158" s="191">
        <f t="shared" ref="EU158" si="2718">SUM(EU156:EU157,-ET163)*(EU166-1)</f>
        <v>0</v>
      </c>
      <c r="EV158" s="191">
        <f t="shared" ref="EV158" si="2719">SUM(EV156:EV157,-EU163)*(EV166-1)</f>
        <v>0</v>
      </c>
      <c r="EW158" s="191">
        <f t="shared" ref="EW158" si="2720">SUM(EW156:EW157,-EV163)*(EW166-1)</f>
        <v>0</v>
      </c>
      <c r="EX158" s="191">
        <f t="shared" ref="EX158" si="2721">SUM(EX156:EX157,-EW163)*(EX166-1)</f>
        <v>0</v>
      </c>
      <c r="EY158" s="191">
        <f t="shared" ref="EY158" si="2722">SUM(EY156:EY157,-EX163)*(EY166-1)</f>
        <v>0</v>
      </c>
      <c r="EZ158" s="191">
        <f t="shared" ref="EZ158" si="2723">SUM(EZ156:EZ157,-EY163)*(EZ166-1)</f>
        <v>0</v>
      </c>
      <c r="FA158" s="191">
        <f t="shared" ref="FA158" si="2724">SUM(FA156:FA157,-EZ163)*(FA166-1)</f>
        <v>0</v>
      </c>
      <c r="FB158" s="191">
        <f t="shared" ref="FB158" si="2725">SUM(FB156:FB157,-FA163)*(FB166-1)</f>
        <v>0</v>
      </c>
      <c r="FC158" s="191">
        <f t="shared" ref="FC158" si="2726">SUM(FC156:FC157,-FB163)*(FC166-1)</f>
        <v>0</v>
      </c>
      <c r="FD158" s="191">
        <f t="shared" ref="FD158" si="2727">SUM(FD156:FD157,-FC163)*(FD166-1)</f>
        <v>0</v>
      </c>
      <c r="FE158" s="191">
        <f t="shared" ref="FE158" si="2728">SUM(FE156:FE157,-FD163)*(FE166-1)</f>
        <v>0</v>
      </c>
      <c r="FF158" s="191">
        <f t="shared" ref="FF158" si="2729">SUM(FF156:FF157,-FE163)*(FF166-1)</f>
        <v>0</v>
      </c>
      <c r="FG158" s="191">
        <f t="shared" ref="FG158" si="2730">SUM(FG156:FG157,-FF163)*(FG166-1)</f>
        <v>0</v>
      </c>
      <c r="FH158" s="191">
        <f t="shared" ref="FH158" si="2731">SUM(FH156:FH157,-FG163)*(FH166-1)</f>
        <v>0</v>
      </c>
      <c r="FI158" s="191">
        <f t="shared" ref="FI158" si="2732">SUM(FI156:FI157,-FH163)*(FI166-1)</f>
        <v>0</v>
      </c>
      <c r="FJ158" s="191">
        <f t="shared" ref="FJ158" si="2733">SUM(FJ156:FJ157,-FI163)*(FJ166-1)</f>
        <v>0</v>
      </c>
      <c r="FK158" s="191">
        <f t="shared" ref="FK158" si="2734">SUM(FK156:FK157,-FJ163)*(FK166-1)</f>
        <v>0</v>
      </c>
      <c r="FL158" s="191">
        <f t="shared" ref="FL158" si="2735">SUM(FL156:FL157,-FK163)*(FL166-1)</f>
        <v>0</v>
      </c>
      <c r="FM158" s="191">
        <f t="shared" ref="FM158" si="2736">SUM(FM156:FM157,-FL163)*(FM166-1)</f>
        <v>0</v>
      </c>
      <c r="FN158" s="191">
        <f t="shared" ref="FN158" si="2737">SUM(FN156:FN157,-FM163)*(FN166-1)</f>
        <v>0</v>
      </c>
      <c r="FO158" s="191">
        <f t="shared" ref="FO158" si="2738">SUM(FO156:FO157,-FN163)*(FO166-1)</f>
        <v>0</v>
      </c>
      <c r="FP158" s="191">
        <f t="shared" ref="FP158" si="2739">SUM(FP156:FP157,-FO163)*(FP166-1)</f>
        <v>0</v>
      </c>
      <c r="FQ158" s="191">
        <f t="shared" ref="FQ158" si="2740">SUM(FQ156:FQ157,-FP163)*(FQ166-1)</f>
        <v>0</v>
      </c>
      <c r="FR158" s="191">
        <f t="shared" ref="FR158" si="2741">SUM(FR156:FR157,-FQ163)*(FR166-1)</f>
        <v>0</v>
      </c>
      <c r="FS158" s="191">
        <f t="shared" ref="FS158" si="2742">SUM(FS156:FS157,-FR163)*(FS166-1)</f>
        <v>0</v>
      </c>
      <c r="FT158" s="191">
        <f t="shared" ref="FT158" si="2743">SUM(FT156:FT157,-FS163)*(FT166-1)</f>
        <v>0</v>
      </c>
      <c r="FU158" s="191">
        <f t="shared" ref="FU158" si="2744">SUM(FU156:FU157,-FT163)*(FU166-1)</f>
        <v>0</v>
      </c>
      <c r="FV158" s="191">
        <f t="shared" ref="FV158" si="2745">SUM(FV156:FV157,-FU163)*(FV166-1)</f>
        <v>0</v>
      </c>
      <c r="FW158" s="191">
        <f t="shared" ref="FW158" si="2746">SUM(FW156:FW157,-FV163)*(FW166-1)</f>
        <v>0</v>
      </c>
      <c r="FX158" s="191">
        <f t="shared" ref="FX158" si="2747">SUM(FX156:FX157,-FW163)*(FX166-1)</f>
        <v>0</v>
      </c>
      <c r="FY158" s="191">
        <f t="shared" ref="FY158" si="2748">SUM(FY156:FY157,-FX163)*(FY166-1)</f>
        <v>0</v>
      </c>
      <c r="FZ158" s="191">
        <f t="shared" ref="FZ158" si="2749">SUM(FZ156:FZ157,-FY163)*(FZ166-1)</f>
        <v>0</v>
      </c>
      <c r="GA158" s="191">
        <f t="shared" ref="GA158" si="2750">SUM(GA156:GA157,-FZ163)*(GA166-1)</f>
        <v>0</v>
      </c>
      <c r="GB158" s="191">
        <f t="shared" ref="GB158" si="2751">SUM(GB156:GB157,-GA163)*(GB166-1)</f>
        <v>0</v>
      </c>
      <c r="GC158" s="191">
        <f t="shared" ref="GC158" si="2752">SUM(GC156:GC157,-GB163)*(GC166-1)</f>
        <v>0</v>
      </c>
      <c r="GD158" s="191">
        <f t="shared" ref="GD158" si="2753">SUM(GD156:GD157,-GC163)*(GD166-1)</f>
        <v>0</v>
      </c>
      <c r="GE158" s="191">
        <f t="shared" ref="GE158" si="2754">SUM(GE156:GE157,-GD163)*(GE166-1)</f>
        <v>0</v>
      </c>
      <c r="GF158" s="191">
        <f t="shared" ref="GF158" si="2755">SUM(GF156:GF157,-GE163)*(GF166-1)</f>
        <v>0</v>
      </c>
      <c r="GG158" s="191">
        <f t="shared" ref="GG158" si="2756">SUM(GG156:GG157,-GF163)*(GG166-1)</f>
        <v>0</v>
      </c>
      <c r="GH158" s="191">
        <f t="shared" ref="GH158" si="2757">SUM(GH156:GH157,-GG163)*(GH166-1)</f>
        <v>0</v>
      </c>
      <c r="GI158" s="191">
        <f t="shared" ref="GI158" si="2758">SUM(GI156:GI157,-GH163)*(GI166-1)</f>
        <v>0</v>
      </c>
      <c r="GJ158" s="191">
        <f t="shared" ref="GJ158" si="2759">SUM(GJ156:GJ157,-GI163)*(GJ166-1)</f>
        <v>0</v>
      </c>
      <c r="GK158" s="191">
        <f t="shared" ref="GK158" si="2760">SUM(GK156:GK157,-GJ163)*(GK166-1)</f>
        <v>0</v>
      </c>
      <c r="GL158" s="191">
        <f t="shared" ref="GL158" si="2761">SUM(GL156:GL157,-GK163)*(GL166-1)</f>
        <v>0</v>
      </c>
      <c r="GM158" s="191">
        <f t="shared" ref="GM158" si="2762">SUM(GM156:GM157,-GL163)*(GM166-1)</f>
        <v>0</v>
      </c>
      <c r="GN158" s="191">
        <f t="shared" ref="GN158" si="2763">SUM(GN156:GN157,-GM163)*(GN166-1)</f>
        <v>0</v>
      </c>
      <c r="GO158" s="191">
        <f t="shared" ref="GO158" si="2764">SUM(GO156:GO157,-GN163)*(GO166-1)</f>
        <v>0</v>
      </c>
      <c r="GP158" s="191">
        <f t="shared" ref="GP158" si="2765">SUM(GP156:GP157,-GO163)*(GP166-1)</f>
        <v>0</v>
      </c>
      <c r="GQ158" s="191">
        <f t="shared" ref="GQ158" si="2766">SUM(GQ156:GQ157,-GP163)*(GQ166-1)</f>
        <v>0</v>
      </c>
    </row>
    <row r="159" spans="2:199" s="315" customFormat="1" outlineLevel="1">
      <c r="B159" s="190" t="s">
        <v>390</v>
      </c>
      <c r="C159" s="192"/>
      <c r="D159" s="193"/>
      <c r="E159" s="193">
        <f>SUM(E156:E158)*E150</f>
        <v>2008.0858156290424</v>
      </c>
      <c r="F159" s="193">
        <f t="shared" ref="F159" si="2767">SUM(F156:F158)*F150</f>
        <v>2174.4616317537575</v>
      </c>
      <c r="G159" s="193">
        <f t="shared" ref="G159" si="2768">SUM(G156:G158)*G150</f>
        <v>2244.5603342037916</v>
      </c>
      <c r="H159" s="193">
        <f t="shared" ref="H159:BS159" si="2769">SUM(H156:H158)*H150</f>
        <v>1920.4259879597644</v>
      </c>
      <c r="I159" s="193">
        <f t="shared" si="2769"/>
        <v>2192.7494193586754</v>
      </c>
      <c r="J159" s="193">
        <f t="shared" si="2769"/>
        <v>2036.2840245191567</v>
      </c>
      <c r="K159" s="193">
        <f t="shared" si="2769"/>
        <v>2051.2419923142984</v>
      </c>
      <c r="L159" s="193">
        <f t="shared" si="2769"/>
        <v>2126.1926750261396</v>
      </c>
      <c r="M159" s="193">
        <f t="shared" si="2769"/>
        <v>1805.9126938198049</v>
      </c>
      <c r="N159" s="193">
        <f t="shared" si="2769"/>
        <v>1987.7422151122771</v>
      </c>
      <c r="O159" s="193">
        <f t="shared" si="2769"/>
        <v>2173.3929371647014</v>
      </c>
      <c r="P159" s="193">
        <f t="shared" si="2769"/>
        <v>2104.5018911402954</v>
      </c>
      <c r="Q159" s="193">
        <f t="shared" si="2769"/>
        <v>2033.7678166405822</v>
      </c>
      <c r="R159" s="193">
        <f t="shared" si="2769"/>
        <v>2209.8990555029732</v>
      </c>
      <c r="S159" s="193">
        <f t="shared" si="2769"/>
        <v>2143.812691967421</v>
      </c>
      <c r="T159" s="193">
        <f t="shared" si="2769"/>
        <v>2128.4088842828878</v>
      </c>
      <c r="U159" s="193">
        <f t="shared" si="2769"/>
        <v>2492.4911281183649</v>
      </c>
      <c r="V159" s="193">
        <f t="shared" si="2769"/>
        <v>2283.1656468272263</v>
      </c>
      <c r="W159" s="193">
        <f t="shared" si="2769"/>
        <v>2450.3732308291987</v>
      </c>
      <c r="X159" s="193">
        <f t="shared" si="2769"/>
        <v>2575.525381838368</v>
      </c>
      <c r="Y159" s="193">
        <f t="shared" si="2769"/>
        <v>2390.2240864538708</v>
      </c>
      <c r="Z159" s="193">
        <f t="shared" si="2769"/>
        <v>2305.1107014491108</v>
      </c>
      <c r="AA159" s="193">
        <f t="shared" si="2769"/>
        <v>2429.8879447742811</v>
      </c>
      <c r="AB159" s="193">
        <f t="shared" si="2769"/>
        <v>2557.5058818216762</v>
      </c>
      <c r="AC159" s="193">
        <f t="shared" si="2769"/>
        <v>2472.0189729250005</v>
      </c>
      <c r="AD159" s="193">
        <f t="shared" si="2769"/>
        <v>2548.1235314867822</v>
      </c>
      <c r="AE159" s="193">
        <f t="shared" si="2769"/>
        <v>2373.5829262672378</v>
      </c>
      <c r="AF159" s="193">
        <f t="shared" si="2769"/>
        <v>2494.8130332091337</v>
      </c>
      <c r="AG159" s="193">
        <f t="shared" si="2769"/>
        <v>2618.9918108742331</v>
      </c>
      <c r="AH159" s="193">
        <f t="shared" si="2769"/>
        <v>2337.4426914493743</v>
      </c>
      <c r="AI159" s="193">
        <f t="shared" si="2769"/>
        <v>2563.2602544632682</v>
      </c>
      <c r="AJ159" s="193">
        <f t="shared" si="2769"/>
        <v>2482.8048623708573</v>
      </c>
      <c r="AK159" s="193">
        <f t="shared" si="2769"/>
        <v>2190.1698691286902</v>
      </c>
      <c r="AL159" s="193">
        <f t="shared" si="2769"/>
        <v>2629.7323686656318</v>
      </c>
      <c r="AM159" s="193">
        <f t="shared" si="2769"/>
        <v>2440.5310438157626</v>
      </c>
      <c r="AN159" s="193">
        <f t="shared" si="2769"/>
        <v>2461.1474390083213</v>
      </c>
      <c r="AO159" s="193">
        <f t="shared" si="2769"/>
        <v>2590.4071275511751</v>
      </c>
      <c r="AP159" s="193">
        <f t="shared" si="2769"/>
        <v>2548.1235314867818</v>
      </c>
      <c r="AQ159" s="193">
        <f t="shared" si="2769"/>
        <v>2373.5829262672373</v>
      </c>
      <c r="AR159" s="193">
        <f t="shared" si="2769"/>
        <v>2394.510067393921</v>
      </c>
      <c r="AS159" s="193">
        <f t="shared" si="2769"/>
        <v>2415.6217166036763</v>
      </c>
      <c r="AT159" s="193">
        <f t="shared" si="2769"/>
        <v>2334.8774121295692</v>
      </c>
      <c r="AU159" s="193">
        <f t="shared" si="2769"/>
        <v>2560.4471465543097</v>
      </c>
      <c r="AV159" s="193">
        <f t="shared" si="2769"/>
        <v>2500.7015947604177</v>
      </c>
      <c r="AW159" s="193">
        <f t="shared" si="2769"/>
        <v>2522.932827055432</v>
      </c>
      <c r="AX159" s="193">
        <f t="shared" si="2769"/>
        <v>2545.3616949621446</v>
      </c>
      <c r="AY159" s="193">
        <f t="shared" si="2769"/>
        <v>2567.9899554607568</v>
      </c>
      <c r="AZ159" s="193">
        <f t="shared" si="2769"/>
        <v>2590.8193811510228</v>
      </c>
      <c r="BA159" s="193">
        <f t="shared" si="2769"/>
        <v>2613.8517603911023</v>
      </c>
      <c r="BB159" s="193">
        <f t="shared" si="2769"/>
        <v>2370.6661460228293</v>
      </c>
      <c r="BC159" s="193">
        <f t="shared" si="2769"/>
        <v>2391.7413634324494</v>
      </c>
      <c r="BD159" s="193">
        <f t="shared" si="2769"/>
        <v>2413.0039394836936</v>
      </c>
      <c r="BE159" s="193">
        <f t="shared" si="2769"/>
        <v>2434.4555397945201</v>
      </c>
      <c r="BF159" s="193">
        <f t="shared" si="2769"/>
        <v>2456.0978447902276</v>
      </c>
      <c r="BG159" s="193">
        <f t="shared" si="2769"/>
        <v>2477.9325498350918</v>
      </c>
      <c r="BH159" s="193">
        <f t="shared" si="2769"/>
        <v>2499.9613653651741</v>
      </c>
      <c r="BI159" s="193">
        <f t="shared" si="2769"/>
        <v>2522.1860170223104</v>
      </c>
      <c r="BJ159" s="193">
        <f t="shared" si="2769"/>
        <v>2544.6082457892862</v>
      </c>
      <c r="BK159" s="193">
        <f t="shared" si="2769"/>
        <v>2567.2298081262234</v>
      </c>
      <c r="BL159" s="193">
        <f t="shared" si="2769"/>
        <v>2590.0524761081692</v>
      </c>
      <c r="BM159" s="193">
        <f t="shared" si="2769"/>
        <v>2613.0780375639151</v>
      </c>
      <c r="BN159" s="193">
        <f t="shared" si="2769"/>
        <v>2370.6661460228297</v>
      </c>
      <c r="BO159" s="193">
        <f t="shared" si="2769"/>
        <v>2391.7413634324498</v>
      </c>
      <c r="BP159" s="193">
        <f t="shared" si="2769"/>
        <v>2413.003939483694</v>
      </c>
      <c r="BQ159" s="193">
        <f t="shared" si="2769"/>
        <v>2434.455539794521</v>
      </c>
      <c r="BR159" s="193">
        <f t="shared" si="2769"/>
        <v>2456.097844790228</v>
      </c>
      <c r="BS159" s="193">
        <f t="shared" si="2769"/>
        <v>2477.9325498350922</v>
      </c>
      <c r="BT159" s="193">
        <f t="shared" ref="BT159:EE159" si="2770">SUM(BT156:BT158)*BT150</f>
        <v>2448.1704493209559</v>
      </c>
      <c r="BU159" s="193">
        <f t="shared" si="2770"/>
        <v>2469.48379709356</v>
      </c>
      <c r="BV159" s="193">
        <f t="shared" si="2770"/>
        <v>2490.9826951792165</v>
      </c>
      <c r="BW159" s="193">
        <f t="shared" si="2770"/>
        <v>2512.6687589468024</v>
      </c>
      <c r="BX159" s="193">
        <f t="shared" si="2770"/>
        <v>2534.5436178283176</v>
      </c>
      <c r="BY159" s="193">
        <f t="shared" si="2770"/>
        <v>2556.6089154413139</v>
      </c>
      <c r="BZ159" s="193">
        <f t="shared" si="2770"/>
        <v>1160.7768992563847</v>
      </c>
      <c r="CA159" s="193">
        <f t="shared" si="2770"/>
        <v>1170.8824218302393</v>
      </c>
      <c r="CB159" s="193">
        <f t="shared" si="2770"/>
        <v>1181.0759213327835</v>
      </c>
      <c r="CC159" s="193">
        <f t="shared" si="2770"/>
        <v>1191.3581636759163</v>
      </c>
      <c r="CD159" s="193">
        <f t="shared" si="2770"/>
        <v>1201.7299214394327</v>
      </c>
      <c r="CE159" s="193">
        <f t="shared" si="2770"/>
        <v>1212.1919739290731</v>
      </c>
      <c r="CF159" s="193">
        <f t="shared" si="2770"/>
        <v>1221.6661829004568</v>
      </c>
      <c r="CG159" s="193">
        <f t="shared" si="2770"/>
        <v>1232.2924123881016</v>
      </c>
      <c r="CH159" s="193">
        <f t="shared" si="2770"/>
        <v>1243.011070359652</v>
      </c>
      <c r="CI159" s="193">
        <f t="shared" si="2770"/>
        <v>1253.8229607714543</v>
      </c>
      <c r="CJ159" s="193">
        <f t="shared" si="2770"/>
        <v>1264.7288945727842</v>
      </c>
      <c r="CK159" s="193">
        <f t="shared" si="2770"/>
        <v>1275.7296897666715</v>
      </c>
      <c r="CL159" s="193">
        <f t="shared" si="2770"/>
        <v>0</v>
      </c>
      <c r="CM159" s="193">
        <f t="shared" si="2770"/>
        <v>0</v>
      </c>
      <c r="CN159" s="193">
        <f t="shared" si="2770"/>
        <v>0</v>
      </c>
      <c r="CO159" s="193">
        <f t="shared" si="2770"/>
        <v>0</v>
      </c>
      <c r="CP159" s="193">
        <f t="shared" si="2770"/>
        <v>0</v>
      </c>
      <c r="CQ159" s="193">
        <f t="shared" si="2770"/>
        <v>0</v>
      </c>
      <c r="CR159" s="193">
        <f t="shared" si="2770"/>
        <v>0</v>
      </c>
      <c r="CS159" s="193">
        <f t="shared" si="2770"/>
        <v>0</v>
      </c>
      <c r="CT159" s="193">
        <f t="shared" si="2770"/>
        <v>0</v>
      </c>
      <c r="CU159" s="193">
        <f t="shared" si="2770"/>
        <v>0</v>
      </c>
      <c r="CV159" s="193">
        <f t="shared" si="2770"/>
        <v>0</v>
      </c>
      <c r="CW159" s="193">
        <f t="shared" si="2770"/>
        <v>0</v>
      </c>
      <c r="CX159" s="193">
        <f t="shared" si="2770"/>
        <v>0</v>
      </c>
      <c r="CY159" s="193">
        <f t="shared" si="2770"/>
        <v>0</v>
      </c>
      <c r="CZ159" s="193">
        <f t="shared" si="2770"/>
        <v>0</v>
      </c>
      <c r="DA159" s="193">
        <f t="shared" si="2770"/>
        <v>0</v>
      </c>
      <c r="DB159" s="193">
        <f t="shared" si="2770"/>
        <v>0</v>
      </c>
      <c r="DC159" s="193">
        <f t="shared" si="2770"/>
        <v>0</v>
      </c>
      <c r="DD159" s="193">
        <f t="shared" si="2770"/>
        <v>0</v>
      </c>
      <c r="DE159" s="193">
        <f t="shared" si="2770"/>
        <v>0</v>
      </c>
      <c r="DF159" s="193">
        <f t="shared" si="2770"/>
        <v>0</v>
      </c>
      <c r="DG159" s="193">
        <f t="shared" si="2770"/>
        <v>0</v>
      </c>
      <c r="DH159" s="193">
        <f t="shared" si="2770"/>
        <v>0</v>
      </c>
      <c r="DI159" s="193">
        <f t="shared" si="2770"/>
        <v>0</v>
      </c>
      <c r="DJ159" s="193">
        <f t="shared" si="2770"/>
        <v>0</v>
      </c>
      <c r="DK159" s="193">
        <f t="shared" si="2770"/>
        <v>0</v>
      </c>
      <c r="DL159" s="193">
        <f t="shared" si="2770"/>
        <v>0</v>
      </c>
      <c r="DM159" s="193">
        <f t="shared" si="2770"/>
        <v>0</v>
      </c>
      <c r="DN159" s="193">
        <f t="shared" si="2770"/>
        <v>0</v>
      </c>
      <c r="DO159" s="193">
        <f t="shared" si="2770"/>
        <v>0</v>
      </c>
      <c r="DP159" s="193">
        <f t="shared" si="2770"/>
        <v>0</v>
      </c>
      <c r="DQ159" s="193">
        <f t="shared" si="2770"/>
        <v>0</v>
      </c>
      <c r="DR159" s="193">
        <f t="shared" si="2770"/>
        <v>0</v>
      </c>
      <c r="DS159" s="193">
        <f t="shared" si="2770"/>
        <v>0</v>
      </c>
      <c r="DT159" s="193">
        <f t="shared" si="2770"/>
        <v>0</v>
      </c>
      <c r="DU159" s="193">
        <f t="shared" si="2770"/>
        <v>0</v>
      </c>
      <c r="DV159" s="193">
        <f t="shared" si="2770"/>
        <v>0</v>
      </c>
      <c r="DW159" s="193">
        <f t="shared" si="2770"/>
        <v>0</v>
      </c>
      <c r="DX159" s="193">
        <f t="shared" si="2770"/>
        <v>0</v>
      </c>
      <c r="DY159" s="193">
        <f t="shared" si="2770"/>
        <v>0</v>
      </c>
      <c r="DZ159" s="193">
        <f t="shared" si="2770"/>
        <v>0</v>
      </c>
      <c r="EA159" s="193">
        <f t="shared" si="2770"/>
        <v>0</v>
      </c>
      <c r="EB159" s="193">
        <f t="shared" si="2770"/>
        <v>0</v>
      </c>
      <c r="EC159" s="193">
        <f t="shared" si="2770"/>
        <v>0</v>
      </c>
      <c r="ED159" s="193">
        <f t="shared" si="2770"/>
        <v>0</v>
      </c>
      <c r="EE159" s="193">
        <f t="shared" si="2770"/>
        <v>0</v>
      </c>
      <c r="EF159" s="193">
        <f t="shared" ref="EF159:GQ159" si="2771">SUM(EF156:EF158)*EF150</f>
        <v>0</v>
      </c>
      <c r="EG159" s="193">
        <f t="shared" si="2771"/>
        <v>0</v>
      </c>
      <c r="EH159" s="193">
        <f t="shared" si="2771"/>
        <v>0</v>
      </c>
      <c r="EI159" s="193">
        <f t="shared" si="2771"/>
        <v>0</v>
      </c>
      <c r="EJ159" s="193">
        <f t="shared" si="2771"/>
        <v>0</v>
      </c>
      <c r="EK159" s="193">
        <f t="shared" si="2771"/>
        <v>0</v>
      </c>
      <c r="EL159" s="193">
        <f t="shared" si="2771"/>
        <v>0</v>
      </c>
      <c r="EM159" s="193">
        <f t="shared" si="2771"/>
        <v>0</v>
      </c>
      <c r="EN159" s="193">
        <f t="shared" si="2771"/>
        <v>0</v>
      </c>
      <c r="EO159" s="193">
        <f t="shared" si="2771"/>
        <v>0</v>
      </c>
      <c r="EP159" s="193">
        <f t="shared" si="2771"/>
        <v>0</v>
      </c>
      <c r="EQ159" s="193">
        <f t="shared" si="2771"/>
        <v>0</v>
      </c>
      <c r="ER159" s="193">
        <f t="shared" si="2771"/>
        <v>0</v>
      </c>
      <c r="ES159" s="193">
        <f t="shared" si="2771"/>
        <v>0</v>
      </c>
      <c r="ET159" s="193">
        <f t="shared" si="2771"/>
        <v>0</v>
      </c>
      <c r="EU159" s="193">
        <f t="shared" si="2771"/>
        <v>0</v>
      </c>
      <c r="EV159" s="193">
        <f t="shared" si="2771"/>
        <v>0</v>
      </c>
      <c r="EW159" s="193">
        <f t="shared" si="2771"/>
        <v>0</v>
      </c>
      <c r="EX159" s="193">
        <f t="shared" si="2771"/>
        <v>0</v>
      </c>
      <c r="EY159" s="193">
        <f t="shared" si="2771"/>
        <v>0</v>
      </c>
      <c r="EZ159" s="193">
        <f t="shared" si="2771"/>
        <v>0</v>
      </c>
      <c r="FA159" s="193">
        <f t="shared" si="2771"/>
        <v>0</v>
      </c>
      <c r="FB159" s="193">
        <f t="shared" si="2771"/>
        <v>0</v>
      </c>
      <c r="FC159" s="193">
        <f t="shared" si="2771"/>
        <v>0</v>
      </c>
      <c r="FD159" s="193">
        <f t="shared" si="2771"/>
        <v>0</v>
      </c>
      <c r="FE159" s="193">
        <f t="shared" si="2771"/>
        <v>0</v>
      </c>
      <c r="FF159" s="193">
        <f t="shared" si="2771"/>
        <v>0</v>
      </c>
      <c r="FG159" s="193">
        <f t="shared" si="2771"/>
        <v>0</v>
      </c>
      <c r="FH159" s="193">
        <f t="shared" si="2771"/>
        <v>0</v>
      </c>
      <c r="FI159" s="193">
        <f t="shared" si="2771"/>
        <v>0</v>
      </c>
      <c r="FJ159" s="193">
        <f t="shared" si="2771"/>
        <v>0</v>
      </c>
      <c r="FK159" s="193">
        <f t="shared" si="2771"/>
        <v>0</v>
      </c>
      <c r="FL159" s="193">
        <f t="shared" si="2771"/>
        <v>0</v>
      </c>
      <c r="FM159" s="193">
        <f t="shared" si="2771"/>
        <v>0</v>
      </c>
      <c r="FN159" s="193">
        <f t="shared" si="2771"/>
        <v>0</v>
      </c>
      <c r="FO159" s="193">
        <f t="shared" si="2771"/>
        <v>0</v>
      </c>
      <c r="FP159" s="193">
        <f t="shared" si="2771"/>
        <v>0</v>
      </c>
      <c r="FQ159" s="193">
        <f t="shared" si="2771"/>
        <v>0</v>
      </c>
      <c r="FR159" s="193">
        <f t="shared" si="2771"/>
        <v>0</v>
      </c>
      <c r="FS159" s="193">
        <f t="shared" si="2771"/>
        <v>0</v>
      </c>
      <c r="FT159" s="193">
        <f t="shared" si="2771"/>
        <v>0</v>
      </c>
      <c r="FU159" s="193">
        <f t="shared" si="2771"/>
        <v>0</v>
      </c>
      <c r="FV159" s="193">
        <f t="shared" si="2771"/>
        <v>0</v>
      </c>
      <c r="FW159" s="193">
        <f t="shared" si="2771"/>
        <v>0</v>
      </c>
      <c r="FX159" s="193">
        <f t="shared" si="2771"/>
        <v>0</v>
      </c>
      <c r="FY159" s="193">
        <f t="shared" si="2771"/>
        <v>0</v>
      </c>
      <c r="FZ159" s="193">
        <f t="shared" si="2771"/>
        <v>0</v>
      </c>
      <c r="GA159" s="193">
        <f t="shared" si="2771"/>
        <v>0</v>
      </c>
      <c r="GB159" s="193">
        <f t="shared" si="2771"/>
        <v>0</v>
      </c>
      <c r="GC159" s="193">
        <f t="shared" si="2771"/>
        <v>0</v>
      </c>
      <c r="GD159" s="193">
        <f t="shared" si="2771"/>
        <v>0</v>
      </c>
      <c r="GE159" s="193">
        <f t="shared" si="2771"/>
        <v>0</v>
      </c>
      <c r="GF159" s="193">
        <f t="shared" si="2771"/>
        <v>0</v>
      </c>
      <c r="GG159" s="193">
        <f t="shared" si="2771"/>
        <v>0</v>
      </c>
      <c r="GH159" s="193">
        <f t="shared" si="2771"/>
        <v>0</v>
      </c>
      <c r="GI159" s="193">
        <f t="shared" si="2771"/>
        <v>0</v>
      </c>
      <c r="GJ159" s="193">
        <f t="shared" si="2771"/>
        <v>0</v>
      </c>
      <c r="GK159" s="193">
        <f t="shared" si="2771"/>
        <v>0</v>
      </c>
      <c r="GL159" s="193">
        <f t="shared" si="2771"/>
        <v>0</v>
      </c>
      <c r="GM159" s="193">
        <f t="shared" si="2771"/>
        <v>0</v>
      </c>
      <c r="GN159" s="193">
        <f t="shared" si="2771"/>
        <v>0</v>
      </c>
      <c r="GO159" s="193">
        <f t="shared" si="2771"/>
        <v>0</v>
      </c>
      <c r="GP159" s="193">
        <f t="shared" si="2771"/>
        <v>0</v>
      </c>
      <c r="GQ159" s="193">
        <f t="shared" si="2771"/>
        <v>0</v>
      </c>
    </row>
    <row r="160" spans="2:199" s="315" customFormat="1" outlineLevel="1">
      <c r="B160" s="190" t="s">
        <v>391</v>
      </c>
      <c r="C160" s="192"/>
      <c r="D160" s="193"/>
      <c r="E160" s="200">
        <f>IF(E152=1,-D163-E159,0)*IF(AND(E142=$C147,$C153=1,$C152=0),0,1)</f>
        <v>0</v>
      </c>
      <c r="F160" s="200">
        <f t="shared" ref="F160:BQ160" si="2772">IF(F152=1,-E163-F159,0)*IF(AND(F142=$C147,$C153=1,$C152=0),0,1)</f>
        <v>0</v>
      </c>
      <c r="G160" s="200">
        <f t="shared" si="2772"/>
        <v>0</v>
      </c>
      <c r="H160" s="200">
        <f t="shared" si="2772"/>
        <v>0</v>
      </c>
      <c r="I160" s="200">
        <f t="shared" si="2772"/>
        <v>0</v>
      </c>
      <c r="J160" s="200">
        <f t="shared" si="2772"/>
        <v>0</v>
      </c>
      <c r="K160" s="200">
        <f t="shared" si="2772"/>
        <v>-14627.809205738487</v>
      </c>
      <c r="L160" s="200">
        <f t="shared" si="2772"/>
        <v>0</v>
      </c>
      <c r="M160" s="200">
        <f t="shared" si="2772"/>
        <v>0</v>
      </c>
      <c r="N160" s="200">
        <f t="shared" si="2772"/>
        <v>0</v>
      </c>
      <c r="O160" s="200">
        <f t="shared" si="2772"/>
        <v>0</v>
      </c>
      <c r="P160" s="200">
        <f t="shared" si="2772"/>
        <v>0</v>
      </c>
      <c r="Q160" s="200">
        <f t="shared" si="2772"/>
        <v>-12231.5102289038</v>
      </c>
      <c r="R160" s="200">
        <f t="shared" si="2772"/>
        <v>0</v>
      </c>
      <c r="S160" s="200">
        <f t="shared" si="2772"/>
        <v>0</v>
      </c>
      <c r="T160" s="200">
        <f t="shared" si="2772"/>
        <v>0</v>
      </c>
      <c r="U160" s="200">
        <f t="shared" si="2772"/>
        <v>0</v>
      </c>
      <c r="V160" s="200">
        <f t="shared" si="2772"/>
        <v>0</v>
      </c>
      <c r="W160" s="200">
        <f t="shared" si="2772"/>
        <v>0</v>
      </c>
      <c r="X160" s="200">
        <f t="shared" si="2772"/>
        <v>0</v>
      </c>
      <c r="Y160" s="200">
        <f t="shared" si="2772"/>
        <v>0</v>
      </c>
      <c r="Z160" s="200">
        <f t="shared" si="2772"/>
        <v>0</v>
      </c>
      <c r="AA160" s="200">
        <f t="shared" si="2772"/>
        <v>0</v>
      </c>
      <c r="AB160" s="200">
        <f t="shared" si="2772"/>
        <v>0</v>
      </c>
      <c r="AC160" s="200">
        <f t="shared" si="2772"/>
        <v>-28438.423606790377</v>
      </c>
      <c r="AD160" s="200">
        <f t="shared" si="2772"/>
        <v>0</v>
      </c>
      <c r="AE160" s="200">
        <f t="shared" si="2772"/>
        <v>0</v>
      </c>
      <c r="AF160" s="200">
        <f t="shared" si="2772"/>
        <v>0</v>
      </c>
      <c r="AG160" s="200">
        <f t="shared" si="2772"/>
        <v>0</v>
      </c>
      <c r="AH160" s="200">
        <f t="shared" si="2772"/>
        <v>0</v>
      </c>
      <c r="AI160" s="200">
        <f t="shared" si="2772"/>
        <v>0</v>
      </c>
      <c r="AJ160" s="200">
        <f t="shared" si="2772"/>
        <v>0</v>
      </c>
      <c r="AK160" s="200">
        <f t="shared" si="2772"/>
        <v>0</v>
      </c>
      <c r="AL160" s="200">
        <f t="shared" si="2772"/>
        <v>0</v>
      </c>
      <c r="AM160" s="200">
        <f t="shared" si="2772"/>
        <v>0</v>
      </c>
      <c r="AN160" s="200">
        <f t="shared" si="2772"/>
        <v>0</v>
      </c>
      <c r="AO160" s="200">
        <f t="shared" si="2772"/>
        <v>-29731.006958290465</v>
      </c>
      <c r="AP160" s="200">
        <f t="shared" si="2772"/>
        <v>0</v>
      </c>
      <c r="AQ160" s="200">
        <f t="shared" si="2772"/>
        <v>0</v>
      </c>
      <c r="AR160" s="200">
        <f t="shared" si="2772"/>
        <v>0</v>
      </c>
      <c r="AS160" s="200">
        <f t="shared" si="2772"/>
        <v>0</v>
      </c>
      <c r="AT160" s="200">
        <f t="shared" si="2772"/>
        <v>0</v>
      </c>
      <c r="AU160" s="200">
        <f t="shared" si="2772"/>
        <v>0</v>
      </c>
      <c r="AV160" s="200">
        <f t="shared" si="2772"/>
        <v>0</v>
      </c>
      <c r="AW160" s="200">
        <f t="shared" si="2772"/>
        <v>0</v>
      </c>
      <c r="AX160" s="200">
        <f t="shared" si="2772"/>
        <v>0</v>
      </c>
      <c r="AY160" s="200">
        <f t="shared" si="2772"/>
        <v>0</v>
      </c>
      <c r="AZ160" s="200">
        <f t="shared" si="2772"/>
        <v>0</v>
      </c>
      <c r="BA160" s="200">
        <f t="shared" si="2772"/>
        <v>-29968.820014216377</v>
      </c>
      <c r="BB160" s="200">
        <f t="shared" si="2772"/>
        <v>0</v>
      </c>
      <c r="BC160" s="200">
        <f t="shared" si="2772"/>
        <v>0</v>
      </c>
      <c r="BD160" s="200">
        <f t="shared" si="2772"/>
        <v>0</v>
      </c>
      <c r="BE160" s="200">
        <f t="shared" si="2772"/>
        <v>0</v>
      </c>
      <c r="BF160" s="200">
        <f t="shared" si="2772"/>
        <v>0</v>
      </c>
      <c r="BG160" s="200">
        <f t="shared" si="2772"/>
        <v>0</v>
      </c>
      <c r="BH160" s="200">
        <f t="shared" si="2772"/>
        <v>0</v>
      </c>
      <c r="BI160" s="200">
        <f t="shared" si="2772"/>
        <v>0</v>
      </c>
      <c r="BJ160" s="200">
        <f t="shared" si="2772"/>
        <v>0</v>
      </c>
      <c r="BK160" s="200">
        <f t="shared" si="2772"/>
        <v>0</v>
      </c>
      <c r="BL160" s="200">
        <f t="shared" si="2772"/>
        <v>0</v>
      </c>
      <c r="BM160" s="200">
        <f t="shared" si="2772"/>
        <v>-29881.013333333893</v>
      </c>
      <c r="BN160" s="200">
        <f t="shared" si="2772"/>
        <v>0</v>
      </c>
      <c r="BO160" s="200">
        <f t="shared" si="2772"/>
        <v>0</v>
      </c>
      <c r="BP160" s="200">
        <f t="shared" si="2772"/>
        <v>0</v>
      </c>
      <c r="BQ160" s="200">
        <f t="shared" si="2772"/>
        <v>0</v>
      </c>
      <c r="BR160" s="200">
        <f t="shared" ref="BR160:EC160" si="2773">IF(BR152=1,-BQ163-BR159,0)*IF(AND(BR142=$C147,$C153=1,$C152=0),0,1)</f>
        <v>0</v>
      </c>
      <c r="BS160" s="200">
        <f t="shared" si="2773"/>
        <v>0</v>
      </c>
      <c r="BT160" s="200">
        <f t="shared" si="2773"/>
        <v>0</v>
      </c>
      <c r="BU160" s="200">
        <f t="shared" si="2773"/>
        <v>0</v>
      </c>
      <c r="BV160" s="200">
        <f t="shared" si="2773"/>
        <v>0</v>
      </c>
      <c r="BW160" s="200">
        <f t="shared" si="2773"/>
        <v>0</v>
      </c>
      <c r="BX160" s="200">
        <f t="shared" si="2773"/>
        <v>0</v>
      </c>
      <c r="BY160" s="200">
        <f t="shared" si="2773"/>
        <v>-29556.355617168974</v>
      </c>
      <c r="BZ160" s="200">
        <f t="shared" si="2773"/>
        <v>0</v>
      </c>
      <c r="CA160" s="200">
        <f t="shared" si="2773"/>
        <v>0</v>
      </c>
      <c r="CB160" s="200">
        <f t="shared" si="2773"/>
        <v>0</v>
      </c>
      <c r="CC160" s="200">
        <f t="shared" si="2773"/>
        <v>0</v>
      </c>
      <c r="CD160" s="200">
        <f t="shared" si="2773"/>
        <v>0</v>
      </c>
      <c r="CE160" s="200">
        <f t="shared" si="2773"/>
        <v>0</v>
      </c>
      <c r="CF160" s="200">
        <f t="shared" si="2773"/>
        <v>0</v>
      </c>
      <c r="CG160" s="200">
        <f t="shared" si="2773"/>
        <v>0</v>
      </c>
      <c r="CH160" s="200">
        <f t="shared" si="2773"/>
        <v>0</v>
      </c>
      <c r="CI160" s="200">
        <f t="shared" si="2773"/>
        <v>0</v>
      </c>
      <c r="CJ160" s="200">
        <f t="shared" si="2773"/>
        <v>0</v>
      </c>
      <c r="CK160" s="200">
        <f t="shared" si="2773"/>
        <v>-14609.266512222948</v>
      </c>
      <c r="CL160" s="200">
        <f t="shared" si="2773"/>
        <v>0</v>
      </c>
      <c r="CM160" s="200">
        <f t="shared" si="2773"/>
        <v>0</v>
      </c>
      <c r="CN160" s="200">
        <f t="shared" si="2773"/>
        <v>0</v>
      </c>
      <c r="CO160" s="200">
        <f t="shared" si="2773"/>
        <v>0</v>
      </c>
      <c r="CP160" s="200">
        <f t="shared" si="2773"/>
        <v>0</v>
      </c>
      <c r="CQ160" s="200">
        <f t="shared" si="2773"/>
        <v>0</v>
      </c>
      <c r="CR160" s="200">
        <f t="shared" si="2773"/>
        <v>0</v>
      </c>
      <c r="CS160" s="200">
        <f t="shared" si="2773"/>
        <v>0</v>
      </c>
      <c r="CT160" s="200">
        <f t="shared" si="2773"/>
        <v>0</v>
      </c>
      <c r="CU160" s="200">
        <f t="shared" si="2773"/>
        <v>0</v>
      </c>
      <c r="CV160" s="200">
        <f t="shared" si="2773"/>
        <v>0</v>
      </c>
      <c r="CW160" s="200">
        <f t="shared" si="2773"/>
        <v>0</v>
      </c>
      <c r="CX160" s="200">
        <f t="shared" si="2773"/>
        <v>0</v>
      </c>
      <c r="CY160" s="200">
        <f t="shared" si="2773"/>
        <v>0</v>
      </c>
      <c r="CZ160" s="200">
        <f t="shared" si="2773"/>
        <v>0</v>
      </c>
      <c r="DA160" s="200">
        <f t="shared" si="2773"/>
        <v>0</v>
      </c>
      <c r="DB160" s="200">
        <f t="shared" si="2773"/>
        <v>0</v>
      </c>
      <c r="DC160" s="200">
        <f t="shared" si="2773"/>
        <v>0</v>
      </c>
      <c r="DD160" s="200">
        <f t="shared" si="2773"/>
        <v>0</v>
      </c>
      <c r="DE160" s="200">
        <f t="shared" si="2773"/>
        <v>0</v>
      </c>
      <c r="DF160" s="200">
        <f t="shared" si="2773"/>
        <v>0</v>
      </c>
      <c r="DG160" s="200">
        <f t="shared" si="2773"/>
        <v>0</v>
      </c>
      <c r="DH160" s="200">
        <f t="shared" si="2773"/>
        <v>0</v>
      </c>
      <c r="DI160" s="200">
        <f t="shared" si="2773"/>
        <v>0</v>
      </c>
      <c r="DJ160" s="200">
        <f t="shared" si="2773"/>
        <v>0</v>
      </c>
      <c r="DK160" s="200">
        <f t="shared" si="2773"/>
        <v>0</v>
      </c>
      <c r="DL160" s="200">
        <f t="shared" si="2773"/>
        <v>0</v>
      </c>
      <c r="DM160" s="200">
        <f t="shared" si="2773"/>
        <v>0</v>
      </c>
      <c r="DN160" s="200">
        <f t="shared" si="2773"/>
        <v>0</v>
      </c>
      <c r="DO160" s="200">
        <f t="shared" si="2773"/>
        <v>0</v>
      </c>
      <c r="DP160" s="200">
        <f t="shared" si="2773"/>
        <v>0</v>
      </c>
      <c r="DQ160" s="200">
        <f t="shared" si="2773"/>
        <v>0</v>
      </c>
      <c r="DR160" s="200">
        <f t="shared" si="2773"/>
        <v>0</v>
      </c>
      <c r="DS160" s="200">
        <f t="shared" si="2773"/>
        <v>0</v>
      </c>
      <c r="DT160" s="200">
        <f t="shared" si="2773"/>
        <v>0</v>
      </c>
      <c r="DU160" s="200">
        <f t="shared" si="2773"/>
        <v>0</v>
      </c>
      <c r="DV160" s="200">
        <f t="shared" si="2773"/>
        <v>0</v>
      </c>
      <c r="DW160" s="200">
        <f t="shared" si="2773"/>
        <v>0</v>
      </c>
      <c r="DX160" s="200">
        <f t="shared" si="2773"/>
        <v>0</v>
      </c>
      <c r="DY160" s="200">
        <f t="shared" si="2773"/>
        <v>0</v>
      </c>
      <c r="DZ160" s="200">
        <f t="shared" si="2773"/>
        <v>0</v>
      </c>
      <c r="EA160" s="200">
        <f t="shared" si="2773"/>
        <v>0</v>
      </c>
      <c r="EB160" s="200">
        <f t="shared" si="2773"/>
        <v>0</v>
      </c>
      <c r="EC160" s="200">
        <f t="shared" si="2773"/>
        <v>0</v>
      </c>
      <c r="ED160" s="200">
        <f t="shared" ref="ED160:GO160" si="2774">IF(ED152=1,-EC163-ED159,0)*IF(AND(ED142=$C147,$C153=1,$C152=0),0,1)</f>
        <v>0</v>
      </c>
      <c r="EE160" s="200">
        <f t="shared" si="2774"/>
        <v>0</v>
      </c>
      <c r="EF160" s="200">
        <f t="shared" si="2774"/>
        <v>0</v>
      </c>
      <c r="EG160" s="200">
        <f t="shared" si="2774"/>
        <v>0</v>
      </c>
      <c r="EH160" s="200">
        <f t="shared" si="2774"/>
        <v>0</v>
      </c>
      <c r="EI160" s="200">
        <f t="shared" si="2774"/>
        <v>0</v>
      </c>
      <c r="EJ160" s="200">
        <f t="shared" si="2774"/>
        <v>0</v>
      </c>
      <c r="EK160" s="200">
        <f t="shared" si="2774"/>
        <v>0</v>
      </c>
      <c r="EL160" s="200">
        <f t="shared" si="2774"/>
        <v>0</v>
      </c>
      <c r="EM160" s="200">
        <f t="shared" si="2774"/>
        <v>0</v>
      </c>
      <c r="EN160" s="200">
        <f t="shared" si="2774"/>
        <v>0</v>
      </c>
      <c r="EO160" s="200">
        <f t="shared" si="2774"/>
        <v>0</v>
      </c>
      <c r="EP160" s="200">
        <f t="shared" si="2774"/>
        <v>0</v>
      </c>
      <c r="EQ160" s="200">
        <f t="shared" si="2774"/>
        <v>0</v>
      </c>
      <c r="ER160" s="200">
        <f t="shared" si="2774"/>
        <v>0</v>
      </c>
      <c r="ES160" s="200">
        <f t="shared" si="2774"/>
        <v>0</v>
      </c>
      <c r="ET160" s="200">
        <f t="shared" si="2774"/>
        <v>0</v>
      </c>
      <c r="EU160" s="200">
        <f t="shared" si="2774"/>
        <v>0</v>
      </c>
      <c r="EV160" s="200">
        <f t="shared" si="2774"/>
        <v>0</v>
      </c>
      <c r="EW160" s="200">
        <f t="shared" si="2774"/>
        <v>0</v>
      </c>
      <c r="EX160" s="200">
        <f t="shared" si="2774"/>
        <v>0</v>
      </c>
      <c r="EY160" s="200">
        <f t="shared" si="2774"/>
        <v>0</v>
      </c>
      <c r="EZ160" s="200">
        <f t="shared" si="2774"/>
        <v>0</v>
      </c>
      <c r="FA160" s="200">
        <f t="shared" si="2774"/>
        <v>0</v>
      </c>
      <c r="FB160" s="200">
        <f t="shared" si="2774"/>
        <v>0</v>
      </c>
      <c r="FC160" s="200">
        <f t="shared" si="2774"/>
        <v>0</v>
      </c>
      <c r="FD160" s="200">
        <f t="shared" si="2774"/>
        <v>0</v>
      </c>
      <c r="FE160" s="200">
        <f t="shared" si="2774"/>
        <v>0</v>
      </c>
      <c r="FF160" s="200">
        <f t="shared" si="2774"/>
        <v>0</v>
      </c>
      <c r="FG160" s="200">
        <f t="shared" si="2774"/>
        <v>0</v>
      </c>
      <c r="FH160" s="200">
        <f t="shared" si="2774"/>
        <v>0</v>
      </c>
      <c r="FI160" s="200">
        <f t="shared" si="2774"/>
        <v>0</v>
      </c>
      <c r="FJ160" s="200">
        <f t="shared" si="2774"/>
        <v>0</v>
      </c>
      <c r="FK160" s="200">
        <f t="shared" si="2774"/>
        <v>0</v>
      </c>
      <c r="FL160" s="200">
        <f t="shared" si="2774"/>
        <v>0</v>
      </c>
      <c r="FM160" s="200">
        <f t="shared" si="2774"/>
        <v>0</v>
      </c>
      <c r="FN160" s="200">
        <f t="shared" si="2774"/>
        <v>0</v>
      </c>
      <c r="FO160" s="200">
        <f t="shared" si="2774"/>
        <v>0</v>
      </c>
      <c r="FP160" s="200">
        <f t="shared" si="2774"/>
        <v>0</v>
      </c>
      <c r="FQ160" s="200">
        <f t="shared" si="2774"/>
        <v>0</v>
      </c>
      <c r="FR160" s="200">
        <f t="shared" si="2774"/>
        <v>0</v>
      </c>
      <c r="FS160" s="200">
        <f t="shared" si="2774"/>
        <v>0</v>
      </c>
      <c r="FT160" s="200">
        <f t="shared" si="2774"/>
        <v>0</v>
      </c>
      <c r="FU160" s="200">
        <f t="shared" si="2774"/>
        <v>0</v>
      </c>
      <c r="FV160" s="200">
        <f t="shared" si="2774"/>
        <v>0</v>
      </c>
      <c r="FW160" s="200">
        <f t="shared" si="2774"/>
        <v>0</v>
      </c>
      <c r="FX160" s="200">
        <f t="shared" si="2774"/>
        <v>0</v>
      </c>
      <c r="FY160" s="200">
        <f t="shared" si="2774"/>
        <v>0</v>
      </c>
      <c r="FZ160" s="200">
        <f t="shared" si="2774"/>
        <v>0</v>
      </c>
      <c r="GA160" s="200">
        <f t="shared" si="2774"/>
        <v>0</v>
      </c>
      <c r="GB160" s="200">
        <f t="shared" si="2774"/>
        <v>0</v>
      </c>
      <c r="GC160" s="200">
        <f t="shared" si="2774"/>
        <v>0</v>
      </c>
      <c r="GD160" s="200">
        <f t="shared" si="2774"/>
        <v>0</v>
      </c>
      <c r="GE160" s="200">
        <f t="shared" si="2774"/>
        <v>0</v>
      </c>
      <c r="GF160" s="200">
        <f t="shared" si="2774"/>
        <v>0</v>
      </c>
      <c r="GG160" s="200">
        <f t="shared" si="2774"/>
        <v>0</v>
      </c>
      <c r="GH160" s="200">
        <f t="shared" si="2774"/>
        <v>0</v>
      </c>
      <c r="GI160" s="200">
        <f t="shared" si="2774"/>
        <v>0</v>
      </c>
      <c r="GJ160" s="200">
        <f t="shared" si="2774"/>
        <v>0</v>
      </c>
      <c r="GK160" s="200">
        <f t="shared" si="2774"/>
        <v>0</v>
      </c>
      <c r="GL160" s="200">
        <f t="shared" si="2774"/>
        <v>0</v>
      </c>
      <c r="GM160" s="200">
        <f t="shared" si="2774"/>
        <v>0</v>
      </c>
      <c r="GN160" s="200">
        <f t="shared" si="2774"/>
        <v>0</v>
      </c>
      <c r="GO160" s="200">
        <f t="shared" si="2774"/>
        <v>0</v>
      </c>
      <c r="GP160" s="200">
        <f t="shared" ref="GP160:GQ160" si="2775">IF(GP152=1,-GO163-GP159,0)*IF(AND(GP142=$C147,$C153=1,$C152=0),0,1)</f>
        <v>0</v>
      </c>
      <c r="GQ160" s="200">
        <f t="shared" si="2775"/>
        <v>0</v>
      </c>
    </row>
    <row r="161" spans="2:199" s="315" customFormat="1" outlineLevel="1">
      <c r="B161" s="190" t="s">
        <v>392</v>
      </c>
      <c r="C161" s="192"/>
      <c r="D161" s="194"/>
      <c r="E161" s="201">
        <f>-E147*LOOKUP($C144,$E142:$GQ142,$E157:$GQ157)</f>
        <v>0</v>
      </c>
      <c r="F161" s="201">
        <f t="shared" ref="F161:BQ161" si="2776">-F147*LOOKUP($C144,$E142:$GQ142,$E157:$GQ157)</f>
        <v>0</v>
      </c>
      <c r="G161" s="201">
        <f t="shared" si="2776"/>
        <v>0</v>
      </c>
      <c r="H161" s="201">
        <f t="shared" si="2776"/>
        <v>0</v>
      </c>
      <c r="I161" s="201">
        <f t="shared" si="2776"/>
        <v>0</v>
      </c>
      <c r="J161" s="201">
        <f t="shared" si="2776"/>
        <v>0</v>
      </c>
      <c r="K161" s="201">
        <f t="shared" si="2776"/>
        <v>0</v>
      </c>
      <c r="L161" s="201">
        <f t="shared" si="2776"/>
        <v>0</v>
      </c>
      <c r="M161" s="201">
        <f t="shared" si="2776"/>
        <v>0</v>
      </c>
      <c r="N161" s="201">
        <f t="shared" si="2776"/>
        <v>0</v>
      </c>
      <c r="O161" s="201">
        <f t="shared" si="2776"/>
        <v>0</v>
      </c>
      <c r="P161" s="201">
        <f t="shared" si="2776"/>
        <v>0</v>
      </c>
      <c r="Q161" s="201">
        <f t="shared" si="2776"/>
        <v>0</v>
      </c>
      <c r="R161" s="201">
        <f t="shared" si="2776"/>
        <v>0</v>
      </c>
      <c r="S161" s="201">
        <f t="shared" si="2776"/>
        <v>0</v>
      </c>
      <c r="T161" s="201">
        <f t="shared" si="2776"/>
        <v>0</v>
      </c>
      <c r="U161" s="201">
        <f t="shared" si="2776"/>
        <v>0</v>
      </c>
      <c r="V161" s="201">
        <f t="shared" si="2776"/>
        <v>0</v>
      </c>
      <c r="W161" s="201">
        <f t="shared" si="2776"/>
        <v>0</v>
      </c>
      <c r="X161" s="201">
        <f t="shared" si="2776"/>
        <v>0</v>
      </c>
      <c r="Y161" s="201">
        <f t="shared" si="2776"/>
        <v>0</v>
      </c>
      <c r="Z161" s="201">
        <f t="shared" si="2776"/>
        <v>0</v>
      </c>
      <c r="AA161" s="201">
        <f t="shared" si="2776"/>
        <v>0</v>
      </c>
      <c r="AB161" s="201">
        <f t="shared" si="2776"/>
        <v>0</v>
      </c>
      <c r="AC161" s="201">
        <f t="shared" si="2776"/>
        <v>0</v>
      </c>
      <c r="AD161" s="201">
        <f t="shared" si="2776"/>
        <v>0</v>
      </c>
      <c r="AE161" s="201">
        <f t="shared" si="2776"/>
        <v>0</v>
      </c>
      <c r="AF161" s="201">
        <f t="shared" si="2776"/>
        <v>0</v>
      </c>
      <c r="AG161" s="201">
        <f t="shared" si="2776"/>
        <v>0</v>
      </c>
      <c r="AH161" s="201">
        <f t="shared" si="2776"/>
        <v>0</v>
      </c>
      <c r="AI161" s="201">
        <f t="shared" si="2776"/>
        <v>0</v>
      </c>
      <c r="AJ161" s="201">
        <f t="shared" si="2776"/>
        <v>0</v>
      </c>
      <c r="AK161" s="201">
        <f t="shared" si="2776"/>
        <v>0</v>
      </c>
      <c r="AL161" s="201">
        <f t="shared" si="2776"/>
        <v>0</v>
      </c>
      <c r="AM161" s="201">
        <f t="shared" si="2776"/>
        <v>0</v>
      </c>
      <c r="AN161" s="201">
        <f t="shared" si="2776"/>
        <v>0</v>
      </c>
      <c r="AO161" s="201">
        <f t="shared" si="2776"/>
        <v>0</v>
      </c>
      <c r="AP161" s="201">
        <f t="shared" si="2776"/>
        <v>0</v>
      </c>
      <c r="AQ161" s="201">
        <f t="shared" si="2776"/>
        <v>0</v>
      </c>
      <c r="AR161" s="201">
        <f t="shared" si="2776"/>
        <v>0</v>
      </c>
      <c r="AS161" s="201">
        <f t="shared" si="2776"/>
        <v>0</v>
      </c>
      <c r="AT161" s="201">
        <f t="shared" si="2776"/>
        <v>0</v>
      </c>
      <c r="AU161" s="201">
        <f t="shared" si="2776"/>
        <v>0</v>
      </c>
      <c r="AV161" s="201">
        <f t="shared" si="2776"/>
        <v>0</v>
      </c>
      <c r="AW161" s="201">
        <f t="shared" si="2776"/>
        <v>0</v>
      </c>
      <c r="AX161" s="201">
        <f t="shared" si="2776"/>
        <v>0</v>
      </c>
      <c r="AY161" s="201">
        <f t="shared" si="2776"/>
        <v>0</v>
      </c>
      <c r="AZ161" s="201">
        <f t="shared" si="2776"/>
        <v>0</v>
      </c>
      <c r="BA161" s="201">
        <f t="shared" si="2776"/>
        <v>0</v>
      </c>
      <c r="BB161" s="201">
        <f t="shared" si="2776"/>
        <v>0</v>
      </c>
      <c r="BC161" s="201">
        <f t="shared" si="2776"/>
        <v>0</v>
      </c>
      <c r="BD161" s="201">
        <f t="shared" si="2776"/>
        <v>0</v>
      </c>
      <c r="BE161" s="201">
        <f t="shared" si="2776"/>
        <v>0</v>
      </c>
      <c r="BF161" s="201">
        <f t="shared" si="2776"/>
        <v>0</v>
      </c>
      <c r="BG161" s="201">
        <f t="shared" si="2776"/>
        <v>0</v>
      </c>
      <c r="BH161" s="201">
        <f t="shared" si="2776"/>
        <v>0</v>
      </c>
      <c r="BI161" s="201">
        <f t="shared" si="2776"/>
        <v>0</v>
      </c>
      <c r="BJ161" s="201">
        <f t="shared" si="2776"/>
        <v>0</v>
      </c>
      <c r="BK161" s="201">
        <f t="shared" si="2776"/>
        <v>0</v>
      </c>
      <c r="BL161" s="201">
        <f t="shared" si="2776"/>
        <v>0</v>
      </c>
      <c r="BM161" s="201">
        <f t="shared" si="2776"/>
        <v>0</v>
      </c>
      <c r="BN161" s="201">
        <f t="shared" si="2776"/>
        <v>0</v>
      </c>
      <c r="BO161" s="201">
        <f t="shared" si="2776"/>
        <v>0</v>
      </c>
      <c r="BP161" s="201">
        <f t="shared" si="2776"/>
        <v>0</v>
      </c>
      <c r="BQ161" s="201">
        <f t="shared" si="2776"/>
        <v>0</v>
      </c>
      <c r="BR161" s="201">
        <f t="shared" ref="BR161:EC161" si="2777">-BR147*LOOKUP($C144,$E142:$GQ142,$E157:$GQ157)</f>
        <v>0</v>
      </c>
      <c r="BS161" s="201">
        <f t="shared" si="2777"/>
        <v>0</v>
      </c>
      <c r="BT161" s="201">
        <f t="shared" si="2777"/>
        <v>0</v>
      </c>
      <c r="BU161" s="201">
        <f t="shared" si="2777"/>
        <v>0</v>
      </c>
      <c r="BV161" s="201">
        <f t="shared" si="2777"/>
        <v>0</v>
      </c>
      <c r="BW161" s="201">
        <f t="shared" si="2777"/>
        <v>0</v>
      </c>
      <c r="BX161" s="201">
        <f t="shared" si="2777"/>
        <v>0</v>
      </c>
      <c r="BY161" s="201">
        <f t="shared" si="2777"/>
        <v>-133333.33333333334</v>
      </c>
      <c r="BZ161" s="201">
        <f t="shared" si="2777"/>
        <v>0</v>
      </c>
      <c r="CA161" s="201">
        <f t="shared" si="2777"/>
        <v>0</v>
      </c>
      <c r="CB161" s="201">
        <f t="shared" si="2777"/>
        <v>0</v>
      </c>
      <c r="CC161" s="201">
        <f t="shared" si="2777"/>
        <v>0</v>
      </c>
      <c r="CD161" s="201">
        <f t="shared" si="2777"/>
        <v>0</v>
      </c>
      <c r="CE161" s="201">
        <f t="shared" si="2777"/>
        <v>0</v>
      </c>
      <c r="CF161" s="201">
        <f t="shared" si="2777"/>
        <v>0</v>
      </c>
      <c r="CG161" s="201">
        <f t="shared" si="2777"/>
        <v>0</v>
      </c>
      <c r="CH161" s="201">
        <f t="shared" si="2777"/>
        <v>0</v>
      </c>
      <c r="CI161" s="201">
        <f t="shared" si="2777"/>
        <v>0</v>
      </c>
      <c r="CJ161" s="201">
        <f t="shared" si="2777"/>
        <v>0</v>
      </c>
      <c r="CK161" s="201">
        <f t="shared" si="2777"/>
        <v>-133333.33333333334</v>
      </c>
      <c r="CL161" s="201">
        <f t="shared" si="2777"/>
        <v>0</v>
      </c>
      <c r="CM161" s="201">
        <f t="shared" si="2777"/>
        <v>0</v>
      </c>
      <c r="CN161" s="201">
        <f t="shared" si="2777"/>
        <v>0</v>
      </c>
      <c r="CO161" s="201">
        <f t="shared" si="2777"/>
        <v>0</v>
      </c>
      <c r="CP161" s="201">
        <f t="shared" si="2777"/>
        <v>0</v>
      </c>
      <c r="CQ161" s="201">
        <f t="shared" si="2777"/>
        <v>0</v>
      </c>
      <c r="CR161" s="201">
        <f t="shared" si="2777"/>
        <v>0</v>
      </c>
      <c r="CS161" s="201">
        <f t="shared" si="2777"/>
        <v>0</v>
      </c>
      <c r="CT161" s="201">
        <f t="shared" si="2777"/>
        <v>0</v>
      </c>
      <c r="CU161" s="201">
        <f t="shared" si="2777"/>
        <v>0</v>
      </c>
      <c r="CV161" s="201">
        <f t="shared" si="2777"/>
        <v>0</v>
      </c>
      <c r="CW161" s="201">
        <f t="shared" si="2777"/>
        <v>0</v>
      </c>
      <c r="CX161" s="201">
        <f t="shared" si="2777"/>
        <v>0</v>
      </c>
      <c r="CY161" s="201">
        <f t="shared" si="2777"/>
        <v>0</v>
      </c>
      <c r="CZ161" s="201">
        <f t="shared" si="2777"/>
        <v>0</v>
      </c>
      <c r="DA161" s="201">
        <f t="shared" si="2777"/>
        <v>0</v>
      </c>
      <c r="DB161" s="201">
        <f t="shared" si="2777"/>
        <v>0</v>
      </c>
      <c r="DC161" s="201">
        <f t="shared" si="2777"/>
        <v>0</v>
      </c>
      <c r="DD161" s="201">
        <f t="shared" si="2777"/>
        <v>0</v>
      </c>
      <c r="DE161" s="201">
        <f t="shared" si="2777"/>
        <v>0</v>
      </c>
      <c r="DF161" s="201">
        <f t="shared" si="2777"/>
        <v>0</v>
      </c>
      <c r="DG161" s="201">
        <f t="shared" si="2777"/>
        <v>0</v>
      </c>
      <c r="DH161" s="201">
        <f t="shared" si="2777"/>
        <v>0</v>
      </c>
      <c r="DI161" s="201">
        <f t="shared" si="2777"/>
        <v>0</v>
      </c>
      <c r="DJ161" s="201">
        <f t="shared" si="2777"/>
        <v>0</v>
      </c>
      <c r="DK161" s="201">
        <f t="shared" si="2777"/>
        <v>0</v>
      </c>
      <c r="DL161" s="201">
        <f t="shared" si="2777"/>
        <v>0</v>
      </c>
      <c r="DM161" s="201">
        <f t="shared" si="2777"/>
        <v>0</v>
      </c>
      <c r="DN161" s="201">
        <f t="shared" si="2777"/>
        <v>0</v>
      </c>
      <c r="DO161" s="201">
        <f t="shared" si="2777"/>
        <v>0</v>
      </c>
      <c r="DP161" s="201">
        <f t="shared" si="2777"/>
        <v>0</v>
      </c>
      <c r="DQ161" s="201">
        <f t="shared" si="2777"/>
        <v>0</v>
      </c>
      <c r="DR161" s="201">
        <f t="shared" si="2777"/>
        <v>0</v>
      </c>
      <c r="DS161" s="201">
        <f t="shared" si="2777"/>
        <v>0</v>
      </c>
      <c r="DT161" s="201">
        <f t="shared" si="2777"/>
        <v>0</v>
      </c>
      <c r="DU161" s="201">
        <f t="shared" si="2777"/>
        <v>0</v>
      </c>
      <c r="DV161" s="201">
        <f t="shared" si="2777"/>
        <v>0</v>
      </c>
      <c r="DW161" s="201">
        <f t="shared" si="2777"/>
        <v>0</v>
      </c>
      <c r="DX161" s="201">
        <f t="shared" si="2777"/>
        <v>0</v>
      </c>
      <c r="DY161" s="201">
        <f t="shared" si="2777"/>
        <v>0</v>
      </c>
      <c r="DZ161" s="201">
        <f t="shared" si="2777"/>
        <v>0</v>
      </c>
      <c r="EA161" s="201">
        <f t="shared" si="2777"/>
        <v>0</v>
      </c>
      <c r="EB161" s="201">
        <f t="shared" si="2777"/>
        <v>0</v>
      </c>
      <c r="EC161" s="201">
        <f t="shared" si="2777"/>
        <v>0</v>
      </c>
      <c r="ED161" s="201">
        <f t="shared" ref="ED161:GO161" si="2778">-ED147*LOOKUP($C144,$E142:$GQ142,$E157:$GQ157)</f>
        <v>0</v>
      </c>
      <c r="EE161" s="201">
        <f t="shared" si="2778"/>
        <v>0</v>
      </c>
      <c r="EF161" s="201">
        <f t="shared" si="2778"/>
        <v>0</v>
      </c>
      <c r="EG161" s="201">
        <f t="shared" si="2778"/>
        <v>0</v>
      </c>
      <c r="EH161" s="201">
        <f t="shared" si="2778"/>
        <v>0</v>
      </c>
      <c r="EI161" s="201">
        <f t="shared" si="2778"/>
        <v>0</v>
      </c>
      <c r="EJ161" s="201">
        <f t="shared" si="2778"/>
        <v>0</v>
      </c>
      <c r="EK161" s="201">
        <f t="shared" si="2778"/>
        <v>0</v>
      </c>
      <c r="EL161" s="201">
        <f t="shared" si="2778"/>
        <v>0</v>
      </c>
      <c r="EM161" s="201">
        <f t="shared" si="2778"/>
        <v>0</v>
      </c>
      <c r="EN161" s="201">
        <f t="shared" si="2778"/>
        <v>0</v>
      </c>
      <c r="EO161" s="201">
        <f t="shared" si="2778"/>
        <v>0</v>
      </c>
      <c r="EP161" s="201">
        <f t="shared" si="2778"/>
        <v>0</v>
      </c>
      <c r="EQ161" s="201">
        <f t="shared" si="2778"/>
        <v>0</v>
      </c>
      <c r="ER161" s="201">
        <f t="shared" si="2778"/>
        <v>0</v>
      </c>
      <c r="ES161" s="201">
        <f t="shared" si="2778"/>
        <v>0</v>
      </c>
      <c r="ET161" s="201">
        <f t="shared" si="2778"/>
        <v>0</v>
      </c>
      <c r="EU161" s="201">
        <f t="shared" si="2778"/>
        <v>0</v>
      </c>
      <c r="EV161" s="201">
        <f t="shared" si="2778"/>
        <v>0</v>
      </c>
      <c r="EW161" s="201">
        <f t="shared" si="2778"/>
        <v>0</v>
      </c>
      <c r="EX161" s="201">
        <f t="shared" si="2778"/>
        <v>0</v>
      </c>
      <c r="EY161" s="201">
        <f t="shared" si="2778"/>
        <v>0</v>
      </c>
      <c r="EZ161" s="201">
        <f t="shared" si="2778"/>
        <v>0</v>
      </c>
      <c r="FA161" s="201">
        <f t="shared" si="2778"/>
        <v>0</v>
      </c>
      <c r="FB161" s="201">
        <f t="shared" si="2778"/>
        <v>0</v>
      </c>
      <c r="FC161" s="201">
        <f t="shared" si="2778"/>
        <v>0</v>
      </c>
      <c r="FD161" s="201">
        <f t="shared" si="2778"/>
        <v>0</v>
      </c>
      <c r="FE161" s="201">
        <f t="shared" si="2778"/>
        <v>0</v>
      </c>
      <c r="FF161" s="201">
        <f t="shared" si="2778"/>
        <v>0</v>
      </c>
      <c r="FG161" s="201">
        <f t="shared" si="2778"/>
        <v>0</v>
      </c>
      <c r="FH161" s="201">
        <f t="shared" si="2778"/>
        <v>0</v>
      </c>
      <c r="FI161" s="201">
        <f t="shared" si="2778"/>
        <v>0</v>
      </c>
      <c r="FJ161" s="201">
        <f t="shared" si="2778"/>
        <v>0</v>
      </c>
      <c r="FK161" s="201">
        <f t="shared" si="2778"/>
        <v>0</v>
      </c>
      <c r="FL161" s="201">
        <f t="shared" si="2778"/>
        <v>0</v>
      </c>
      <c r="FM161" s="201">
        <f t="shared" si="2778"/>
        <v>0</v>
      </c>
      <c r="FN161" s="201">
        <f t="shared" si="2778"/>
        <v>0</v>
      </c>
      <c r="FO161" s="201">
        <f t="shared" si="2778"/>
        <v>0</v>
      </c>
      <c r="FP161" s="201">
        <f t="shared" si="2778"/>
        <v>0</v>
      </c>
      <c r="FQ161" s="201">
        <f t="shared" si="2778"/>
        <v>0</v>
      </c>
      <c r="FR161" s="201">
        <f t="shared" si="2778"/>
        <v>0</v>
      </c>
      <c r="FS161" s="201">
        <f t="shared" si="2778"/>
        <v>0</v>
      </c>
      <c r="FT161" s="201">
        <f t="shared" si="2778"/>
        <v>0</v>
      </c>
      <c r="FU161" s="201">
        <f t="shared" si="2778"/>
        <v>0</v>
      </c>
      <c r="FV161" s="201">
        <f t="shared" si="2778"/>
        <v>0</v>
      </c>
      <c r="FW161" s="201">
        <f t="shared" si="2778"/>
        <v>0</v>
      </c>
      <c r="FX161" s="201">
        <f t="shared" si="2778"/>
        <v>0</v>
      </c>
      <c r="FY161" s="201">
        <f t="shared" si="2778"/>
        <v>0</v>
      </c>
      <c r="FZ161" s="201">
        <f t="shared" si="2778"/>
        <v>0</v>
      </c>
      <c r="GA161" s="201">
        <f t="shared" si="2778"/>
        <v>0</v>
      </c>
      <c r="GB161" s="201">
        <f t="shared" si="2778"/>
        <v>0</v>
      </c>
      <c r="GC161" s="201">
        <f t="shared" si="2778"/>
        <v>0</v>
      </c>
      <c r="GD161" s="201">
        <f t="shared" si="2778"/>
        <v>0</v>
      </c>
      <c r="GE161" s="201">
        <f t="shared" si="2778"/>
        <v>0</v>
      </c>
      <c r="GF161" s="201">
        <f t="shared" si="2778"/>
        <v>0</v>
      </c>
      <c r="GG161" s="201">
        <f t="shared" si="2778"/>
        <v>0</v>
      </c>
      <c r="GH161" s="201">
        <f t="shared" si="2778"/>
        <v>0</v>
      </c>
      <c r="GI161" s="201">
        <f t="shared" si="2778"/>
        <v>0</v>
      </c>
      <c r="GJ161" s="201">
        <f t="shared" si="2778"/>
        <v>0</v>
      </c>
      <c r="GK161" s="201">
        <f t="shared" si="2778"/>
        <v>0</v>
      </c>
      <c r="GL161" s="201">
        <f t="shared" si="2778"/>
        <v>0</v>
      </c>
      <c r="GM161" s="201">
        <f t="shared" si="2778"/>
        <v>0</v>
      </c>
      <c r="GN161" s="201">
        <f t="shared" si="2778"/>
        <v>0</v>
      </c>
      <c r="GO161" s="201">
        <f t="shared" si="2778"/>
        <v>0</v>
      </c>
      <c r="GP161" s="201">
        <f t="shared" ref="GP161:GQ161" si="2779">-GP147*LOOKUP($C144,$E142:$GQ142,$E157:$GQ157)</f>
        <v>0</v>
      </c>
      <c r="GQ161" s="201">
        <f t="shared" si="2779"/>
        <v>0</v>
      </c>
    </row>
    <row r="162" spans="2:199" s="154" customFormat="1" outlineLevel="1">
      <c r="B162" s="190" t="s">
        <v>393</v>
      </c>
      <c r="C162" s="195"/>
      <c r="D162" s="188"/>
      <c r="E162" s="189">
        <f t="shared" ref="E162:BP162" si="2780">IF(SUM(E156:E161)&lt;0.00000001,ROUND(SUM(E156:E161),7),SUM(E156:E161))</f>
        <v>268674.75248229573</v>
      </c>
      <c r="F162" s="189">
        <f t="shared" si="2780"/>
        <v>270849.21411404951</v>
      </c>
      <c r="G162" s="189">
        <f t="shared" si="2780"/>
        <v>273093.77444825327</v>
      </c>
      <c r="H162" s="189">
        <f t="shared" si="2780"/>
        <v>275014.20043621305</v>
      </c>
      <c r="I162" s="189">
        <f t="shared" si="2780"/>
        <v>277206.94985557173</v>
      </c>
      <c r="J162" s="189">
        <f t="shared" si="2780"/>
        <v>279243.23388009088</v>
      </c>
      <c r="K162" s="189">
        <f t="shared" si="2780"/>
        <v>266666.66666666669</v>
      </c>
      <c r="L162" s="189">
        <f t="shared" si="2780"/>
        <v>268792.85934169282</v>
      </c>
      <c r="M162" s="189">
        <f t="shared" si="2780"/>
        <v>270598.77203551261</v>
      </c>
      <c r="N162" s="189">
        <f t="shared" si="2780"/>
        <v>272586.51425062487</v>
      </c>
      <c r="O162" s="189">
        <f t="shared" si="2780"/>
        <v>274759.90718778956</v>
      </c>
      <c r="P162" s="189">
        <f t="shared" si="2780"/>
        <v>276864.40907892986</v>
      </c>
      <c r="Q162" s="189">
        <f t="shared" si="2780"/>
        <v>266666.66666666669</v>
      </c>
      <c r="R162" s="189">
        <f t="shared" si="2780"/>
        <v>268876.56572216965</v>
      </c>
      <c r="S162" s="189">
        <f t="shared" si="2780"/>
        <v>271020.37841413706</v>
      </c>
      <c r="T162" s="189">
        <f t="shared" si="2780"/>
        <v>273148.78729841992</v>
      </c>
      <c r="U162" s="189">
        <f t="shared" si="2780"/>
        <v>275641.27842653828</v>
      </c>
      <c r="V162" s="189">
        <f t="shared" si="2780"/>
        <v>277924.44407336548</v>
      </c>
      <c r="W162" s="189">
        <f t="shared" si="2780"/>
        <v>280374.81730419467</v>
      </c>
      <c r="X162" s="189">
        <f t="shared" si="2780"/>
        <v>282950.34268603305</v>
      </c>
      <c r="Y162" s="189">
        <f t="shared" si="2780"/>
        <v>285340.5667724869</v>
      </c>
      <c r="Z162" s="189">
        <f t="shared" si="2780"/>
        <v>287645.677473936</v>
      </c>
      <c r="AA162" s="189">
        <f t="shared" si="2780"/>
        <v>290075.56541871029</v>
      </c>
      <c r="AB162" s="189">
        <f t="shared" si="2780"/>
        <v>292633.07130053197</v>
      </c>
      <c r="AC162" s="189">
        <f t="shared" si="2780"/>
        <v>266666.66666666663</v>
      </c>
      <c r="AD162" s="189">
        <f t="shared" si="2780"/>
        <v>269214.79019815341</v>
      </c>
      <c r="AE162" s="189">
        <f t="shared" si="2780"/>
        <v>271588.37312442064</v>
      </c>
      <c r="AF162" s="189">
        <f t="shared" si="2780"/>
        <v>274083.18615762977</v>
      </c>
      <c r="AG162" s="189">
        <f t="shared" si="2780"/>
        <v>276702.17796850402</v>
      </c>
      <c r="AH162" s="189">
        <f t="shared" si="2780"/>
        <v>279039.62065995339</v>
      </c>
      <c r="AI162" s="189">
        <f t="shared" si="2780"/>
        <v>281602.88091441663</v>
      </c>
      <c r="AJ162" s="189">
        <f t="shared" si="2780"/>
        <v>284085.68577678746</v>
      </c>
      <c r="AK162" s="189">
        <f t="shared" si="2780"/>
        <v>286275.85564591613</v>
      </c>
      <c r="AL162" s="189">
        <f t="shared" si="2780"/>
        <v>288905.58801458176</v>
      </c>
      <c r="AM162" s="189">
        <f t="shared" si="2780"/>
        <v>291346.11905839754</v>
      </c>
      <c r="AN162" s="189">
        <f t="shared" si="2780"/>
        <v>293807.26649740589</v>
      </c>
      <c r="AO162" s="189">
        <f t="shared" si="2780"/>
        <v>266666.66666666657</v>
      </c>
      <c r="AP162" s="189">
        <f t="shared" si="2780"/>
        <v>269214.79019815335</v>
      </c>
      <c r="AQ162" s="189">
        <f t="shared" si="2780"/>
        <v>271588.37312442058</v>
      </c>
      <c r="AR162" s="189">
        <f t="shared" si="2780"/>
        <v>273982.88319181453</v>
      </c>
      <c r="AS162" s="189">
        <f t="shared" si="2780"/>
        <v>276398.50490841822</v>
      </c>
      <c r="AT162" s="189">
        <f t="shared" si="2780"/>
        <v>278733.38232054777</v>
      </c>
      <c r="AU162" s="189">
        <f t="shared" si="2780"/>
        <v>281293.82946710207</v>
      </c>
      <c r="AV162" s="189">
        <f t="shared" si="2780"/>
        <v>283794.53106186248</v>
      </c>
      <c r="AW162" s="189">
        <f t="shared" si="2780"/>
        <v>286317.46388891793</v>
      </c>
      <c r="AX162" s="189">
        <f t="shared" si="2780"/>
        <v>288862.82558388007</v>
      </c>
      <c r="AY162" s="189">
        <f t="shared" si="2780"/>
        <v>291430.81553934084</v>
      </c>
      <c r="AZ162" s="189">
        <f t="shared" si="2780"/>
        <v>294021.63492049184</v>
      </c>
      <c r="BA162" s="189">
        <f t="shared" si="2780"/>
        <v>266666.66666666657</v>
      </c>
      <c r="BB162" s="189">
        <f t="shared" si="2780"/>
        <v>269037.33281268942</v>
      </c>
      <c r="BC162" s="189">
        <f t="shared" si="2780"/>
        <v>271429.07417612185</v>
      </c>
      <c r="BD162" s="189">
        <f t="shared" si="2780"/>
        <v>273842.07811560557</v>
      </c>
      <c r="BE162" s="189">
        <f t="shared" si="2780"/>
        <v>276276.5336554001</v>
      </c>
      <c r="BF162" s="189">
        <f t="shared" si="2780"/>
        <v>278732.6315001903</v>
      </c>
      <c r="BG162" s="189">
        <f t="shared" si="2780"/>
        <v>281210.56405002536</v>
      </c>
      <c r="BH162" s="189">
        <f t="shared" si="2780"/>
        <v>283710.52541539056</v>
      </c>
      <c r="BI162" s="189">
        <f t="shared" si="2780"/>
        <v>286232.71143241285</v>
      </c>
      <c r="BJ162" s="189">
        <f t="shared" si="2780"/>
        <v>288777.31967820216</v>
      </c>
      <c r="BK162" s="189">
        <f t="shared" si="2780"/>
        <v>291344.54948632838</v>
      </c>
      <c r="BL162" s="189">
        <f t="shared" si="2780"/>
        <v>293934.60196243657</v>
      </c>
      <c r="BM162" s="189">
        <f t="shared" si="2780"/>
        <v>266666.66666666663</v>
      </c>
      <c r="BN162" s="189">
        <f t="shared" si="2780"/>
        <v>269037.33281268948</v>
      </c>
      <c r="BO162" s="189">
        <f t="shared" si="2780"/>
        <v>271429.07417612191</v>
      </c>
      <c r="BP162" s="189">
        <f t="shared" si="2780"/>
        <v>273842.07811560563</v>
      </c>
      <c r="BQ162" s="189">
        <f t="shared" ref="BQ162:EB162" si="2781">IF(SUM(BQ156:BQ161)&lt;0.00000001,ROUND(SUM(BQ156:BQ161),7),SUM(BQ156:BQ161))</f>
        <v>276276.53365540016</v>
      </c>
      <c r="BR162" s="189">
        <f t="shared" si="2781"/>
        <v>278732.63150019036</v>
      </c>
      <c r="BS162" s="189">
        <f t="shared" si="2781"/>
        <v>281210.56405002542</v>
      </c>
      <c r="BT162" s="189">
        <f t="shared" si="2781"/>
        <v>283658.73449934641</v>
      </c>
      <c r="BU162" s="189">
        <f t="shared" si="2781"/>
        <v>286128.21829643997</v>
      </c>
      <c r="BV162" s="189">
        <f t="shared" si="2781"/>
        <v>288619.2009916192</v>
      </c>
      <c r="BW162" s="189">
        <f t="shared" si="2781"/>
        <v>291131.86975056602</v>
      </c>
      <c r="BX162" s="189">
        <f t="shared" si="2781"/>
        <v>293666.41336839437</v>
      </c>
      <c r="BY162" s="189">
        <f t="shared" si="2781"/>
        <v>133333.33333333334</v>
      </c>
      <c r="BZ162" s="189">
        <f t="shared" si="2781"/>
        <v>134494.11023258974</v>
      </c>
      <c r="CA162" s="189">
        <f t="shared" si="2781"/>
        <v>135664.99265441997</v>
      </c>
      <c r="CB162" s="189">
        <f t="shared" si="2781"/>
        <v>136846.06857575275</v>
      </c>
      <c r="CC162" s="189">
        <f t="shared" si="2781"/>
        <v>138037.42673942866</v>
      </c>
      <c r="CD162" s="189">
        <f t="shared" si="2781"/>
        <v>139239.15666086809</v>
      </c>
      <c r="CE162" s="189">
        <f t="shared" si="2781"/>
        <v>140451.34863479715</v>
      </c>
      <c r="CF162" s="189">
        <f t="shared" si="2781"/>
        <v>141673.01481769761</v>
      </c>
      <c r="CG162" s="189">
        <f t="shared" si="2781"/>
        <v>142905.30723008572</v>
      </c>
      <c r="CH162" s="189">
        <f t="shared" si="2781"/>
        <v>144148.31830044536</v>
      </c>
      <c r="CI162" s="189">
        <f t="shared" si="2781"/>
        <v>145402.14126121681</v>
      </c>
      <c r="CJ162" s="189">
        <f t="shared" si="2781"/>
        <v>146666.8701557896</v>
      </c>
      <c r="CK162" s="189">
        <f t="shared" si="2781"/>
        <v>0</v>
      </c>
      <c r="CL162" s="189">
        <f t="shared" si="2781"/>
        <v>0</v>
      </c>
      <c r="CM162" s="189">
        <f t="shared" si="2781"/>
        <v>0</v>
      </c>
      <c r="CN162" s="189">
        <f t="shared" si="2781"/>
        <v>0</v>
      </c>
      <c r="CO162" s="189">
        <f t="shared" si="2781"/>
        <v>0</v>
      </c>
      <c r="CP162" s="189">
        <f t="shared" si="2781"/>
        <v>0</v>
      </c>
      <c r="CQ162" s="189">
        <f t="shared" si="2781"/>
        <v>0</v>
      </c>
      <c r="CR162" s="189">
        <f t="shared" si="2781"/>
        <v>0</v>
      </c>
      <c r="CS162" s="189">
        <f t="shared" si="2781"/>
        <v>0</v>
      </c>
      <c r="CT162" s="189">
        <f t="shared" si="2781"/>
        <v>0</v>
      </c>
      <c r="CU162" s="189">
        <f t="shared" si="2781"/>
        <v>0</v>
      </c>
      <c r="CV162" s="189">
        <f t="shared" si="2781"/>
        <v>0</v>
      </c>
      <c r="CW162" s="189">
        <f t="shared" si="2781"/>
        <v>0</v>
      </c>
      <c r="CX162" s="189">
        <f t="shared" si="2781"/>
        <v>0</v>
      </c>
      <c r="CY162" s="189">
        <f t="shared" si="2781"/>
        <v>0</v>
      </c>
      <c r="CZ162" s="189">
        <f t="shared" si="2781"/>
        <v>0</v>
      </c>
      <c r="DA162" s="189">
        <f t="shared" si="2781"/>
        <v>0</v>
      </c>
      <c r="DB162" s="189">
        <f t="shared" si="2781"/>
        <v>0</v>
      </c>
      <c r="DC162" s="189">
        <f t="shared" si="2781"/>
        <v>0</v>
      </c>
      <c r="DD162" s="189">
        <f t="shared" si="2781"/>
        <v>0</v>
      </c>
      <c r="DE162" s="189">
        <f t="shared" si="2781"/>
        <v>0</v>
      </c>
      <c r="DF162" s="189">
        <f t="shared" si="2781"/>
        <v>0</v>
      </c>
      <c r="DG162" s="189">
        <f t="shared" si="2781"/>
        <v>0</v>
      </c>
      <c r="DH162" s="189">
        <f t="shared" si="2781"/>
        <v>0</v>
      </c>
      <c r="DI162" s="189">
        <f t="shared" si="2781"/>
        <v>0</v>
      </c>
      <c r="DJ162" s="189">
        <f t="shared" si="2781"/>
        <v>0</v>
      </c>
      <c r="DK162" s="189">
        <f t="shared" si="2781"/>
        <v>0</v>
      </c>
      <c r="DL162" s="189">
        <f t="shared" si="2781"/>
        <v>0</v>
      </c>
      <c r="DM162" s="189">
        <f t="shared" si="2781"/>
        <v>0</v>
      </c>
      <c r="DN162" s="189">
        <f t="shared" si="2781"/>
        <v>0</v>
      </c>
      <c r="DO162" s="189">
        <f t="shared" si="2781"/>
        <v>0</v>
      </c>
      <c r="DP162" s="189">
        <f t="shared" si="2781"/>
        <v>0</v>
      </c>
      <c r="DQ162" s="189">
        <f t="shared" si="2781"/>
        <v>0</v>
      </c>
      <c r="DR162" s="189">
        <f t="shared" si="2781"/>
        <v>0</v>
      </c>
      <c r="DS162" s="189">
        <f t="shared" si="2781"/>
        <v>0</v>
      </c>
      <c r="DT162" s="189">
        <f t="shared" si="2781"/>
        <v>0</v>
      </c>
      <c r="DU162" s="189">
        <f t="shared" si="2781"/>
        <v>0</v>
      </c>
      <c r="DV162" s="189">
        <f t="shared" si="2781"/>
        <v>0</v>
      </c>
      <c r="DW162" s="189">
        <f t="shared" si="2781"/>
        <v>0</v>
      </c>
      <c r="DX162" s="189">
        <f t="shared" si="2781"/>
        <v>0</v>
      </c>
      <c r="DY162" s="189">
        <f t="shared" si="2781"/>
        <v>0</v>
      </c>
      <c r="DZ162" s="189">
        <f t="shared" si="2781"/>
        <v>0</v>
      </c>
      <c r="EA162" s="189">
        <f t="shared" si="2781"/>
        <v>0</v>
      </c>
      <c r="EB162" s="189">
        <f t="shared" si="2781"/>
        <v>0</v>
      </c>
      <c r="EC162" s="189">
        <f t="shared" ref="EC162:GN162" si="2782">IF(SUM(EC156:EC161)&lt;0.00000001,ROUND(SUM(EC156:EC161),7),SUM(EC156:EC161))</f>
        <v>0</v>
      </c>
      <c r="ED162" s="189">
        <f t="shared" si="2782"/>
        <v>0</v>
      </c>
      <c r="EE162" s="189">
        <f t="shared" si="2782"/>
        <v>0</v>
      </c>
      <c r="EF162" s="189">
        <f t="shared" si="2782"/>
        <v>0</v>
      </c>
      <c r="EG162" s="189">
        <f t="shared" si="2782"/>
        <v>0</v>
      </c>
      <c r="EH162" s="189">
        <f t="shared" si="2782"/>
        <v>0</v>
      </c>
      <c r="EI162" s="189">
        <f t="shared" si="2782"/>
        <v>0</v>
      </c>
      <c r="EJ162" s="189">
        <f t="shared" si="2782"/>
        <v>0</v>
      </c>
      <c r="EK162" s="189">
        <f t="shared" si="2782"/>
        <v>0</v>
      </c>
      <c r="EL162" s="189">
        <f t="shared" si="2782"/>
        <v>0</v>
      </c>
      <c r="EM162" s="189">
        <f t="shared" si="2782"/>
        <v>0</v>
      </c>
      <c r="EN162" s="189">
        <f t="shared" si="2782"/>
        <v>0</v>
      </c>
      <c r="EO162" s="189">
        <f t="shared" si="2782"/>
        <v>0</v>
      </c>
      <c r="EP162" s="189">
        <f t="shared" si="2782"/>
        <v>0</v>
      </c>
      <c r="EQ162" s="189">
        <f t="shared" si="2782"/>
        <v>0</v>
      </c>
      <c r="ER162" s="189">
        <f t="shared" si="2782"/>
        <v>0</v>
      </c>
      <c r="ES162" s="189">
        <f t="shared" si="2782"/>
        <v>0</v>
      </c>
      <c r="ET162" s="189">
        <f t="shared" si="2782"/>
        <v>0</v>
      </c>
      <c r="EU162" s="189">
        <f t="shared" si="2782"/>
        <v>0</v>
      </c>
      <c r="EV162" s="189">
        <f t="shared" si="2782"/>
        <v>0</v>
      </c>
      <c r="EW162" s="189">
        <f t="shared" si="2782"/>
        <v>0</v>
      </c>
      <c r="EX162" s="189">
        <f t="shared" si="2782"/>
        <v>0</v>
      </c>
      <c r="EY162" s="189">
        <f t="shared" si="2782"/>
        <v>0</v>
      </c>
      <c r="EZ162" s="189">
        <f t="shared" si="2782"/>
        <v>0</v>
      </c>
      <c r="FA162" s="189">
        <f t="shared" si="2782"/>
        <v>0</v>
      </c>
      <c r="FB162" s="189">
        <f t="shared" si="2782"/>
        <v>0</v>
      </c>
      <c r="FC162" s="189">
        <f t="shared" si="2782"/>
        <v>0</v>
      </c>
      <c r="FD162" s="189">
        <f t="shared" si="2782"/>
        <v>0</v>
      </c>
      <c r="FE162" s="189">
        <f t="shared" si="2782"/>
        <v>0</v>
      </c>
      <c r="FF162" s="189">
        <f t="shared" si="2782"/>
        <v>0</v>
      </c>
      <c r="FG162" s="189">
        <f t="shared" si="2782"/>
        <v>0</v>
      </c>
      <c r="FH162" s="189">
        <f t="shared" si="2782"/>
        <v>0</v>
      </c>
      <c r="FI162" s="189">
        <f t="shared" si="2782"/>
        <v>0</v>
      </c>
      <c r="FJ162" s="189">
        <f t="shared" si="2782"/>
        <v>0</v>
      </c>
      <c r="FK162" s="189">
        <f t="shared" si="2782"/>
        <v>0</v>
      </c>
      <c r="FL162" s="189">
        <f t="shared" si="2782"/>
        <v>0</v>
      </c>
      <c r="FM162" s="189">
        <f t="shared" si="2782"/>
        <v>0</v>
      </c>
      <c r="FN162" s="189">
        <f t="shared" si="2782"/>
        <v>0</v>
      </c>
      <c r="FO162" s="189">
        <f t="shared" si="2782"/>
        <v>0</v>
      </c>
      <c r="FP162" s="189">
        <f t="shared" si="2782"/>
        <v>0</v>
      </c>
      <c r="FQ162" s="189">
        <f t="shared" si="2782"/>
        <v>0</v>
      </c>
      <c r="FR162" s="189">
        <f t="shared" si="2782"/>
        <v>0</v>
      </c>
      <c r="FS162" s="189">
        <f t="shared" si="2782"/>
        <v>0</v>
      </c>
      <c r="FT162" s="189">
        <f t="shared" si="2782"/>
        <v>0</v>
      </c>
      <c r="FU162" s="189">
        <f t="shared" si="2782"/>
        <v>0</v>
      </c>
      <c r="FV162" s="189">
        <f t="shared" si="2782"/>
        <v>0</v>
      </c>
      <c r="FW162" s="189">
        <f t="shared" si="2782"/>
        <v>0</v>
      </c>
      <c r="FX162" s="189">
        <f t="shared" si="2782"/>
        <v>0</v>
      </c>
      <c r="FY162" s="189">
        <f t="shared" si="2782"/>
        <v>0</v>
      </c>
      <c r="FZ162" s="189">
        <f t="shared" si="2782"/>
        <v>0</v>
      </c>
      <c r="GA162" s="189">
        <f t="shared" si="2782"/>
        <v>0</v>
      </c>
      <c r="GB162" s="189">
        <f t="shared" si="2782"/>
        <v>0</v>
      </c>
      <c r="GC162" s="189">
        <f t="shared" si="2782"/>
        <v>0</v>
      </c>
      <c r="GD162" s="189">
        <f t="shared" si="2782"/>
        <v>0</v>
      </c>
      <c r="GE162" s="189">
        <f t="shared" si="2782"/>
        <v>0</v>
      </c>
      <c r="GF162" s="189">
        <f t="shared" si="2782"/>
        <v>0</v>
      </c>
      <c r="GG162" s="189">
        <f t="shared" si="2782"/>
        <v>0</v>
      </c>
      <c r="GH162" s="189">
        <f t="shared" si="2782"/>
        <v>0</v>
      </c>
      <c r="GI162" s="189">
        <f t="shared" si="2782"/>
        <v>0</v>
      </c>
      <c r="GJ162" s="189">
        <f t="shared" si="2782"/>
        <v>0</v>
      </c>
      <c r="GK162" s="189">
        <f t="shared" si="2782"/>
        <v>0</v>
      </c>
      <c r="GL162" s="189">
        <f t="shared" si="2782"/>
        <v>0</v>
      </c>
      <c r="GM162" s="189">
        <f t="shared" si="2782"/>
        <v>0</v>
      </c>
      <c r="GN162" s="189">
        <f t="shared" si="2782"/>
        <v>0</v>
      </c>
      <c r="GO162" s="189">
        <f t="shared" ref="GO162:GQ162" si="2783">IF(SUM(GO156:GO161)&lt;0.00000001,ROUND(SUM(GO156:GO161),7),SUM(GO156:GO161))</f>
        <v>0</v>
      </c>
      <c r="GP162" s="189">
        <f t="shared" si="2783"/>
        <v>0</v>
      </c>
      <c r="GQ162" s="189">
        <f t="shared" si="2783"/>
        <v>0</v>
      </c>
    </row>
    <row r="163" spans="2:199" s="315" customFormat="1" outlineLevel="1">
      <c r="B163" s="196" t="s">
        <v>396</v>
      </c>
      <c r="C163" s="197"/>
      <c r="D163" s="198"/>
      <c r="E163" s="210">
        <f>(E159+D163+E160)*IF(AND(E142=$C147,$C153),0,1)</f>
        <v>2008.0858156290424</v>
      </c>
      <c r="F163" s="210">
        <f t="shared" ref="F163:BQ163" si="2784">(F159+E163+F160)*IF(AND(F142=$C147,$C153),0,1)</f>
        <v>4182.5474473827999</v>
      </c>
      <c r="G163" s="210">
        <f t="shared" si="2784"/>
        <v>6427.107781586592</v>
      </c>
      <c r="H163" s="210">
        <f t="shared" si="2784"/>
        <v>8347.5337695463568</v>
      </c>
      <c r="I163" s="210">
        <f t="shared" si="2784"/>
        <v>10540.283188905032</v>
      </c>
      <c r="J163" s="210">
        <f t="shared" si="2784"/>
        <v>12576.567213424189</v>
      </c>
      <c r="K163" s="210">
        <f t="shared" si="2784"/>
        <v>0</v>
      </c>
      <c r="L163" s="210">
        <f t="shared" si="2784"/>
        <v>2126.1926750261396</v>
      </c>
      <c r="M163" s="210">
        <f t="shared" si="2784"/>
        <v>3932.1053688459442</v>
      </c>
      <c r="N163" s="210">
        <f t="shared" si="2784"/>
        <v>5919.8475839582215</v>
      </c>
      <c r="O163" s="210">
        <f t="shared" si="2784"/>
        <v>8093.2405211229234</v>
      </c>
      <c r="P163" s="210">
        <f t="shared" si="2784"/>
        <v>10197.742412263218</v>
      </c>
      <c r="Q163" s="210">
        <f t="shared" si="2784"/>
        <v>0</v>
      </c>
      <c r="R163" s="210">
        <f t="shared" si="2784"/>
        <v>2209.8990555029732</v>
      </c>
      <c r="S163" s="210">
        <f t="shared" si="2784"/>
        <v>4353.7117474703937</v>
      </c>
      <c r="T163" s="210">
        <f t="shared" si="2784"/>
        <v>6482.1206317532815</v>
      </c>
      <c r="U163" s="210">
        <f t="shared" si="2784"/>
        <v>8974.6117598716464</v>
      </c>
      <c r="V163" s="210">
        <f t="shared" si="2784"/>
        <v>11257.777406698873</v>
      </c>
      <c r="W163" s="210">
        <f t="shared" si="2784"/>
        <v>13708.150637528071</v>
      </c>
      <c r="X163" s="210">
        <f t="shared" si="2784"/>
        <v>16283.67601936644</v>
      </c>
      <c r="Y163" s="210">
        <f t="shared" si="2784"/>
        <v>18673.90010582031</v>
      </c>
      <c r="Z163" s="210">
        <f t="shared" si="2784"/>
        <v>20979.01080726942</v>
      </c>
      <c r="AA163" s="210">
        <f t="shared" si="2784"/>
        <v>23408.8987520437</v>
      </c>
      <c r="AB163" s="210">
        <f t="shared" si="2784"/>
        <v>25966.404633865375</v>
      </c>
      <c r="AC163" s="210">
        <f t="shared" si="2784"/>
        <v>0</v>
      </c>
      <c r="AD163" s="210">
        <f t="shared" si="2784"/>
        <v>2548.1235314867822</v>
      </c>
      <c r="AE163" s="210">
        <f t="shared" si="2784"/>
        <v>4921.7064577540204</v>
      </c>
      <c r="AF163" s="210">
        <f t="shared" si="2784"/>
        <v>7416.5194909631537</v>
      </c>
      <c r="AG163" s="210">
        <f t="shared" si="2784"/>
        <v>10035.511301837387</v>
      </c>
      <c r="AH163" s="210">
        <f t="shared" si="2784"/>
        <v>12372.953993286761</v>
      </c>
      <c r="AI163" s="210">
        <f t="shared" si="2784"/>
        <v>14936.214247750029</v>
      </c>
      <c r="AJ163" s="210">
        <f t="shared" si="2784"/>
        <v>17419.019110120887</v>
      </c>
      <c r="AK163" s="210">
        <f t="shared" si="2784"/>
        <v>19609.188979249579</v>
      </c>
      <c r="AL163" s="210">
        <f t="shared" si="2784"/>
        <v>22238.921347915209</v>
      </c>
      <c r="AM163" s="210">
        <f t="shared" si="2784"/>
        <v>24679.452391730971</v>
      </c>
      <c r="AN163" s="210">
        <f t="shared" si="2784"/>
        <v>27140.599830739291</v>
      </c>
      <c r="AO163" s="210">
        <f t="shared" si="2784"/>
        <v>0</v>
      </c>
      <c r="AP163" s="210">
        <f t="shared" si="2784"/>
        <v>2548.1235314867818</v>
      </c>
      <c r="AQ163" s="210">
        <f t="shared" si="2784"/>
        <v>4921.7064577540186</v>
      </c>
      <c r="AR163" s="210">
        <f t="shared" si="2784"/>
        <v>7316.21652514794</v>
      </c>
      <c r="AS163" s="210">
        <f t="shared" si="2784"/>
        <v>9731.8382417516168</v>
      </c>
      <c r="AT163" s="210">
        <f t="shared" si="2784"/>
        <v>12066.715653881187</v>
      </c>
      <c r="AU163" s="210">
        <f t="shared" si="2784"/>
        <v>14627.162800435497</v>
      </c>
      <c r="AV163" s="210">
        <f t="shared" si="2784"/>
        <v>17127.864395195917</v>
      </c>
      <c r="AW163" s="210">
        <f t="shared" si="2784"/>
        <v>19650.797222251349</v>
      </c>
      <c r="AX163" s="210">
        <f t="shared" si="2784"/>
        <v>22196.158917213492</v>
      </c>
      <c r="AY163" s="210">
        <f t="shared" si="2784"/>
        <v>24764.14887267425</v>
      </c>
      <c r="AZ163" s="210">
        <f t="shared" si="2784"/>
        <v>27354.968253825275</v>
      </c>
      <c r="BA163" s="210">
        <f t="shared" si="2784"/>
        <v>0</v>
      </c>
      <c r="BB163" s="210">
        <f t="shared" si="2784"/>
        <v>2370.6661460228293</v>
      </c>
      <c r="BC163" s="210">
        <f t="shared" si="2784"/>
        <v>4762.4075094552791</v>
      </c>
      <c r="BD163" s="210">
        <f t="shared" si="2784"/>
        <v>7175.4114489389722</v>
      </c>
      <c r="BE163" s="210">
        <f t="shared" si="2784"/>
        <v>9609.8669887334927</v>
      </c>
      <c r="BF163" s="210">
        <f t="shared" si="2784"/>
        <v>12065.96483352372</v>
      </c>
      <c r="BG163" s="210">
        <f t="shared" si="2784"/>
        <v>14543.897383358812</v>
      </c>
      <c r="BH163" s="210">
        <f t="shared" si="2784"/>
        <v>17043.858748723986</v>
      </c>
      <c r="BI163" s="210">
        <f t="shared" si="2784"/>
        <v>19566.044765746297</v>
      </c>
      <c r="BJ163" s="210">
        <f t="shared" si="2784"/>
        <v>22110.653011535585</v>
      </c>
      <c r="BK163" s="210">
        <f t="shared" si="2784"/>
        <v>24677.882819661809</v>
      </c>
      <c r="BL163" s="210">
        <f t="shared" si="2784"/>
        <v>27267.935295769978</v>
      </c>
      <c r="BM163" s="210">
        <f t="shared" si="2784"/>
        <v>0</v>
      </c>
      <c r="BN163" s="210">
        <f t="shared" si="2784"/>
        <v>2370.6661460228297</v>
      </c>
      <c r="BO163" s="210">
        <f t="shared" si="2784"/>
        <v>4762.4075094552791</v>
      </c>
      <c r="BP163" s="210">
        <f t="shared" si="2784"/>
        <v>7175.4114489389731</v>
      </c>
      <c r="BQ163" s="210">
        <f t="shared" si="2784"/>
        <v>9609.8669887334945</v>
      </c>
      <c r="BR163" s="210">
        <f t="shared" ref="BR163:EC163" si="2785">(BR159+BQ163+BR160)*IF(AND(BR142=$C147,$C153),0,1)</f>
        <v>12065.964833523722</v>
      </c>
      <c r="BS163" s="210">
        <f t="shared" si="2785"/>
        <v>14543.897383358813</v>
      </c>
      <c r="BT163" s="210">
        <f t="shared" si="2785"/>
        <v>16992.067832679768</v>
      </c>
      <c r="BU163" s="210">
        <f t="shared" si="2785"/>
        <v>19461.551629773327</v>
      </c>
      <c r="BV163" s="210">
        <f t="shared" si="2785"/>
        <v>21952.534324952543</v>
      </c>
      <c r="BW163" s="210">
        <f t="shared" si="2785"/>
        <v>24465.203083899345</v>
      </c>
      <c r="BX163" s="210">
        <f t="shared" si="2785"/>
        <v>26999.746701727661</v>
      </c>
      <c r="BY163" s="210">
        <f t="shared" si="2785"/>
        <v>0</v>
      </c>
      <c r="BZ163" s="210">
        <f t="shared" si="2785"/>
        <v>1160.7768992563847</v>
      </c>
      <c r="CA163" s="210">
        <f t="shared" si="2785"/>
        <v>2331.659321086624</v>
      </c>
      <c r="CB163" s="210">
        <f t="shared" si="2785"/>
        <v>3512.7352424194078</v>
      </c>
      <c r="CC163" s="210">
        <f t="shared" si="2785"/>
        <v>4704.0934060953241</v>
      </c>
      <c r="CD163" s="210">
        <f t="shared" si="2785"/>
        <v>5905.8233275347566</v>
      </c>
      <c r="CE163" s="210">
        <f t="shared" si="2785"/>
        <v>7118.0153014638299</v>
      </c>
      <c r="CF163" s="210">
        <f t="shared" si="2785"/>
        <v>8339.681484364286</v>
      </c>
      <c r="CG163" s="210">
        <f t="shared" si="2785"/>
        <v>9571.9738967523881</v>
      </c>
      <c r="CH163" s="210">
        <f t="shared" si="2785"/>
        <v>10814.984967112039</v>
      </c>
      <c r="CI163" s="210">
        <f t="shared" si="2785"/>
        <v>12068.807927883494</v>
      </c>
      <c r="CJ163" s="210">
        <f t="shared" si="2785"/>
        <v>13333.536822456277</v>
      </c>
      <c r="CK163" s="210">
        <f t="shared" si="2785"/>
        <v>0</v>
      </c>
      <c r="CL163" s="210">
        <f t="shared" si="2785"/>
        <v>0</v>
      </c>
      <c r="CM163" s="210">
        <f t="shared" si="2785"/>
        <v>0</v>
      </c>
      <c r="CN163" s="210">
        <f t="shared" si="2785"/>
        <v>0</v>
      </c>
      <c r="CO163" s="210">
        <f t="shared" si="2785"/>
        <v>0</v>
      </c>
      <c r="CP163" s="210">
        <f t="shared" si="2785"/>
        <v>0</v>
      </c>
      <c r="CQ163" s="210">
        <f t="shared" si="2785"/>
        <v>0</v>
      </c>
      <c r="CR163" s="210">
        <f t="shared" si="2785"/>
        <v>0</v>
      </c>
      <c r="CS163" s="210">
        <f t="shared" si="2785"/>
        <v>0</v>
      </c>
      <c r="CT163" s="210">
        <f t="shared" si="2785"/>
        <v>0</v>
      </c>
      <c r="CU163" s="210">
        <f t="shared" si="2785"/>
        <v>0</v>
      </c>
      <c r="CV163" s="210">
        <f t="shared" si="2785"/>
        <v>0</v>
      </c>
      <c r="CW163" s="210">
        <f t="shared" si="2785"/>
        <v>0</v>
      </c>
      <c r="CX163" s="210">
        <f t="shared" si="2785"/>
        <v>0</v>
      </c>
      <c r="CY163" s="210">
        <f t="shared" si="2785"/>
        <v>0</v>
      </c>
      <c r="CZ163" s="210">
        <f t="shared" si="2785"/>
        <v>0</v>
      </c>
      <c r="DA163" s="210">
        <f t="shared" si="2785"/>
        <v>0</v>
      </c>
      <c r="DB163" s="210">
        <f t="shared" si="2785"/>
        <v>0</v>
      </c>
      <c r="DC163" s="210">
        <f t="shared" si="2785"/>
        <v>0</v>
      </c>
      <c r="DD163" s="210">
        <f t="shared" si="2785"/>
        <v>0</v>
      </c>
      <c r="DE163" s="210">
        <f t="shared" si="2785"/>
        <v>0</v>
      </c>
      <c r="DF163" s="210">
        <f t="shared" si="2785"/>
        <v>0</v>
      </c>
      <c r="DG163" s="210">
        <f t="shared" si="2785"/>
        <v>0</v>
      </c>
      <c r="DH163" s="210">
        <f t="shared" si="2785"/>
        <v>0</v>
      </c>
      <c r="DI163" s="210">
        <f t="shared" si="2785"/>
        <v>0</v>
      </c>
      <c r="DJ163" s="210">
        <f t="shared" si="2785"/>
        <v>0</v>
      </c>
      <c r="DK163" s="210">
        <f t="shared" si="2785"/>
        <v>0</v>
      </c>
      <c r="DL163" s="210">
        <f t="shared" si="2785"/>
        <v>0</v>
      </c>
      <c r="DM163" s="210">
        <f t="shared" si="2785"/>
        <v>0</v>
      </c>
      <c r="DN163" s="210">
        <f t="shared" si="2785"/>
        <v>0</v>
      </c>
      <c r="DO163" s="210">
        <f t="shared" si="2785"/>
        <v>0</v>
      </c>
      <c r="DP163" s="210">
        <f t="shared" si="2785"/>
        <v>0</v>
      </c>
      <c r="DQ163" s="210">
        <f t="shared" si="2785"/>
        <v>0</v>
      </c>
      <c r="DR163" s="210">
        <f t="shared" si="2785"/>
        <v>0</v>
      </c>
      <c r="DS163" s="210">
        <f t="shared" si="2785"/>
        <v>0</v>
      </c>
      <c r="DT163" s="210">
        <f t="shared" si="2785"/>
        <v>0</v>
      </c>
      <c r="DU163" s="210">
        <f t="shared" si="2785"/>
        <v>0</v>
      </c>
      <c r="DV163" s="210">
        <f t="shared" si="2785"/>
        <v>0</v>
      </c>
      <c r="DW163" s="210">
        <f t="shared" si="2785"/>
        <v>0</v>
      </c>
      <c r="DX163" s="210">
        <f t="shared" si="2785"/>
        <v>0</v>
      </c>
      <c r="DY163" s="210">
        <f t="shared" si="2785"/>
        <v>0</v>
      </c>
      <c r="DZ163" s="210">
        <f t="shared" si="2785"/>
        <v>0</v>
      </c>
      <c r="EA163" s="210">
        <f t="shared" si="2785"/>
        <v>0</v>
      </c>
      <c r="EB163" s="210">
        <f t="shared" si="2785"/>
        <v>0</v>
      </c>
      <c r="EC163" s="210">
        <f t="shared" si="2785"/>
        <v>0</v>
      </c>
      <c r="ED163" s="210">
        <f t="shared" ref="ED163:GO163" si="2786">(ED159+EC163+ED160)*IF(AND(ED142=$C147,$C153),0,1)</f>
        <v>0</v>
      </c>
      <c r="EE163" s="210">
        <f t="shared" si="2786"/>
        <v>0</v>
      </c>
      <c r="EF163" s="210">
        <f t="shared" si="2786"/>
        <v>0</v>
      </c>
      <c r="EG163" s="210">
        <f t="shared" si="2786"/>
        <v>0</v>
      </c>
      <c r="EH163" s="210">
        <f t="shared" si="2786"/>
        <v>0</v>
      </c>
      <c r="EI163" s="210">
        <f t="shared" si="2786"/>
        <v>0</v>
      </c>
      <c r="EJ163" s="210">
        <f t="shared" si="2786"/>
        <v>0</v>
      </c>
      <c r="EK163" s="210">
        <f t="shared" si="2786"/>
        <v>0</v>
      </c>
      <c r="EL163" s="210">
        <f t="shared" si="2786"/>
        <v>0</v>
      </c>
      <c r="EM163" s="210">
        <f t="shared" si="2786"/>
        <v>0</v>
      </c>
      <c r="EN163" s="210">
        <f t="shared" si="2786"/>
        <v>0</v>
      </c>
      <c r="EO163" s="210">
        <f t="shared" si="2786"/>
        <v>0</v>
      </c>
      <c r="EP163" s="210">
        <f t="shared" si="2786"/>
        <v>0</v>
      </c>
      <c r="EQ163" s="210">
        <f t="shared" si="2786"/>
        <v>0</v>
      </c>
      <c r="ER163" s="210">
        <f t="shared" si="2786"/>
        <v>0</v>
      </c>
      <c r="ES163" s="210">
        <f t="shared" si="2786"/>
        <v>0</v>
      </c>
      <c r="ET163" s="210">
        <f t="shared" si="2786"/>
        <v>0</v>
      </c>
      <c r="EU163" s="210">
        <f t="shared" si="2786"/>
        <v>0</v>
      </c>
      <c r="EV163" s="210">
        <f t="shared" si="2786"/>
        <v>0</v>
      </c>
      <c r="EW163" s="210">
        <f t="shared" si="2786"/>
        <v>0</v>
      </c>
      <c r="EX163" s="210">
        <f t="shared" si="2786"/>
        <v>0</v>
      </c>
      <c r="EY163" s="210">
        <f t="shared" si="2786"/>
        <v>0</v>
      </c>
      <c r="EZ163" s="210">
        <f t="shared" si="2786"/>
        <v>0</v>
      </c>
      <c r="FA163" s="210">
        <f t="shared" si="2786"/>
        <v>0</v>
      </c>
      <c r="FB163" s="210">
        <f t="shared" si="2786"/>
        <v>0</v>
      </c>
      <c r="FC163" s="210">
        <f t="shared" si="2786"/>
        <v>0</v>
      </c>
      <c r="FD163" s="210">
        <f t="shared" si="2786"/>
        <v>0</v>
      </c>
      <c r="FE163" s="210">
        <f t="shared" si="2786"/>
        <v>0</v>
      </c>
      <c r="FF163" s="210">
        <f t="shared" si="2786"/>
        <v>0</v>
      </c>
      <c r="FG163" s="210">
        <f t="shared" si="2786"/>
        <v>0</v>
      </c>
      <c r="FH163" s="210">
        <f t="shared" si="2786"/>
        <v>0</v>
      </c>
      <c r="FI163" s="210">
        <f t="shared" si="2786"/>
        <v>0</v>
      </c>
      <c r="FJ163" s="210">
        <f t="shared" si="2786"/>
        <v>0</v>
      </c>
      <c r="FK163" s="210">
        <f t="shared" si="2786"/>
        <v>0</v>
      </c>
      <c r="FL163" s="210">
        <f t="shared" si="2786"/>
        <v>0</v>
      </c>
      <c r="FM163" s="210">
        <f t="shared" si="2786"/>
        <v>0</v>
      </c>
      <c r="FN163" s="210">
        <f t="shared" si="2786"/>
        <v>0</v>
      </c>
      <c r="FO163" s="210">
        <f t="shared" si="2786"/>
        <v>0</v>
      </c>
      <c r="FP163" s="210">
        <f t="shared" si="2786"/>
        <v>0</v>
      </c>
      <c r="FQ163" s="210">
        <f t="shared" si="2786"/>
        <v>0</v>
      </c>
      <c r="FR163" s="210">
        <f t="shared" si="2786"/>
        <v>0</v>
      </c>
      <c r="FS163" s="210">
        <f t="shared" si="2786"/>
        <v>0</v>
      </c>
      <c r="FT163" s="210">
        <f t="shared" si="2786"/>
        <v>0</v>
      </c>
      <c r="FU163" s="210">
        <f t="shared" si="2786"/>
        <v>0</v>
      </c>
      <c r="FV163" s="210">
        <f t="shared" si="2786"/>
        <v>0</v>
      </c>
      <c r="FW163" s="210">
        <f t="shared" si="2786"/>
        <v>0</v>
      </c>
      <c r="FX163" s="210">
        <f t="shared" si="2786"/>
        <v>0</v>
      </c>
      <c r="FY163" s="210">
        <f t="shared" si="2786"/>
        <v>0</v>
      </c>
      <c r="FZ163" s="210">
        <f t="shared" si="2786"/>
        <v>0</v>
      </c>
      <c r="GA163" s="210">
        <f t="shared" si="2786"/>
        <v>0</v>
      </c>
      <c r="GB163" s="210">
        <f t="shared" si="2786"/>
        <v>0</v>
      </c>
      <c r="GC163" s="210">
        <f t="shared" si="2786"/>
        <v>0</v>
      </c>
      <c r="GD163" s="210">
        <f t="shared" si="2786"/>
        <v>0</v>
      </c>
      <c r="GE163" s="210">
        <f t="shared" si="2786"/>
        <v>0</v>
      </c>
      <c r="GF163" s="210">
        <f t="shared" si="2786"/>
        <v>0</v>
      </c>
      <c r="GG163" s="210">
        <f t="shared" si="2786"/>
        <v>0</v>
      </c>
      <c r="GH163" s="210">
        <f t="shared" si="2786"/>
        <v>0</v>
      </c>
      <c r="GI163" s="210">
        <f t="shared" si="2786"/>
        <v>0</v>
      </c>
      <c r="GJ163" s="210">
        <f t="shared" si="2786"/>
        <v>0</v>
      </c>
      <c r="GK163" s="210">
        <f t="shared" si="2786"/>
        <v>0</v>
      </c>
      <c r="GL163" s="210">
        <f t="shared" si="2786"/>
        <v>0</v>
      </c>
      <c r="GM163" s="210">
        <f t="shared" si="2786"/>
        <v>0</v>
      </c>
      <c r="GN163" s="210">
        <f t="shared" si="2786"/>
        <v>0</v>
      </c>
      <c r="GO163" s="210">
        <f t="shared" si="2786"/>
        <v>0</v>
      </c>
      <c r="GP163" s="210">
        <f t="shared" ref="GP163:GQ163" si="2787">(GP159+GO163+GP160)*IF(AND(GP142=$C147,$C153),0,1)</f>
        <v>0</v>
      </c>
      <c r="GQ163" s="210">
        <f t="shared" si="2787"/>
        <v>0</v>
      </c>
    </row>
    <row r="164" spans="2:199" s="315" customFormat="1" outlineLevel="1">
      <c r="B164" s="183"/>
      <c r="C164" s="169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  <c r="AC164" s="171"/>
      <c r="AD164" s="171"/>
      <c r="AE164" s="171"/>
      <c r="AF164" s="171"/>
      <c r="AG164" s="171"/>
      <c r="AH164" s="171"/>
      <c r="AI164" s="171"/>
      <c r="AJ164" s="171"/>
      <c r="AK164" s="171"/>
      <c r="AL164" s="171"/>
      <c r="AM164" s="171"/>
      <c r="AN164" s="171"/>
      <c r="AO164" s="171"/>
      <c r="AP164" s="171"/>
      <c r="AQ164" s="171"/>
      <c r="AR164" s="171"/>
      <c r="AS164" s="171"/>
      <c r="AT164" s="171"/>
      <c r="AU164" s="171"/>
      <c r="AV164" s="171"/>
      <c r="AW164" s="171"/>
      <c r="AX164" s="171"/>
      <c r="AY164" s="171"/>
      <c r="AZ164" s="171"/>
      <c r="BA164" s="171"/>
      <c r="BB164" s="171"/>
      <c r="BC164" s="171"/>
      <c r="BD164" s="171"/>
      <c r="BE164" s="171"/>
      <c r="BF164" s="171"/>
      <c r="BG164" s="171"/>
      <c r="BH164" s="171"/>
      <c r="BI164" s="171"/>
      <c r="BJ164" s="171"/>
      <c r="BK164" s="171"/>
      <c r="BL164" s="171"/>
      <c r="BM164" s="171"/>
      <c r="BN164" s="171"/>
      <c r="BO164" s="171"/>
      <c r="BP164" s="171"/>
      <c r="BQ164" s="171"/>
      <c r="BR164" s="171"/>
      <c r="BS164" s="171"/>
      <c r="BT164" s="171"/>
      <c r="BU164" s="171"/>
      <c r="BV164" s="171"/>
      <c r="BW164" s="171"/>
      <c r="BX164" s="171"/>
      <c r="BY164" s="171"/>
      <c r="BZ164" s="171"/>
      <c r="CA164" s="171"/>
      <c r="CB164" s="171"/>
      <c r="CC164" s="171"/>
      <c r="CD164" s="171"/>
      <c r="CE164" s="171"/>
      <c r="CF164" s="171"/>
      <c r="CG164" s="171"/>
      <c r="CH164" s="171"/>
      <c r="CI164" s="171"/>
      <c r="CJ164" s="171"/>
      <c r="CK164" s="171"/>
      <c r="CL164" s="171"/>
      <c r="CM164" s="171"/>
      <c r="CN164" s="171"/>
      <c r="CO164" s="171"/>
      <c r="CP164" s="171"/>
      <c r="CQ164" s="171"/>
      <c r="CR164" s="171"/>
      <c r="CS164" s="171"/>
      <c r="CT164" s="171"/>
      <c r="CU164" s="171"/>
      <c r="CV164" s="171"/>
      <c r="CW164" s="171"/>
      <c r="CX164" s="171"/>
      <c r="CY164" s="171"/>
      <c r="CZ164" s="171"/>
      <c r="DA164" s="171"/>
      <c r="DB164" s="171"/>
      <c r="DC164" s="171"/>
      <c r="DD164" s="171"/>
      <c r="DE164" s="171"/>
      <c r="DF164" s="171"/>
      <c r="DG164" s="171"/>
      <c r="DH164" s="171"/>
      <c r="DI164" s="171"/>
      <c r="DJ164" s="171"/>
      <c r="DK164" s="171"/>
      <c r="DL164" s="171"/>
      <c r="DM164" s="171"/>
      <c r="DN164" s="171"/>
      <c r="DO164" s="171"/>
      <c r="DP164" s="171"/>
      <c r="DQ164" s="171"/>
      <c r="DR164" s="171"/>
      <c r="DS164" s="171"/>
      <c r="DT164" s="171"/>
      <c r="DU164" s="171"/>
      <c r="DV164" s="171"/>
      <c r="DW164" s="171"/>
      <c r="DX164" s="171"/>
      <c r="DY164" s="171"/>
      <c r="DZ164" s="171"/>
      <c r="EA164" s="171"/>
      <c r="EB164" s="171"/>
      <c r="EC164" s="171"/>
      <c r="ED164" s="171"/>
      <c r="EE164" s="171"/>
      <c r="EF164" s="171"/>
      <c r="EG164" s="171"/>
      <c r="EH164" s="171"/>
      <c r="EI164" s="171"/>
      <c r="EJ164" s="171"/>
      <c r="EK164" s="171"/>
      <c r="EL164" s="171"/>
      <c r="EM164" s="171"/>
      <c r="EN164" s="171"/>
      <c r="EO164" s="171"/>
      <c r="EP164" s="171"/>
      <c r="EQ164" s="171"/>
      <c r="ER164" s="171"/>
      <c r="ES164" s="171"/>
      <c r="ET164" s="171"/>
      <c r="EU164" s="171"/>
      <c r="EV164" s="171"/>
      <c r="EW164" s="171"/>
      <c r="EX164" s="171"/>
      <c r="EY164" s="171"/>
      <c r="EZ164" s="171"/>
      <c r="FA164" s="171"/>
      <c r="FB164" s="171"/>
      <c r="FC164" s="171"/>
      <c r="FD164" s="171"/>
      <c r="FE164" s="171"/>
      <c r="FF164" s="171"/>
      <c r="FG164" s="171"/>
      <c r="FH164" s="171"/>
      <c r="FI164" s="171"/>
      <c r="FJ164" s="171"/>
      <c r="FK164" s="171"/>
      <c r="FL164" s="171"/>
      <c r="FM164" s="171"/>
      <c r="FN164" s="171"/>
      <c r="FO164" s="171"/>
      <c r="FP164" s="171"/>
      <c r="FQ164" s="171"/>
      <c r="FR164" s="171"/>
      <c r="FS164" s="171"/>
      <c r="FT164" s="171"/>
      <c r="FU164" s="171"/>
      <c r="FV164" s="171"/>
      <c r="FW164" s="171"/>
      <c r="FX164" s="171"/>
      <c r="FY164" s="171"/>
      <c r="FZ164" s="171"/>
      <c r="GA164" s="171"/>
      <c r="GB164" s="171"/>
      <c r="GC164" s="171"/>
      <c r="GD164" s="171"/>
      <c r="GE164" s="171"/>
      <c r="GF164" s="171"/>
      <c r="GG164" s="171"/>
      <c r="GH164" s="171"/>
      <c r="GI164" s="171"/>
      <c r="GJ164" s="171"/>
      <c r="GK164" s="171"/>
      <c r="GL164" s="171"/>
      <c r="GM164" s="171"/>
      <c r="GN164" s="171"/>
      <c r="GO164" s="171"/>
      <c r="GP164" s="171"/>
      <c r="GQ164" s="171"/>
    </row>
    <row r="165" spans="2:199" s="315" customFormat="1" outlineLevel="1">
      <c r="B165" s="182" t="s">
        <v>397</v>
      </c>
      <c r="C165" s="158"/>
      <c r="D165" s="171"/>
      <c r="E165" s="172">
        <f t="shared" ref="E165:BP165" si="2788">E161+E160</f>
        <v>0</v>
      </c>
      <c r="F165" s="172">
        <f t="shared" si="2788"/>
        <v>0</v>
      </c>
      <c r="G165" s="172">
        <f t="shared" si="2788"/>
        <v>0</v>
      </c>
      <c r="H165" s="172">
        <f t="shared" si="2788"/>
        <v>0</v>
      </c>
      <c r="I165" s="172">
        <f t="shared" si="2788"/>
        <v>0</v>
      </c>
      <c r="J165" s="172">
        <f t="shared" si="2788"/>
        <v>0</v>
      </c>
      <c r="K165" s="172">
        <f t="shared" si="2788"/>
        <v>-14627.809205738487</v>
      </c>
      <c r="L165" s="172">
        <f t="shared" si="2788"/>
        <v>0</v>
      </c>
      <c r="M165" s="172">
        <f t="shared" si="2788"/>
        <v>0</v>
      </c>
      <c r="N165" s="172">
        <f t="shared" si="2788"/>
        <v>0</v>
      </c>
      <c r="O165" s="172">
        <f t="shared" si="2788"/>
        <v>0</v>
      </c>
      <c r="P165" s="172">
        <f t="shared" si="2788"/>
        <v>0</v>
      </c>
      <c r="Q165" s="172">
        <f t="shared" si="2788"/>
        <v>-12231.5102289038</v>
      </c>
      <c r="R165" s="172">
        <f t="shared" si="2788"/>
        <v>0</v>
      </c>
      <c r="S165" s="172">
        <f t="shared" si="2788"/>
        <v>0</v>
      </c>
      <c r="T165" s="172">
        <f t="shared" si="2788"/>
        <v>0</v>
      </c>
      <c r="U165" s="172">
        <f t="shared" si="2788"/>
        <v>0</v>
      </c>
      <c r="V165" s="172">
        <f t="shared" si="2788"/>
        <v>0</v>
      </c>
      <c r="W165" s="172">
        <f t="shared" si="2788"/>
        <v>0</v>
      </c>
      <c r="X165" s="172">
        <f t="shared" si="2788"/>
        <v>0</v>
      </c>
      <c r="Y165" s="172">
        <f t="shared" si="2788"/>
        <v>0</v>
      </c>
      <c r="Z165" s="172">
        <f t="shared" si="2788"/>
        <v>0</v>
      </c>
      <c r="AA165" s="172">
        <f t="shared" si="2788"/>
        <v>0</v>
      </c>
      <c r="AB165" s="172">
        <f t="shared" si="2788"/>
        <v>0</v>
      </c>
      <c r="AC165" s="172">
        <f t="shared" si="2788"/>
        <v>-28438.423606790377</v>
      </c>
      <c r="AD165" s="172">
        <f t="shared" si="2788"/>
        <v>0</v>
      </c>
      <c r="AE165" s="172">
        <f t="shared" si="2788"/>
        <v>0</v>
      </c>
      <c r="AF165" s="172">
        <f t="shared" si="2788"/>
        <v>0</v>
      </c>
      <c r="AG165" s="172">
        <f t="shared" si="2788"/>
        <v>0</v>
      </c>
      <c r="AH165" s="172">
        <f t="shared" si="2788"/>
        <v>0</v>
      </c>
      <c r="AI165" s="172">
        <f t="shared" si="2788"/>
        <v>0</v>
      </c>
      <c r="AJ165" s="172">
        <f t="shared" si="2788"/>
        <v>0</v>
      </c>
      <c r="AK165" s="172">
        <f t="shared" si="2788"/>
        <v>0</v>
      </c>
      <c r="AL165" s="172">
        <f t="shared" si="2788"/>
        <v>0</v>
      </c>
      <c r="AM165" s="172">
        <f t="shared" si="2788"/>
        <v>0</v>
      </c>
      <c r="AN165" s="172">
        <f t="shared" si="2788"/>
        <v>0</v>
      </c>
      <c r="AO165" s="172">
        <f t="shared" si="2788"/>
        <v>-29731.006958290465</v>
      </c>
      <c r="AP165" s="172">
        <f t="shared" si="2788"/>
        <v>0</v>
      </c>
      <c r="AQ165" s="172">
        <f t="shared" si="2788"/>
        <v>0</v>
      </c>
      <c r="AR165" s="172">
        <f t="shared" si="2788"/>
        <v>0</v>
      </c>
      <c r="AS165" s="172">
        <f t="shared" si="2788"/>
        <v>0</v>
      </c>
      <c r="AT165" s="172">
        <f t="shared" si="2788"/>
        <v>0</v>
      </c>
      <c r="AU165" s="172">
        <f t="shared" si="2788"/>
        <v>0</v>
      </c>
      <c r="AV165" s="172">
        <f t="shared" si="2788"/>
        <v>0</v>
      </c>
      <c r="AW165" s="172">
        <f t="shared" si="2788"/>
        <v>0</v>
      </c>
      <c r="AX165" s="172">
        <f t="shared" si="2788"/>
        <v>0</v>
      </c>
      <c r="AY165" s="172">
        <f t="shared" si="2788"/>
        <v>0</v>
      </c>
      <c r="AZ165" s="172">
        <f t="shared" si="2788"/>
        <v>0</v>
      </c>
      <c r="BA165" s="172">
        <f t="shared" si="2788"/>
        <v>-29968.820014216377</v>
      </c>
      <c r="BB165" s="172">
        <f t="shared" si="2788"/>
        <v>0</v>
      </c>
      <c r="BC165" s="172">
        <f t="shared" si="2788"/>
        <v>0</v>
      </c>
      <c r="BD165" s="172">
        <f t="shared" si="2788"/>
        <v>0</v>
      </c>
      <c r="BE165" s="172">
        <f t="shared" si="2788"/>
        <v>0</v>
      </c>
      <c r="BF165" s="172">
        <f t="shared" si="2788"/>
        <v>0</v>
      </c>
      <c r="BG165" s="172">
        <f t="shared" si="2788"/>
        <v>0</v>
      </c>
      <c r="BH165" s="172">
        <f t="shared" si="2788"/>
        <v>0</v>
      </c>
      <c r="BI165" s="172">
        <f t="shared" si="2788"/>
        <v>0</v>
      </c>
      <c r="BJ165" s="172">
        <f t="shared" si="2788"/>
        <v>0</v>
      </c>
      <c r="BK165" s="172">
        <f t="shared" si="2788"/>
        <v>0</v>
      </c>
      <c r="BL165" s="172">
        <f t="shared" si="2788"/>
        <v>0</v>
      </c>
      <c r="BM165" s="172">
        <f t="shared" si="2788"/>
        <v>-29881.013333333893</v>
      </c>
      <c r="BN165" s="172">
        <f t="shared" si="2788"/>
        <v>0</v>
      </c>
      <c r="BO165" s="172">
        <f t="shared" si="2788"/>
        <v>0</v>
      </c>
      <c r="BP165" s="172">
        <f t="shared" si="2788"/>
        <v>0</v>
      </c>
      <c r="BQ165" s="172">
        <f t="shared" ref="BQ165:EB165" si="2789">BQ161+BQ160</f>
        <v>0</v>
      </c>
      <c r="BR165" s="172">
        <f t="shared" si="2789"/>
        <v>0</v>
      </c>
      <c r="BS165" s="172">
        <f t="shared" si="2789"/>
        <v>0</v>
      </c>
      <c r="BT165" s="172">
        <f t="shared" si="2789"/>
        <v>0</v>
      </c>
      <c r="BU165" s="172">
        <f t="shared" si="2789"/>
        <v>0</v>
      </c>
      <c r="BV165" s="172">
        <f t="shared" si="2789"/>
        <v>0</v>
      </c>
      <c r="BW165" s="172">
        <f t="shared" si="2789"/>
        <v>0</v>
      </c>
      <c r="BX165" s="172">
        <f t="shared" si="2789"/>
        <v>0</v>
      </c>
      <c r="BY165" s="172">
        <f t="shared" si="2789"/>
        <v>-162889.68895050231</v>
      </c>
      <c r="BZ165" s="172">
        <f t="shared" si="2789"/>
        <v>0</v>
      </c>
      <c r="CA165" s="172">
        <f t="shared" si="2789"/>
        <v>0</v>
      </c>
      <c r="CB165" s="172">
        <f t="shared" si="2789"/>
        <v>0</v>
      </c>
      <c r="CC165" s="172">
        <f t="shared" si="2789"/>
        <v>0</v>
      </c>
      <c r="CD165" s="172">
        <f t="shared" si="2789"/>
        <v>0</v>
      </c>
      <c r="CE165" s="172">
        <f t="shared" si="2789"/>
        <v>0</v>
      </c>
      <c r="CF165" s="172">
        <f t="shared" si="2789"/>
        <v>0</v>
      </c>
      <c r="CG165" s="172">
        <f t="shared" si="2789"/>
        <v>0</v>
      </c>
      <c r="CH165" s="172">
        <f t="shared" si="2789"/>
        <v>0</v>
      </c>
      <c r="CI165" s="172">
        <f t="shared" si="2789"/>
        <v>0</v>
      </c>
      <c r="CJ165" s="172">
        <f t="shared" si="2789"/>
        <v>0</v>
      </c>
      <c r="CK165" s="172">
        <f t="shared" si="2789"/>
        <v>-147942.59984555628</v>
      </c>
      <c r="CL165" s="172">
        <f t="shared" si="2789"/>
        <v>0</v>
      </c>
      <c r="CM165" s="172">
        <f t="shared" si="2789"/>
        <v>0</v>
      </c>
      <c r="CN165" s="172">
        <f t="shared" si="2789"/>
        <v>0</v>
      </c>
      <c r="CO165" s="172">
        <f t="shared" si="2789"/>
        <v>0</v>
      </c>
      <c r="CP165" s="172">
        <f t="shared" si="2789"/>
        <v>0</v>
      </c>
      <c r="CQ165" s="172">
        <f t="shared" si="2789"/>
        <v>0</v>
      </c>
      <c r="CR165" s="172">
        <f t="shared" si="2789"/>
        <v>0</v>
      </c>
      <c r="CS165" s="172">
        <f t="shared" si="2789"/>
        <v>0</v>
      </c>
      <c r="CT165" s="172">
        <f t="shared" si="2789"/>
        <v>0</v>
      </c>
      <c r="CU165" s="172">
        <f t="shared" si="2789"/>
        <v>0</v>
      </c>
      <c r="CV165" s="172">
        <f t="shared" si="2789"/>
        <v>0</v>
      </c>
      <c r="CW165" s="172">
        <f t="shared" si="2789"/>
        <v>0</v>
      </c>
      <c r="CX165" s="172">
        <f t="shared" si="2789"/>
        <v>0</v>
      </c>
      <c r="CY165" s="172">
        <f t="shared" si="2789"/>
        <v>0</v>
      </c>
      <c r="CZ165" s="172">
        <f t="shared" si="2789"/>
        <v>0</v>
      </c>
      <c r="DA165" s="172">
        <f t="shared" si="2789"/>
        <v>0</v>
      </c>
      <c r="DB165" s="172">
        <f t="shared" si="2789"/>
        <v>0</v>
      </c>
      <c r="DC165" s="172">
        <f t="shared" si="2789"/>
        <v>0</v>
      </c>
      <c r="DD165" s="172">
        <f t="shared" si="2789"/>
        <v>0</v>
      </c>
      <c r="DE165" s="172">
        <f t="shared" si="2789"/>
        <v>0</v>
      </c>
      <c r="DF165" s="172">
        <f t="shared" si="2789"/>
        <v>0</v>
      </c>
      <c r="DG165" s="172">
        <f t="shared" si="2789"/>
        <v>0</v>
      </c>
      <c r="DH165" s="172">
        <f t="shared" si="2789"/>
        <v>0</v>
      </c>
      <c r="DI165" s="172">
        <f t="shared" si="2789"/>
        <v>0</v>
      </c>
      <c r="DJ165" s="172">
        <f t="shared" si="2789"/>
        <v>0</v>
      </c>
      <c r="DK165" s="172">
        <f t="shared" si="2789"/>
        <v>0</v>
      </c>
      <c r="DL165" s="172">
        <f t="shared" si="2789"/>
        <v>0</v>
      </c>
      <c r="DM165" s="172">
        <f t="shared" si="2789"/>
        <v>0</v>
      </c>
      <c r="DN165" s="172">
        <f t="shared" si="2789"/>
        <v>0</v>
      </c>
      <c r="DO165" s="172">
        <f t="shared" si="2789"/>
        <v>0</v>
      </c>
      <c r="DP165" s="172">
        <f t="shared" si="2789"/>
        <v>0</v>
      </c>
      <c r="DQ165" s="172">
        <f t="shared" si="2789"/>
        <v>0</v>
      </c>
      <c r="DR165" s="172">
        <f t="shared" si="2789"/>
        <v>0</v>
      </c>
      <c r="DS165" s="172">
        <f t="shared" si="2789"/>
        <v>0</v>
      </c>
      <c r="DT165" s="172">
        <f t="shared" si="2789"/>
        <v>0</v>
      </c>
      <c r="DU165" s="172">
        <f t="shared" si="2789"/>
        <v>0</v>
      </c>
      <c r="DV165" s="172">
        <f t="shared" si="2789"/>
        <v>0</v>
      </c>
      <c r="DW165" s="172">
        <f t="shared" si="2789"/>
        <v>0</v>
      </c>
      <c r="DX165" s="172">
        <f t="shared" si="2789"/>
        <v>0</v>
      </c>
      <c r="DY165" s="172">
        <f t="shared" si="2789"/>
        <v>0</v>
      </c>
      <c r="DZ165" s="172">
        <f t="shared" si="2789"/>
        <v>0</v>
      </c>
      <c r="EA165" s="172">
        <f t="shared" si="2789"/>
        <v>0</v>
      </c>
      <c r="EB165" s="172">
        <f t="shared" si="2789"/>
        <v>0</v>
      </c>
      <c r="EC165" s="172">
        <f t="shared" ref="EC165:GN165" si="2790">EC161+EC160</f>
        <v>0</v>
      </c>
      <c r="ED165" s="172">
        <f t="shared" si="2790"/>
        <v>0</v>
      </c>
      <c r="EE165" s="172">
        <f t="shared" si="2790"/>
        <v>0</v>
      </c>
      <c r="EF165" s="172">
        <f t="shared" si="2790"/>
        <v>0</v>
      </c>
      <c r="EG165" s="172">
        <f t="shared" si="2790"/>
        <v>0</v>
      </c>
      <c r="EH165" s="172">
        <f t="shared" si="2790"/>
        <v>0</v>
      </c>
      <c r="EI165" s="172">
        <f t="shared" si="2790"/>
        <v>0</v>
      </c>
      <c r="EJ165" s="172">
        <f t="shared" si="2790"/>
        <v>0</v>
      </c>
      <c r="EK165" s="172">
        <f t="shared" si="2790"/>
        <v>0</v>
      </c>
      <c r="EL165" s="172">
        <f t="shared" si="2790"/>
        <v>0</v>
      </c>
      <c r="EM165" s="172">
        <f t="shared" si="2790"/>
        <v>0</v>
      </c>
      <c r="EN165" s="172">
        <f t="shared" si="2790"/>
        <v>0</v>
      </c>
      <c r="EO165" s="172">
        <f t="shared" si="2790"/>
        <v>0</v>
      </c>
      <c r="EP165" s="172">
        <f t="shared" si="2790"/>
        <v>0</v>
      </c>
      <c r="EQ165" s="172">
        <f t="shared" si="2790"/>
        <v>0</v>
      </c>
      <c r="ER165" s="172">
        <f t="shared" si="2790"/>
        <v>0</v>
      </c>
      <c r="ES165" s="172">
        <f t="shared" si="2790"/>
        <v>0</v>
      </c>
      <c r="ET165" s="172">
        <f t="shared" si="2790"/>
        <v>0</v>
      </c>
      <c r="EU165" s="172">
        <f t="shared" si="2790"/>
        <v>0</v>
      </c>
      <c r="EV165" s="172">
        <f t="shared" si="2790"/>
        <v>0</v>
      </c>
      <c r="EW165" s="172">
        <f t="shared" si="2790"/>
        <v>0</v>
      </c>
      <c r="EX165" s="172">
        <f t="shared" si="2790"/>
        <v>0</v>
      </c>
      <c r="EY165" s="172">
        <f t="shared" si="2790"/>
        <v>0</v>
      </c>
      <c r="EZ165" s="172">
        <f t="shared" si="2790"/>
        <v>0</v>
      </c>
      <c r="FA165" s="172">
        <f t="shared" si="2790"/>
        <v>0</v>
      </c>
      <c r="FB165" s="172">
        <f t="shared" si="2790"/>
        <v>0</v>
      </c>
      <c r="FC165" s="172">
        <f t="shared" si="2790"/>
        <v>0</v>
      </c>
      <c r="FD165" s="172">
        <f t="shared" si="2790"/>
        <v>0</v>
      </c>
      <c r="FE165" s="172">
        <f t="shared" si="2790"/>
        <v>0</v>
      </c>
      <c r="FF165" s="172">
        <f t="shared" si="2790"/>
        <v>0</v>
      </c>
      <c r="FG165" s="172">
        <f t="shared" si="2790"/>
        <v>0</v>
      </c>
      <c r="FH165" s="172">
        <f t="shared" si="2790"/>
        <v>0</v>
      </c>
      <c r="FI165" s="172">
        <f t="shared" si="2790"/>
        <v>0</v>
      </c>
      <c r="FJ165" s="172">
        <f t="shared" si="2790"/>
        <v>0</v>
      </c>
      <c r="FK165" s="172">
        <f t="shared" si="2790"/>
        <v>0</v>
      </c>
      <c r="FL165" s="172">
        <f t="shared" si="2790"/>
        <v>0</v>
      </c>
      <c r="FM165" s="172">
        <f t="shared" si="2790"/>
        <v>0</v>
      </c>
      <c r="FN165" s="172">
        <f t="shared" si="2790"/>
        <v>0</v>
      </c>
      <c r="FO165" s="172">
        <f t="shared" si="2790"/>
        <v>0</v>
      </c>
      <c r="FP165" s="172">
        <f t="shared" si="2790"/>
        <v>0</v>
      </c>
      <c r="FQ165" s="172">
        <f t="shared" si="2790"/>
        <v>0</v>
      </c>
      <c r="FR165" s="172">
        <f t="shared" si="2790"/>
        <v>0</v>
      </c>
      <c r="FS165" s="172">
        <f t="shared" si="2790"/>
        <v>0</v>
      </c>
      <c r="FT165" s="172">
        <f t="shared" si="2790"/>
        <v>0</v>
      </c>
      <c r="FU165" s="172">
        <f t="shared" si="2790"/>
        <v>0</v>
      </c>
      <c r="FV165" s="172">
        <f t="shared" si="2790"/>
        <v>0</v>
      </c>
      <c r="FW165" s="172">
        <f t="shared" si="2790"/>
        <v>0</v>
      </c>
      <c r="FX165" s="172">
        <f t="shared" si="2790"/>
        <v>0</v>
      </c>
      <c r="FY165" s="172">
        <f t="shared" si="2790"/>
        <v>0</v>
      </c>
      <c r="FZ165" s="172">
        <f t="shared" si="2790"/>
        <v>0</v>
      </c>
      <c r="GA165" s="172">
        <f t="shared" si="2790"/>
        <v>0</v>
      </c>
      <c r="GB165" s="172">
        <f t="shared" si="2790"/>
        <v>0</v>
      </c>
      <c r="GC165" s="172">
        <f t="shared" si="2790"/>
        <v>0</v>
      </c>
      <c r="GD165" s="172">
        <f t="shared" si="2790"/>
        <v>0</v>
      </c>
      <c r="GE165" s="172">
        <f t="shared" si="2790"/>
        <v>0</v>
      </c>
      <c r="GF165" s="172">
        <f t="shared" si="2790"/>
        <v>0</v>
      </c>
      <c r="GG165" s="172">
        <f t="shared" si="2790"/>
        <v>0</v>
      </c>
      <c r="GH165" s="172">
        <f t="shared" si="2790"/>
        <v>0</v>
      </c>
      <c r="GI165" s="172">
        <f t="shared" si="2790"/>
        <v>0</v>
      </c>
      <c r="GJ165" s="172">
        <f t="shared" si="2790"/>
        <v>0</v>
      </c>
      <c r="GK165" s="172">
        <f t="shared" si="2790"/>
        <v>0</v>
      </c>
      <c r="GL165" s="172">
        <f t="shared" si="2790"/>
        <v>0</v>
      </c>
      <c r="GM165" s="172">
        <f t="shared" si="2790"/>
        <v>0</v>
      </c>
      <c r="GN165" s="172">
        <f t="shared" si="2790"/>
        <v>0</v>
      </c>
      <c r="GO165" s="172">
        <f t="shared" ref="GO165:GQ165" si="2791">GO161+GO160</f>
        <v>0</v>
      </c>
      <c r="GP165" s="172">
        <f t="shared" si="2791"/>
        <v>0</v>
      </c>
      <c r="GQ165" s="172">
        <f t="shared" si="2791"/>
        <v>0</v>
      </c>
    </row>
    <row r="166" spans="2:199" s="315" customFormat="1" outlineLevel="1">
      <c r="B166" s="182" t="s">
        <v>417</v>
      </c>
      <c r="C166" s="154">
        <v>1</v>
      </c>
      <c r="D166" s="168"/>
      <c r="E166" s="213">
        <f>IF(E142&gt;=$C144,1+E149,1)</f>
        <v>1</v>
      </c>
      <c r="F166" s="213">
        <f t="shared" ref="F166:BQ166" si="2792">IF(F142&gt;=$C144,1+F149,1)</f>
        <v>1</v>
      </c>
      <c r="G166" s="213">
        <f t="shared" si="2792"/>
        <v>1</v>
      </c>
      <c r="H166" s="213">
        <f t="shared" si="2792"/>
        <v>1</v>
      </c>
      <c r="I166" s="213">
        <f t="shared" si="2792"/>
        <v>1</v>
      </c>
      <c r="J166" s="213">
        <f t="shared" si="2792"/>
        <v>1</v>
      </c>
      <c r="K166" s="213">
        <f t="shared" si="2792"/>
        <v>1</v>
      </c>
      <c r="L166" s="213">
        <f t="shared" si="2792"/>
        <v>1</v>
      </c>
      <c r="M166" s="213">
        <f t="shared" si="2792"/>
        <v>1</v>
      </c>
      <c r="N166" s="213">
        <f t="shared" si="2792"/>
        <v>1</v>
      </c>
      <c r="O166" s="213">
        <f t="shared" si="2792"/>
        <v>1</v>
      </c>
      <c r="P166" s="213">
        <f t="shared" si="2792"/>
        <v>1</v>
      </c>
      <c r="Q166" s="213">
        <f t="shared" si="2792"/>
        <v>1</v>
      </c>
      <c r="R166" s="213">
        <f t="shared" si="2792"/>
        <v>1</v>
      </c>
      <c r="S166" s="213">
        <f t="shared" si="2792"/>
        <v>1</v>
      </c>
      <c r="T166" s="213">
        <f t="shared" si="2792"/>
        <v>1</v>
      </c>
      <c r="U166" s="213">
        <f t="shared" si="2792"/>
        <v>1</v>
      </c>
      <c r="V166" s="213">
        <f t="shared" si="2792"/>
        <v>1</v>
      </c>
      <c r="W166" s="213">
        <f t="shared" si="2792"/>
        <v>1</v>
      </c>
      <c r="X166" s="213">
        <f t="shared" si="2792"/>
        <v>1</v>
      </c>
      <c r="Y166" s="213">
        <f t="shared" si="2792"/>
        <v>1</v>
      </c>
      <c r="Z166" s="213">
        <f t="shared" si="2792"/>
        <v>1</v>
      </c>
      <c r="AA166" s="213">
        <f t="shared" si="2792"/>
        <v>1</v>
      </c>
      <c r="AB166" s="213">
        <f t="shared" si="2792"/>
        <v>1</v>
      </c>
      <c r="AC166" s="213">
        <f t="shared" si="2792"/>
        <v>1</v>
      </c>
      <c r="AD166" s="213">
        <f t="shared" si="2792"/>
        <v>1</v>
      </c>
      <c r="AE166" s="213">
        <f t="shared" si="2792"/>
        <v>1</v>
      </c>
      <c r="AF166" s="213">
        <f t="shared" si="2792"/>
        <v>1</v>
      </c>
      <c r="AG166" s="213">
        <f t="shared" si="2792"/>
        <v>1</v>
      </c>
      <c r="AH166" s="213">
        <f t="shared" si="2792"/>
        <v>1</v>
      </c>
      <c r="AI166" s="213">
        <f t="shared" si="2792"/>
        <v>1</v>
      </c>
      <c r="AJ166" s="213">
        <f t="shared" si="2792"/>
        <v>1</v>
      </c>
      <c r="AK166" s="213">
        <f t="shared" si="2792"/>
        <v>1</v>
      </c>
      <c r="AL166" s="213">
        <f t="shared" si="2792"/>
        <v>1</v>
      </c>
      <c r="AM166" s="213">
        <f t="shared" si="2792"/>
        <v>1</v>
      </c>
      <c r="AN166" s="213">
        <f t="shared" si="2792"/>
        <v>1</v>
      </c>
      <c r="AO166" s="213">
        <f t="shared" si="2792"/>
        <v>1</v>
      </c>
      <c r="AP166" s="213">
        <f t="shared" si="2792"/>
        <v>1</v>
      </c>
      <c r="AQ166" s="213">
        <f t="shared" si="2792"/>
        <v>1</v>
      </c>
      <c r="AR166" s="213">
        <f t="shared" si="2792"/>
        <v>1</v>
      </c>
      <c r="AS166" s="213">
        <f t="shared" si="2792"/>
        <v>1</v>
      </c>
      <c r="AT166" s="213">
        <f t="shared" si="2792"/>
        <v>1</v>
      </c>
      <c r="AU166" s="213">
        <f t="shared" si="2792"/>
        <v>1</v>
      </c>
      <c r="AV166" s="213">
        <f t="shared" si="2792"/>
        <v>1</v>
      </c>
      <c r="AW166" s="213">
        <f t="shared" si="2792"/>
        <v>1</v>
      </c>
      <c r="AX166" s="213">
        <f t="shared" si="2792"/>
        <v>1</v>
      </c>
      <c r="AY166" s="213">
        <f t="shared" si="2792"/>
        <v>1</v>
      </c>
      <c r="AZ166" s="213">
        <f t="shared" si="2792"/>
        <v>1</v>
      </c>
      <c r="BA166" s="213">
        <f t="shared" si="2792"/>
        <v>1</v>
      </c>
      <c r="BB166" s="213">
        <f t="shared" si="2792"/>
        <v>1</v>
      </c>
      <c r="BC166" s="213">
        <f t="shared" si="2792"/>
        <v>1</v>
      </c>
      <c r="BD166" s="213">
        <f t="shared" si="2792"/>
        <v>1</v>
      </c>
      <c r="BE166" s="213">
        <f t="shared" si="2792"/>
        <v>1</v>
      </c>
      <c r="BF166" s="213">
        <f t="shared" si="2792"/>
        <v>1</v>
      </c>
      <c r="BG166" s="213">
        <f t="shared" si="2792"/>
        <v>1</v>
      </c>
      <c r="BH166" s="213">
        <f t="shared" si="2792"/>
        <v>1</v>
      </c>
      <c r="BI166" s="213">
        <f t="shared" si="2792"/>
        <v>1</v>
      </c>
      <c r="BJ166" s="213">
        <f t="shared" si="2792"/>
        <v>1</v>
      </c>
      <c r="BK166" s="213">
        <f t="shared" si="2792"/>
        <v>1</v>
      </c>
      <c r="BL166" s="213">
        <f t="shared" si="2792"/>
        <v>1</v>
      </c>
      <c r="BM166" s="213">
        <f t="shared" si="2792"/>
        <v>1</v>
      </c>
      <c r="BN166" s="213">
        <f t="shared" si="2792"/>
        <v>1</v>
      </c>
      <c r="BO166" s="213">
        <f t="shared" si="2792"/>
        <v>1</v>
      </c>
      <c r="BP166" s="213">
        <f t="shared" si="2792"/>
        <v>1</v>
      </c>
      <c r="BQ166" s="213">
        <f t="shared" si="2792"/>
        <v>1</v>
      </c>
      <c r="BR166" s="213">
        <f t="shared" ref="BR166:EC166" si="2793">IF(BR142&gt;=$C144,1+BR149,1)</f>
        <v>1</v>
      </c>
      <c r="BS166" s="213">
        <f t="shared" si="2793"/>
        <v>1</v>
      </c>
      <c r="BT166" s="213">
        <f t="shared" si="2793"/>
        <v>1</v>
      </c>
      <c r="BU166" s="213">
        <f t="shared" si="2793"/>
        <v>1</v>
      </c>
      <c r="BV166" s="213">
        <f t="shared" si="2793"/>
        <v>1</v>
      </c>
      <c r="BW166" s="213">
        <f t="shared" si="2793"/>
        <v>1</v>
      </c>
      <c r="BX166" s="213">
        <f t="shared" si="2793"/>
        <v>1</v>
      </c>
      <c r="BY166" s="213">
        <f t="shared" si="2793"/>
        <v>1</v>
      </c>
      <c r="BZ166" s="213">
        <f t="shared" si="2793"/>
        <v>1</v>
      </c>
      <c r="CA166" s="213">
        <f t="shared" si="2793"/>
        <v>1</v>
      </c>
      <c r="CB166" s="213">
        <f t="shared" si="2793"/>
        <v>1</v>
      </c>
      <c r="CC166" s="213">
        <f t="shared" si="2793"/>
        <v>1</v>
      </c>
      <c r="CD166" s="213">
        <f t="shared" si="2793"/>
        <v>1</v>
      </c>
      <c r="CE166" s="213">
        <f t="shared" si="2793"/>
        <v>1</v>
      </c>
      <c r="CF166" s="213">
        <f t="shared" si="2793"/>
        <v>1</v>
      </c>
      <c r="CG166" s="213">
        <f t="shared" si="2793"/>
        <v>1</v>
      </c>
      <c r="CH166" s="213">
        <f t="shared" si="2793"/>
        <v>1</v>
      </c>
      <c r="CI166" s="213">
        <f t="shared" si="2793"/>
        <v>1</v>
      </c>
      <c r="CJ166" s="213">
        <f t="shared" si="2793"/>
        <v>1</v>
      </c>
      <c r="CK166" s="213">
        <f t="shared" si="2793"/>
        <v>1</v>
      </c>
      <c r="CL166" s="213">
        <f t="shared" si="2793"/>
        <v>1</v>
      </c>
      <c r="CM166" s="213">
        <f t="shared" si="2793"/>
        <v>1</v>
      </c>
      <c r="CN166" s="213">
        <f t="shared" si="2793"/>
        <v>1</v>
      </c>
      <c r="CO166" s="213">
        <f t="shared" si="2793"/>
        <v>1</v>
      </c>
      <c r="CP166" s="213">
        <f t="shared" si="2793"/>
        <v>1</v>
      </c>
      <c r="CQ166" s="213">
        <f t="shared" si="2793"/>
        <v>1</v>
      </c>
      <c r="CR166" s="213">
        <f t="shared" si="2793"/>
        <v>1</v>
      </c>
      <c r="CS166" s="213">
        <f t="shared" si="2793"/>
        <v>1</v>
      </c>
      <c r="CT166" s="213">
        <f t="shared" si="2793"/>
        <v>1</v>
      </c>
      <c r="CU166" s="213">
        <f t="shared" si="2793"/>
        <v>1</v>
      </c>
      <c r="CV166" s="213">
        <f t="shared" si="2793"/>
        <v>1</v>
      </c>
      <c r="CW166" s="213">
        <f t="shared" si="2793"/>
        <v>1</v>
      </c>
      <c r="CX166" s="213">
        <f t="shared" si="2793"/>
        <v>1</v>
      </c>
      <c r="CY166" s="213">
        <f t="shared" si="2793"/>
        <v>1</v>
      </c>
      <c r="CZ166" s="213">
        <f t="shared" si="2793"/>
        <v>1</v>
      </c>
      <c r="DA166" s="213">
        <f t="shared" si="2793"/>
        <v>1</v>
      </c>
      <c r="DB166" s="213">
        <f t="shared" si="2793"/>
        <v>1</v>
      </c>
      <c r="DC166" s="213">
        <f t="shared" si="2793"/>
        <v>1</v>
      </c>
      <c r="DD166" s="213">
        <f t="shared" si="2793"/>
        <v>1</v>
      </c>
      <c r="DE166" s="213">
        <f t="shared" si="2793"/>
        <v>1</v>
      </c>
      <c r="DF166" s="213">
        <f t="shared" si="2793"/>
        <v>1</v>
      </c>
      <c r="DG166" s="213">
        <f t="shared" si="2793"/>
        <v>1</v>
      </c>
      <c r="DH166" s="213">
        <f t="shared" si="2793"/>
        <v>1</v>
      </c>
      <c r="DI166" s="213">
        <f t="shared" si="2793"/>
        <v>1</v>
      </c>
      <c r="DJ166" s="213">
        <f t="shared" si="2793"/>
        <v>1</v>
      </c>
      <c r="DK166" s="213">
        <f t="shared" si="2793"/>
        <v>1</v>
      </c>
      <c r="DL166" s="213">
        <f t="shared" si="2793"/>
        <v>1</v>
      </c>
      <c r="DM166" s="213">
        <f t="shared" si="2793"/>
        <v>1</v>
      </c>
      <c r="DN166" s="213">
        <f t="shared" si="2793"/>
        <v>1</v>
      </c>
      <c r="DO166" s="213">
        <f t="shared" si="2793"/>
        <v>1</v>
      </c>
      <c r="DP166" s="213">
        <f t="shared" si="2793"/>
        <v>1</v>
      </c>
      <c r="DQ166" s="213">
        <f t="shared" si="2793"/>
        <v>1</v>
      </c>
      <c r="DR166" s="213">
        <f t="shared" si="2793"/>
        <v>1</v>
      </c>
      <c r="DS166" s="213">
        <f t="shared" si="2793"/>
        <v>1</v>
      </c>
      <c r="DT166" s="213">
        <f t="shared" si="2793"/>
        <v>1</v>
      </c>
      <c r="DU166" s="213">
        <f t="shared" si="2793"/>
        <v>1</v>
      </c>
      <c r="DV166" s="213">
        <f t="shared" si="2793"/>
        <v>1</v>
      </c>
      <c r="DW166" s="213">
        <f t="shared" si="2793"/>
        <v>1</v>
      </c>
      <c r="DX166" s="213">
        <f t="shared" si="2793"/>
        <v>1</v>
      </c>
      <c r="DY166" s="213">
        <f t="shared" si="2793"/>
        <v>1</v>
      </c>
      <c r="DZ166" s="213">
        <f t="shared" si="2793"/>
        <v>1</v>
      </c>
      <c r="EA166" s="213">
        <f t="shared" si="2793"/>
        <v>1</v>
      </c>
      <c r="EB166" s="213">
        <f t="shared" si="2793"/>
        <v>1</v>
      </c>
      <c r="EC166" s="213">
        <f t="shared" si="2793"/>
        <v>1</v>
      </c>
      <c r="ED166" s="213">
        <f t="shared" ref="ED166:GO166" si="2794">IF(ED142&gt;=$C144,1+ED149,1)</f>
        <v>1</v>
      </c>
      <c r="EE166" s="213">
        <f t="shared" si="2794"/>
        <v>1</v>
      </c>
      <c r="EF166" s="213">
        <f t="shared" si="2794"/>
        <v>1</v>
      </c>
      <c r="EG166" s="213">
        <f t="shared" si="2794"/>
        <v>1</v>
      </c>
      <c r="EH166" s="213">
        <f t="shared" si="2794"/>
        <v>1</v>
      </c>
      <c r="EI166" s="213">
        <f t="shared" si="2794"/>
        <v>1</v>
      </c>
      <c r="EJ166" s="213">
        <f t="shared" si="2794"/>
        <v>1</v>
      </c>
      <c r="EK166" s="213">
        <f t="shared" si="2794"/>
        <v>1</v>
      </c>
      <c r="EL166" s="213">
        <f t="shared" si="2794"/>
        <v>1</v>
      </c>
      <c r="EM166" s="213">
        <f t="shared" si="2794"/>
        <v>1</v>
      </c>
      <c r="EN166" s="213">
        <f t="shared" si="2794"/>
        <v>1</v>
      </c>
      <c r="EO166" s="213">
        <f t="shared" si="2794"/>
        <v>1</v>
      </c>
      <c r="EP166" s="213">
        <f t="shared" si="2794"/>
        <v>1</v>
      </c>
      <c r="EQ166" s="213">
        <f t="shared" si="2794"/>
        <v>1</v>
      </c>
      <c r="ER166" s="213">
        <f t="shared" si="2794"/>
        <v>1</v>
      </c>
      <c r="ES166" s="213">
        <f t="shared" si="2794"/>
        <v>1</v>
      </c>
      <c r="ET166" s="213">
        <f t="shared" si="2794"/>
        <v>1</v>
      </c>
      <c r="EU166" s="213">
        <f t="shared" si="2794"/>
        <v>1</v>
      </c>
      <c r="EV166" s="213">
        <f t="shared" si="2794"/>
        <v>1</v>
      </c>
      <c r="EW166" s="213">
        <f t="shared" si="2794"/>
        <v>1</v>
      </c>
      <c r="EX166" s="213">
        <f t="shared" si="2794"/>
        <v>1</v>
      </c>
      <c r="EY166" s="213">
        <f t="shared" si="2794"/>
        <v>1</v>
      </c>
      <c r="EZ166" s="213">
        <f t="shared" si="2794"/>
        <v>1</v>
      </c>
      <c r="FA166" s="213">
        <f t="shared" si="2794"/>
        <v>1</v>
      </c>
      <c r="FB166" s="213">
        <f t="shared" si="2794"/>
        <v>1</v>
      </c>
      <c r="FC166" s="213">
        <f t="shared" si="2794"/>
        <v>1</v>
      </c>
      <c r="FD166" s="213">
        <f t="shared" si="2794"/>
        <v>1</v>
      </c>
      <c r="FE166" s="213">
        <f t="shared" si="2794"/>
        <v>1</v>
      </c>
      <c r="FF166" s="213">
        <f t="shared" si="2794"/>
        <v>1</v>
      </c>
      <c r="FG166" s="213">
        <f t="shared" si="2794"/>
        <v>1</v>
      </c>
      <c r="FH166" s="213">
        <f t="shared" si="2794"/>
        <v>1</v>
      </c>
      <c r="FI166" s="213">
        <f t="shared" si="2794"/>
        <v>1</v>
      </c>
      <c r="FJ166" s="213">
        <f t="shared" si="2794"/>
        <v>1</v>
      </c>
      <c r="FK166" s="213">
        <f t="shared" si="2794"/>
        <v>1</v>
      </c>
      <c r="FL166" s="213">
        <f t="shared" si="2794"/>
        <v>1</v>
      </c>
      <c r="FM166" s="213">
        <f t="shared" si="2794"/>
        <v>1</v>
      </c>
      <c r="FN166" s="213">
        <f t="shared" si="2794"/>
        <v>1</v>
      </c>
      <c r="FO166" s="213">
        <f t="shared" si="2794"/>
        <v>1</v>
      </c>
      <c r="FP166" s="213">
        <f t="shared" si="2794"/>
        <v>1</v>
      </c>
      <c r="FQ166" s="213">
        <f t="shared" si="2794"/>
        <v>1</v>
      </c>
      <c r="FR166" s="213">
        <f t="shared" si="2794"/>
        <v>1</v>
      </c>
      <c r="FS166" s="213">
        <f t="shared" si="2794"/>
        <v>1</v>
      </c>
      <c r="FT166" s="213">
        <f t="shared" si="2794"/>
        <v>1</v>
      </c>
      <c r="FU166" s="213">
        <f t="shared" si="2794"/>
        <v>1</v>
      </c>
      <c r="FV166" s="213">
        <f t="shared" si="2794"/>
        <v>1</v>
      </c>
      <c r="FW166" s="213">
        <f t="shared" si="2794"/>
        <v>1</v>
      </c>
      <c r="FX166" s="213">
        <f t="shared" si="2794"/>
        <v>1</v>
      </c>
      <c r="FY166" s="213">
        <f t="shared" si="2794"/>
        <v>1</v>
      </c>
      <c r="FZ166" s="213">
        <f t="shared" si="2794"/>
        <v>1</v>
      </c>
      <c r="GA166" s="213">
        <f t="shared" si="2794"/>
        <v>1</v>
      </c>
      <c r="GB166" s="213">
        <f t="shared" si="2794"/>
        <v>1</v>
      </c>
      <c r="GC166" s="213">
        <f t="shared" si="2794"/>
        <v>1</v>
      </c>
      <c r="GD166" s="213">
        <f t="shared" si="2794"/>
        <v>1</v>
      </c>
      <c r="GE166" s="213">
        <f t="shared" si="2794"/>
        <v>1</v>
      </c>
      <c r="GF166" s="213">
        <f t="shared" si="2794"/>
        <v>1</v>
      </c>
      <c r="GG166" s="213">
        <f t="shared" si="2794"/>
        <v>1</v>
      </c>
      <c r="GH166" s="213">
        <f t="shared" si="2794"/>
        <v>1</v>
      </c>
      <c r="GI166" s="213">
        <f t="shared" si="2794"/>
        <v>1</v>
      </c>
      <c r="GJ166" s="213">
        <f t="shared" si="2794"/>
        <v>1</v>
      </c>
      <c r="GK166" s="213">
        <f t="shared" si="2794"/>
        <v>1</v>
      </c>
      <c r="GL166" s="213">
        <f t="shared" si="2794"/>
        <v>1</v>
      </c>
      <c r="GM166" s="213">
        <f t="shared" si="2794"/>
        <v>1</v>
      </c>
      <c r="GN166" s="213">
        <f t="shared" si="2794"/>
        <v>1</v>
      </c>
      <c r="GO166" s="213">
        <f t="shared" si="2794"/>
        <v>1</v>
      </c>
      <c r="GP166" s="213">
        <f t="shared" ref="GP166:GQ166" si="2795">IF(GP142&gt;=$C144,1+GP149,1)</f>
        <v>1</v>
      </c>
      <c r="GQ166" s="213">
        <f t="shared" si="2795"/>
        <v>1</v>
      </c>
    </row>
    <row r="167" spans="2:199" s="315" customFormat="1" outlineLevel="1">
      <c r="B167" s="182" t="s">
        <v>416</v>
      </c>
      <c r="C167" s="315">
        <v>1</v>
      </c>
      <c r="D167" s="168"/>
      <c r="E167" s="213">
        <f>C167*E166</f>
        <v>1</v>
      </c>
      <c r="F167" s="213">
        <f>E167*F166</f>
        <v>1</v>
      </c>
      <c r="G167" s="213">
        <f t="shared" ref="G167" si="2796">F167*G166</f>
        <v>1</v>
      </c>
      <c r="H167" s="213">
        <f t="shared" ref="H167" si="2797">G167*H166</f>
        <v>1</v>
      </c>
      <c r="I167" s="213">
        <f t="shared" ref="I167" si="2798">H167*I166</f>
        <v>1</v>
      </c>
      <c r="J167" s="213">
        <f t="shared" ref="J167" si="2799">I167*J166</f>
        <v>1</v>
      </c>
      <c r="K167" s="213">
        <f t="shared" ref="K167" si="2800">J167*K166</f>
        <v>1</v>
      </c>
      <c r="L167" s="213">
        <f t="shared" ref="L167" si="2801">K167*L166</f>
        <v>1</v>
      </c>
      <c r="M167" s="213">
        <f t="shared" ref="M167" si="2802">L167*M166</f>
        <v>1</v>
      </c>
      <c r="N167" s="213">
        <f t="shared" ref="N167" si="2803">M167*N166</f>
        <v>1</v>
      </c>
      <c r="O167" s="213">
        <f t="shared" ref="O167" si="2804">N167*O166</f>
        <v>1</v>
      </c>
      <c r="P167" s="213">
        <f t="shared" ref="P167" si="2805">O167*P166</f>
        <v>1</v>
      </c>
      <c r="Q167" s="213">
        <f t="shared" ref="Q167" si="2806">P167*Q166</f>
        <v>1</v>
      </c>
      <c r="R167" s="213">
        <f t="shared" ref="R167" si="2807">Q167*R166</f>
        <v>1</v>
      </c>
      <c r="S167" s="213">
        <f t="shared" ref="S167" si="2808">R167*S166</f>
        <v>1</v>
      </c>
      <c r="T167" s="213">
        <f t="shared" ref="T167" si="2809">S167*T166</f>
        <v>1</v>
      </c>
      <c r="U167" s="213">
        <f t="shared" ref="U167" si="2810">T167*U166</f>
        <v>1</v>
      </c>
      <c r="V167" s="213">
        <f t="shared" ref="V167" si="2811">U167*V166</f>
        <v>1</v>
      </c>
      <c r="W167" s="213">
        <f t="shared" ref="W167" si="2812">V167*W166</f>
        <v>1</v>
      </c>
      <c r="X167" s="213">
        <f t="shared" ref="X167" si="2813">W167*X166</f>
        <v>1</v>
      </c>
      <c r="Y167" s="213">
        <f t="shared" ref="Y167" si="2814">X167*Y166</f>
        <v>1</v>
      </c>
      <c r="Z167" s="213">
        <f t="shared" ref="Z167" si="2815">Y167*Z166</f>
        <v>1</v>
      </c>
      <c r="AA167" s="213">
        <f t="shared" ref="AA167" si="2816">Z167*AA166</f>
        <v>1</v>
      </c>
      <c r="AB167" s="213">
        <f t="shared" ref="AB167" si="2817">AA167*AB166</f>
        <v>1</v>
      </c>
      <c r="AC167" s="213">
        <f t="shared" ref="AC167" si="2818">AB167*AC166</f>
        <v>1</v>
      </c>
      <c r="AD167" s="213">
        <f t="shared" ref="AD167" si="2819">AC167*AD166</f>
        <v>1</v>
      </c>
      <c r="AE167" s="213">
        <f t="shared" ref="AE167" si="2820">AD167*AE166</f>
        <v>1</v>
      </c>
      <c r="AF167" s="213">
        <f t="shared" ref="AF167" si="2821">AE167*AF166</f>
        <v>1</v>
      </c>
      <c r="AG167" s="213">
        <f t="shared" ref="AG167" si="2822">AF167*AG166</f>
        <v>1</v>
      </c>
      <c r="AH167" s="213">
        <f t="shared" ref="AH167" si="2823">AG167*AH166</f>
        <v>1</v>
      </c>
      <c r="AI167" s="213">
        <f t="shared" ref="AI167" si="2824">AH167*AI166</f>
        <v>1</v>
      </c>
      <c r="AJ167" s="213">
        <f t="shared" ref="AJ167" si="2825">AI167*AJ166</f>
        <v>1</v>
      </c>
      <c r="AK167" s="213">
        <f t="shared" ref="AK167" si="2826">AJ167*AK166</f>
        <v>1</v>
      </c>
      <c r="AL167" s="213">
        <f t="shared" ref="AL167" si="2827">AK167*AL166</f>
        <v>1</v>
      </c>
      <c r="AM167" s="213">
        <f t="shared" ref="AM167" si="2828">AL167*AM166</f>
        <v>1</v>
      </c>
      <c r="AN167" s="213">
        <f t="shared" ref="AN167" si="2829">AM167*AN166</f>
        <v>1</v>
      </c>
      <c r="AO167" s="213">
        <f t="shared" ref="AO167" si="2830">AN167*AO166</f>
        <v>1</v>
      </c>
      <c r="AP167" s="213">
        <f t="shared" ref="AP167" si="2831">AO167*AP166</f>
        <v>1</v>
      </c>
      <c r="AQ167" s="213">
        <f t="shared" ref="AQ167" si="2832">AP167*AQ166</f>
        <v>1</v>
      </c>
      <c r="AR167" s="213">
        <f t="shared" ref="AR167" si="2833">AQ167*AR166</f>
        <v>1</v>
      </c>
      <c r="AS167" s="213">
        <f t="shared" ref="AS167" si="2834">AR167*AS166</f>
        <v>1</v>
      </c>
      <c r="AT167" s="213">
        <f t="shared" ref="AT167" si="2835">AS167*AT166</f>
        <v>1</v>
      </c>
      <c r="AU167" s="213">
        <f t="shared" ref="AU167" si="2836">AT167*AU166</f>
        <v>1</v>
      </c>
      <c r="AV167" s="213">
        <f t="shared" ref="AV167" si="2837">AU167*AV166</f>
        <v>1</v>
      </c>
      <c r="AW167" s="213">
        <f t="shared" ref="AW167" si="2838">AV167*AW166</f>
        <v>1</v>
      </c>
      <c r="AX167" s="213">
        <f t="shared" ref="AX167" si="2839">AW167*AX166</f>
        <v>1</v>
      </c>
      <c r="AY167" s="213">
        <f t="shared" ref="AY167" si="2840">AX167*AY166</f>
        <v>1</v>
      </c>
      <c r="AZ167" s="213">
        <f t="shared" ref="AZ167" si="2841">AY167*AZ166</f>
        <v>1</v>
      </c>
      <c r="BA167" s="213">
        <f t="shared" ref="BA167" si="2842">AZ167*BA166</f>
        <v>1</v>
      </c>
      <c r="BB167" s="213">
        <f t="shared" ref="BB167" si="2843">BA167*BB166</f>
        <v>1</v>
      </c>
      <c r="BC167" s="213">
        <f t="shared" ref="BC167" si="2844">BB167*BC166</f>
        <v>1</v>
      </c>
      <c r="BD167" s="213">
        <f t="shared" ref="BD167" si="2845">BC167*BD166</f>
        <v>1</v>
      </c>
      <c r="BE167" s="213">
        <f t="shared" ref="BE167" si="2846">BD167*BE166</f>
        <v>1</v>
      </c>
      <c r="BF167" s="213">
        <f t="shared" ref="BF167" si="2847">BE167*BF166</f>
        <v>1</v>
      </c>
      <c r="BG167" s="213">
        <f t="shared" ref="BG167" si="2848">BF167*BG166</f>
        <v>1</v>
      </c>
      <c r="BH167" s="213">
        <f t="shared" ref="BH167" si="2849">BG167*BH166</f>
        <v>1</v>
      </c>
      <c r="BI167" s="213">
        <f t="shared" ref="BI167" si="2850">BH167*BI166</f>
        <v>1</v>
      </c>
      <c r="BJ167" s="213">
        <f t="shared" ref="BJ167" si="2851">BI167*BJ166</f>
        <v>1</v>
      </c>
      <c r="BK167" s="213">
        <f t="shared" ref="BK167" si="2852">BJ167*BK166</f>
        <v>1</v>
      </c>
      <c r="BL167" s="213">
        <f t="shared" ref="BL167" si="2853">BK167*BL166</f>
        <v>1</v>
      </c>
      <c r="BM167" s="213">
        <f t="shared" ref="BM167" si="2854">BL167*BM166</f>
        <v>1</v>
      </c>
      <c r="BN167" s="213">
        <f t="shared" ref="BN167" si="2855">BM167*BN166</f>
        <v>1</v>
      </c>
      <c r="BO167" s="213">
        <f t="shared" ref="BO167" si="2856">BN167*BO166</f>
        <v>1</v>
      </c>
      <c r="BP167" s="213">
        <f t="shared" ref="BP167" si="2857">BO167*BP166</f>
        <v>1</v>
      </c>
      <c r="BQ167" s="213">
        <f t="shared" ref="BQ167" si="2858">BP167*BQ166</f>
        <v>1</v>
      </c>
      <c r="BR167" s="213">
        <f t="shared" ref="BR167" si="2859">BQ167*BR166</f>
        <v>1</v>
      </c>
      <c r="BS167" s="213">
        <f t="shared" ref="BS167" si="2860">BR167*BS166</f>
        <v>1</v>
      </c>
      <c r="BT167" s="213">
        <f t="shared" ref="BT167" si="2861">BS167*BT166</f>
        <v>1</v>
      </c>
      <c r="BU167" s="213">
        <f t="shared" ref="BU167" si="2862">BT167*BU166</f>
        <v>1</v>
      </c>
      <c r="BV167" s="213">
        <f t="shared" ref="BV167" si="2863">BU167*BV166</f>
        <v>1</v>
      </c>
      <c r="BW167" s="213">
        <f t="shared" ref="BW167" si="2864">BV167*BW166</f>
        <v>1</v>
      </c>
      <c r="BX167" s="213">
        <f t="shared" ref="BX167" si="2865">BW167*BX166</f>
        <v>1</v>
      </c>
      <c r="BY167" s="213">
        <f t="shared" ref="BY167" si="2866">BX167*BY166</f>
        <v>1</v>
      </c>
      <c r="BZ167" s="213">
        <f t="shared" ref="BZ167" si="2867">BY167*BZ166</f>
        <v>1</v>
      </c>
      <c r="CA167" s="213">
        <f t="shared" ref="CA167" si="2868">BZ167*CA166</f>
        <v>1</v>
      </c>
      <c r="CB167" s="213">
        <f t="shared" ref="CB167" si="2869">CA167*CB166</f>
        <v>1</v>
      </c>
      <c r="CC167" s="213">
        <f t="shared" ref="CC167" si="2870">CB167*CC166</f>
        <v>1</v>
      </c>
      <c r="CD167" s="213">
        <f t="shared" ref="CD167" si="2871">CC167*CD166</f>
        <v>1</v>
      </c>
      <c r="CE167" s="213">
        <f t="shared" ref="CE167" si="2872">CD167*CE166</f>
        <v>1</v>
      </c>
      <c r="CF167" s="213">
        <f t="shared" ref="CF167" si="2873">CE167*CF166</f>
        <v>1</v>
      </c>
      <c r="CG167" s="213">
        <f t="shared" ref="CG167" si="2874">CF167*CG166</f>
        <v>1</v>
      </c>
      <c r="CH167" s="213">
        <f t="shared" ref="CH167" si="2875">CG167*CH166</f>
        <v>1</v>
      </c>
      <c r="CI167" s="213">
        <f t="shared" ref="CI167" si="2876">CH167*CI166</f>
        <v>1</v>
      </c>
      <c r="CJ167" s="213">
        <f t="shared" ref="CJ167" si="2877">CI167*CJ166</f>
        <v>1</v>
      </c>
      <c r="CK167" s="213">
        <f t="shared" ref="CK167" si="2878">CJ167*CK166</f>
        <v>1</v>
      </c>
      <c r="CL167" s="213">
        <f t="shared" ref="CL167" si="2879">CK167*CL166</f>
        <v>1</v>
      </c>
      <c r="CM167" s="213">
        <f t="shared" ref="CM167" si="2880">CL167*CM166</f>
        <v>1</v>
      </c>
      <c r="CN167" s="213">
        <f t="shared" ref="CN167" si="2881">CM167*CN166</f>
        <v>1</v>
      </c>
      <c r="CO167" s="213">
        <f t="shared" ref="CO167" si="2882">CN167*CO166</f>
        <v>1</v>
      </c>
      <c r="CP167" s="213">
        <f t="shared" ref="CP167" si="2883">CO167*CP166</f>
        <v>1</v>
      </c>
      <c r="CQ167" s="213">
        <f t="shared" ref="CQ167" si="2884">CP167*CQ166</f>
        <v>1</v>
      </c>
      <c r="CR167" s="213">
        <f t="shared" ref="CR167" si="2885">CQ167*CR166</f>
        <v>1</v>
      </c>
      <c r="CS167" s="213">
        <f t="shared" ref="CS167" si="2886">CR167*CS166</f>
        <v>1</v>
      </c>
      <c r="CT167" s="213">
        <f t="shared" ref="CT167" si="2887">CS167*CT166</f>
        <v>1</v>
      </c>
      <c r="CU167" s="213">
        <f t="shared" ref="CU167" si="2888">CT167*CU166</f>
        <v>1</v>
      </c>
      <c r="CV167" s="213">
        <f t="shared" ref="CV167" si="2889">CU167*CV166</f>
        <v>1</v>
      </c>
      <c r="CW167" s="213">
        <f t="shared" ref="CW167" si="2890">CV167*CW166</f>
        <v>1</v>
      </c>
      <c r="CX167" s="213">
        <f t="shared" ref="CX167" si="2891">CW167*CX166</f>
        <v>1</v>
      </c>
      <c r="CY167" s="213">
        <f t="shared" ref="CY167" si="2892">CX167*CY166</f>
        <v>1</v>
      </c>
      <c r="CZ167" s="213">
        <f t="shared" ref="CZ167" si="2893">CY167*CZ166</f>
        <v>1</v>
      </c>
      <c r="DA167" s="213">
        <f t="shared" ref="DA167" si="2894">CZ167*DA166</f>
        <v>1</v>
      </c>
      <c r="DB167" s="213">
        <f t="shared" ref="DB167" si="2895">DA167*DB166</f>
        <v>1</v>
      </c>
      <c r="DC167" s="213">
        <f t="shared" ref="DC167" si="2896">DB167*DC166</f>
        <v>1</v>
      </c>
      <c r="DD167" s="213">
        <f t="shared" ref="DD167" si="2897">DC167*DD166</f>
        <v>1</v>
      </c>
      <c r="DE167" s="213">
        <f t="shared" ref="DE167" si="2898">DD167*DE166</f>
        <v>1</v>
      </c>
      <c r="DF167" s="213">
        <f t="shared" ref="DF167" si="2899">DE167*DF166</f>
        <v>1</v>
      </c>
      <c r="DG167" s="213">
        <f t="shared" ref="DG167" si="2900">DF167*DG166</f>
        <v>1</v>
      </c>
      <c r="DH167" s="213">
        <f t="shared" ref="DH167" si="2901">DG167*DH166</f>
        <v>1</v>
      </c>
      <c r="DI167" s="213">
        <f t="shared" ref="DI167" si="2902">DH167*DI166</f>
        <v>1</v>
      </c>
      <c r="DJ167" s="213">
        <f t="shared" ref="DJ167" si="2903">DI167*DJ166</f>
        <v>1</v>
      </c>
      <c r="DK167" s="213">
        <f t="shared" ref="DK167" si="2904">DJ167*DK166</f>
        <v>1</v>
      </c>
      <c r="DL167" s="213">
        <f t="shared" ref="DL167" si="2905">DK167*DL166</f>
        <v>1</v>
      </c>
      <c r="DM167" s="213">
        <f t="shared" ref="DM167" si="2906">DL167*DM166</f>
        <v>1</v>
      </c>
      <c r="DN167" s="213">
        <f t="shared" ref="DN167" si="2907">DM167*DN166</f>
        <v>1</v>
      </c>
      <c r="DO167" s="213">
        <f t="shared" ref="DO167" si="2908">DN167*DO166</f>
        <v>1</v>
      </c>
      <c r="DP167" s="213">
        <f t="shared" ref="DP167" si="2909">DO167*DP166</f>
        <v>1</v>
      </c>
      <c r="DQ167" s="213">
        <f t="shared" ref="DQ167" si="2910">DP167*DQ166</f>
        <v>1</v>
      </c>
      <c r="DR167" s="213">
        <f t="shared" ref="DR167" si="2911">DQ167*DR166</f>
        <v>1</v>
      </c>
      <c r="DS167" s="213">
        <f t="shared" ref="DS167" si="2912">DR167*DS166</f>
        <v>1</v>
      </c>
      <c r="DT167" s="213">
        <f t="shared" ref="DT167" si="2913">DS167*DT166</f>
        <v>1</v>
      </c>
      <c r="DU167" s="213">
        <f t="shared" ref="DU167" si="2914">DT167*DU166</f>
        <v>1</v>
      </c>
      <c r="DV167" s="213">
        <f t="shared" ref="DV167" si="2915">DU167*DV166</f>
        <v>1</v>
      </c>
      <c r="DW167" s="213">
        <f t="shared" ref="DW167" si="2916">DV167*DW166</f>
        <v>1</v>
      </c>
      <c r="DX167" s="213">
        <f t="shared" ref="DX167" si="2917">DW167*DX166</f>
        <v>1</v>
      </c>
      <c r="DY167" s="213">
        <f t="shared" ref="DY167" si="2918">DX167*DY166</f>
        <v>1</v>
      </c>
      <c r="DZ167" s="213">
        <f t="shared" ref="DZ167" si="2919">DY167*DZ166</f>
        <v>1</v>
      </c>
      <c r="EA167" s="213">
        <f t="shared" ref="EA167" si="2920">DZ167*EA166</f>
        <v>1</v>
      </c>
      <c r="EB167" s="213">
        <f t="shared" ref="EB167" si="2921">EA167*EB166</f>
        <v>1</v>
      </c>
      <c r="EC167" s="213">
        <f t="shared" ref="EC167" si="2922">EB167*EC166</f>
        <v>1</v>
      </c>
      <c r="ED167" s="213">
        <f t="shared" ref="ED167" si="2923">EC167*ED166</f>
        <v>1</v>
      </c>
      <c r="EE167" s="213">
        <f t="shared" ref="EE167" si="2924">ED167*EE166</f>
        <v>1</v>
      </c>
      <c r="EF167" s="213">
        <f t="shared" ref="EF167" si="2925">EE167*EF166</f>
        <v>1</v>
      </c>
      <c r="EG167" s="213">
        <f t="shared" ref="EG167" si="2926">EF167*EG166</f>
        <v>1</v>
      </c>
      <c r="EH167" s="213">
        <f t="shared" ref="EH167" si="2927">EG167*EH166</f>
        <v>1</v>
      </c>
      <c r="EI167" s="213">
        <f t="shared" ref="EI167" si="2928">EH167*EI166</f>
        <v>1</v>
      </c>
      <c r="EJ167" s="213">
        <f t="shared" ref="EJ167" si="2929">EI167*EJ166</f>
        <v>1</v>
      </c>
      <c r="EK167" s="213">
        <f t="shared" ref="EK167" si="2930">EJ167*EK166</f>
        <v>1</v>
      </c>
      <c r="EL167" s="213">
        <f t="shared" ref="EL167" si="2931">EK167*EL166</f>
        <v>1</v>
      </c>
      <c r="EM167" s="213">
        <f t="shared" ref="EM167" si="2932">EL167*EM166</f>
        <v>1</v>
      </c>
      <c r="EN167" s="213">
        <f t="shared" ref="EN167" si="2933">EM167*EN166</f>
        <v>1</v>
      </c>
      <c r="EO167" s="213">
        <f t="shared" ref="EO167" si="2934">EN167*EO166</f>
        <v>1</v>
      </c>
      <c r="EP167" s="213">
        <f t="shared" ref="EP167" si="2935">EO167*EP166</f>
        <v>1</v>
      </c>
      <c r="EQ167" s="213">
        <f t="shared" ref="EQ167" si="2936">EP167*EQ166</f>
        <v>1</v>
      </c>
      <c r="ER167" s="213">
        <f t="shared" ref="ER167" si="2937">EQ167*ER166</f>
        <v>1</v>
      </c>
      <c r="ES167" s="213">
        <f t="shared" ref="ES167" si="2938">ER167*ES166</f>
        <v>1</v>
      </c>
      <c r="ET167" s="213">
        <f t="shared" ref="ET167" si="2939">ES167*ET166</f>
        <v>1</v>
      </c>
      <c r="EU167" s="213">
        <f t="shared" ref="EU167" si="2940">ET167*EU166</f>
        <v>1</v>
      </c>
      <c r="EV167" s="213">
        <f t="shared" ref="EV167" si="2941">EU167*EV166</f>
        <v>1</v>
      </c>
      <c r="EW167" s="213">
        <f t="shared" ref="EW167" si="2942">EV167*EW166</f>
        <v>1</v>
      </c>
      <c r="EX167" s="213">
        <f t="shared" ref="EX167" si="2943">EW167*EX166</f>
        <v>1</v>
      </c>
      <c r="EY167" s="213">
        <f t="shared" ref="EY167" si="2944">EX167*EY166</f>
        <v>1</v>
      </c>
      <c r="EZ167" s="213">
        <f t="shared" ref="EZ167" si="2945">EY167*EZ166</f>
        <v>1</v>
      </c>
      <c r="FA167" s="213">
        <f t="shared" ref="FA167" si="2946">EZ167*FA166</f>
        <v>1</v>
      </c>
      <c r="FB167" s="213">
        <f t="shared" ref="FB167" si="2947">FA167*FB166</f>
        <v>1</v>
      </c>
      <c r="FC167" s="213">
        <f t="shared" ref="FC167" si="2948">FB167*FC166</f>
        <v>1</v>
      </c>
      <c r="FD167" s="213">
        <f t="shared" ref="FD167" si="2949">FC167*FD166</f>
        <v>1</v>
      </c>
      <c r="FE167" s="213">
        <f t="shared" ref="FE167" si="2950">FD167*FE166</f>
        <v>1</v>
      </c>
      <c r="FF167" s="213">
        <f t="shared" ref="FF167" si="2951">FE167*FF166</f>
        <v>1</v>
      </c>
      <c r="FG167" s="213">
        <f t="shared" ref="FG167" si="2952">FF167*FG166</f>
        <v>1</v>
      </c>
      <c r="FH167" s="213">
        <f t="shared" ref="FH167" si="2953">FG167*FH166</f>
        <v>1</v>
      </c>
      <c r="FI167" s="213">
        <f t="shared" ref="FI167" si="2954">FH167*FI166</f>
        <v>1</v>
      </c>
      <c r="FJ167" s="213">
        <f t="shared" ref="FJ167" si="2955">FI167*FJ166</f>
        <v>1</v>
      </c>
      <c r="FK167" s="213">
        <f t="shared" ref="FK167" si="2956">FJ167*FK166</f>
        <v>1</v>
      </c>
      <c r="FL167" s="213">
        <f t="shared" ref="FL167" si="2957">FK167*FL166</f>
        <v>1</v>
      </c>
      <c r="FM167" s="213">
        <f t="shared" ref="FM167" si="2958">FL167*FM166</f>
        <v>1</v>
      </c>
      <c r="FN167" s="213">
        <f t="shared" ref="FN167" si="2959">FM167*FN166</f>
        <v>1</v>
      </c>
      <c r="FO167" s="213">
        <f t="shared" ref="FO167" si="2960">FN167*FO166</f>
        <v>1</v>
      </c>
      <c r="FP167" s="213">
        <f t="shared" ref="FP167" si="2961">FO167*FP166</f>
        <v>1</v>
      </c>
      <c r="FQ167" s="213">
        <f t="shared" ref="FQ167" si="2962">FP167*FQ166</f>
        <v>1</v>
      </c>
      <c r="FR167" s="213">
        <f t="shared" ref="FR167" si="2963">FQ167*FR166</f>
        <v>1</v>
      </c>
      <c r="FS167" s="213">
        <f t="shared" ref="FS167" si="2964">FR167*FS166</f>
        <v>1</v>
      </c>
      <c r="FT167" s="213">
        <f t="shared" ref="FT167" si="2965">FS167*FT166</f>
        <v>1</v>
      </c>
      <c r="FU167" s="213">
        <f t="shared" ref="FU167" si="2966">FT167*FU166</f>
        <v>1</v>
      </c>
      <c r="FV167" s="213">
        <f t="shared" ref="FV167" si="2967">FU167*FV166</f>
        <v>1</v>
      </c>
      <c r="FW167" s="213">
        <f t="shared" ref="FW167" si="2968">FV167*FW166</f>
        <v>1</v>
      </c>
      <c r="FX167" s="213">
        <f t="shared" ref="FX167" si="2969">FW167*FX166</f>
        <v>1</v>
      </c>
      <c r="FY167" s="213">
        <f t="shared" ref="FY167" si="2970">FX167*FY166</f>
        <v>1</v>
      </c>
      <c r="FZ167" s="213">
        <f t="shared" ref="FZ167" si="2971">FY167*FZ166</f>
        <v>1</v>
      </c>
      <c r="GA167" s="213">
        <f t="shared" ref="GA167" si="2972">FZ167*GA166</f>
        <v>1</v>
      </c>
      <c r="GB167" s="213">
        <f t="shared" ref="GB167" si="2973">GA167*GB166</f>
        <v>1</v>
      </c>
      <c r="GC167" s="213">
        <f t="shared" ref="GC167" si="2974">GB167*GC166</f>
        <v>1</v>
      </c>
      <c r="GD167" s="213">
        <f t="shared" ref="GD167" si="2975">GC167*GD166</f>
        <v>1</v>
      </c>
      <c r="GE167" s="213">
        <f t="shared" ref="GE167" si="2976">GD167*GE166</f>
        <v>1</v>
      </c>
      <c r="GF167" s="213">
        <f t="shared" ref="GF167" si="2977">GE167*GF166</f>
        <v>1</v>
      </c>
      <c r="GG167" s="213">
        <f t="shared" ref="GG167" si="2978">GF167*GG166</f>
        <v>1</v>
      </c>
      <c r="GH167" s="213">
        <f t="shared" ref="GH167" si="2979">GG167*GH166</f>
        <v>1</v>
      </c>
      <c r="GI167" s="213">
        <f t="shared" ref="GI167" si="2980">GH167*GI166</f>
        <v>1</v>
      </c>
      <c r="GJ167" s="213">
        <f t="shared" ref="GJ167" si="2981">GI167*GJ166</f>
        <v>1</v>
      </c>
      <c r="GK167" s="213">
        <f t="shared" ref="GK167" si="2982">GJ167*GK166</f>
        <v>1</v>
      </c>
      <c r="GL167" s="213">
        <f t="shared" ref="GL167" si="2983">GK167*GL166</f>
        <v>1</v>
      </c>
      <c r="GM167" s="213">
        <f t="shared" ref="GM167" si="2984">GL167*GM166</f>
        <v>1</v>
      </c>
      <c r="GN167" s="213">
        <f t="shared" ref="GN167" si="2985">GM167*GN166</f>
        <v>1</v>
      </c>
      <c r="GO167" s="213">
        <f t="shared" ref="GO167" si="2986">GN167*GO166</f>
        <v>1</v>
      </c>
      <c r="GP167" s="213">
        <f t="shared" ref="GP167" si="2987">GO167*GP166</f>
        <v>1</v>
      </c>
      <c r="GQ167" s="213">
        <f t="shared" ref="GQ167" si="2988">GP167*GQ166</f>
        <v>1</v>
      </c>
    </row>
    <row r="168" spans="2:199" s="315" customFormat="1" outlineLevel="1">
      <c r="B168" s="182" t="s">
        <v>415</v>
      </c>
      <c r="C168" s="315">
        <v>1</v>
      </c>
      <c r="D168" s="168"/>
      <c r="E168" s="213">
        <f>IF(E142&gt;$C147,(1+E149)*C168,1)</f>
        <v>1</v>
      </c>
      <c r="F168" s="213">
        <f t="shared" ref="F168" si="2989">IF(F142&gt;$C147,(1+F149)*D168,1)</f>
        <v>1</v>
      </c>
      <c r="G168" s="213">
        <f t="shared" ref="G168" si="2990">IF(G142&gt;$C147,(1+G149)*E168,1)</f>
        <v>1</v>
      </c>
      <c r="H168" s="213">
        <f t="shared" ref="H168" si="2991">IF(H142&gt;$C147,(1+H149)*F168,1)</f>
        <v>1</v>
      </c>
      <c r="I168" s="213">
        <f t="shared" ref="I168" si="2992">IF(I142&gt;$C147,(1+I149)*G168,1)</f>
        <v>1</v>
      </c>
      <c r="J168" s="213">
        <f t="shared" ref="J168" si="2993">IF(J142&gt;$C147,(1+J149)*H168,1)</f>
        <v>1</v>
      </c>
      <c r="K168" s="213">
        <f t="shared" ref="K168" si="2994">IF(K142&gt;$C147,(1+K149)*I168,1)</f>
        <v>1</v>
      </c>
      <c r="L168" s="213">
        <f t="shared" ref="L168" si="2995">IF(L142&gt;$C147,(1+L149)*J168,1)</f>
        <v>1</v>
      </c>
      <c r="M168" s="213">
        <f t="shared" ref="M168" si="2996">IF(M142&gt;$C147,(1+M149)*K168,1)</f>
        <v>1</v>
      </c>
      <c r="N168" s="213">
        <f t="shared" ref="N168" si="2997">IF(N142&gt;$C147,(1+N149)*L168,1)</f>
        <v>1</v>
      </c>
      <c r="O168" s="213">
        <f t="shared" ref="O168" si="2998">IF(O142&gt;$C147,(1+O149)*M168,1)</f>
        <v>1</v>
      </c>
      <c r="P168" s="213">
        <f t="shared" ref="P168" si="2999">IF(P142&gt;$C147,(1+P149)*N168,1)</f>
        <v>1</v>
      </c>
      <c r="Q168" s="213">
        <f t="shared" ref="Q168" si="3000">IF(Q142&gt;$C147,(1+Q149)*O168,1)</f>
        <v>1</v>
      </c>
      <c r="R168" s="213">
        <f t="shared" ref="R168" si="3001">IF(R142&gt;$C147,(1+R149)*P168,1)</f>
        <v>1</v>
      </c>
      <c r="S168" s="213">
        <f t="shared" ref="S168" si="3002">IF(S142&gt;$C147,(1+S149)*Q168,1)</f>
        <v>1</v>
      </c>
      <c r="T168" s="213">
        <f t="shared" ref="T168" si="3003">IF(T142&gt;$C147,(1+T149)*R168,1)</f>
        <v>1</v>
      </c>
      <c r="U168" s="213">
        <f t="shared" ref="U168" si="3004">IF(U142&gt;$C147,(1+U149)*S168,1)</f>
        <v>1</v>
      </c>
      <c r="V168" s="213">
        <f t="shared" ref="V168" si="3005">IF(V142&gt;$C147,(1+V149)*T168,1)</f>
        <v>1</v>
      </c>
      <c r="W168" s="213">
        <f t="shared" ref="W168" si="3006">IF(W142&gt;$C147,(1+W149)*U168,1)</f>
        <v>1</v>
      </c>
      <c r="X168" s="213">
        <f t="shared" ref="X168" si="3007">IF(X142&gt;$C147,(1+X149)*V168,1)</f>
        <v>1</v>
      </c>
      <c r="Y168" s="213">
        <f t="shared" ref="Y168" si="3008">IF(Y142&gt;$C147,(1+Y149)*W168,1)</f>
        <v>1</v>
      </c>
      <c r="Z168" s="213">
        <f t="shared" ref="Z168" si="3009">IF(Z142&gt;$C147,(1+Z149)*X168,1)</f>
        <v>1</v>
      </c>
      <c r="AA168" s="213">
        <f t="shared" ref="AA168" si="3010">IF(AA142&gt;$C147,(1+AA149)*Y168,1)</f>
        <v>1</v>
      </c>
      <c r="AB168" s="213">
        <f t="shared" ref="AB168" si="3011">IF(AB142&gt;$C147,(1+AB149)*Z168,1)</f>
        <v>1</v>
      </c>
      <c r="AC168" s="213">
        <f t="shared" ref="AC168" si="3012">IF(AC142&gt;$C147,(1+AC149)*AA168,1)</f>
        <v>1</v>
      </c>
      <c r="AD168" s="213">
        <f t="shared" ref="AD168" si="3013">IF(AD142&gt;$C147,(1+AD149)*AB168,1)</f>
        <v>1</v>
      </c>
      <c r="AE168" s="213">
        <f t="shared" ref="AE168" si="3014">IF(AE142&gt;$C147,(1+AE149)*AC168,1)</f>
        <v>1</v>
      </c>
      <c r="AF168" s="213">
        <f t="shared" ref="AF168" si="3015">IF(AF142&gt;$C147,(1+AF149)*AD168,1)</f>
        <v>1</v>
      </c>
      <c r="AG168" s="213">
        <f t="shared" ref="AG168" si="3016">IF(AG142&gt;$C147,(1+AG149)*AE168,1)</f>
        <v>1</v>
      </c>
      <c r="AH168" s="213">
        <f t="shared" ref="AH168" si="3017">IF(AH142&gt;$C147,(1+AH149)*AF168,1)</f>
        <v>1</v>
      </c>
      <c r="AI168" s="213">
        <f t="shared" ref="AI168" si="3018">IF(AI142&gt;$C147,(1+AI149)*AG168,1)</f>
        <v>1</v>
      </c>
      <c r="AJ168" s="213">
        <f t="shared" ref="AJ168" si="3019">IF(AJ142&gt;$C147,(1+AJ149)*AH168,1)</f>
        <v>1</v>
      </c>
      <c r="AK168" s="213">
        <f t="shared" ref="AK168" si="3020">IF(AK142&gt;$C147,(1+AK149)*AI168,1)</f>
        <v>1</v>
      </c>
      <c r="AL168" s="213">
        <f t="shared" ref="AL168" si="3021">IF(AL142&gt;$C147,(1+AL149)*AJ168,1)</f>
        <v>1</v>
      </c>
      <c r="AM168" s="213">
        <f t="shared" ref="AM168" si="3022">IF(AM142&gt;$C147,(1+AM149)*AK168,1)</f>
        <v>1</v>
      </c>
      <c r="AN168" s="213">
        <f t="shared" ref="AN168" si="3023">IF(AN142&gt;$C147,(1+AN149)*AL168,1)</f>
        <v>1</v>
      </c>
      <c r="AO168" s="213">
        <f t="shared" ref="AO168" si="3024">IF(AO142&gt;$C147,(1+AO149)*AM168,1)</f>
        <v>1</v>
      </c>
      <c r="AP168" s="213">
        <f t="shared" ref="AP168" si="3025">IF(AP142&gt;$C147,(1+AP149)*AN168,1)</f>
        <v>1</v>
      </c>
      <c r="AQ168" s="213">
        <f t="shared" ref="AQ168" si="3026">IF(AQ142&gt;$C147,(1+AQ149)*AO168,1)</f>
        <v>1</v>
      </c>
      <c r="AR168" s="213">
        <f t="shared" ref="AR168" si="3027">IF(AR142&gt;$C147,(1+AR149)*AP168,1)</f>
        <v>1</v>
      </c>
      <c r="AS168" s="213">
        <f t="shared" ref="AS168" si="3028">IF(AS142&gt;$C147,(1+AS149)*AQ168,1)</f>
        <v>1</v>
      </c>
      <c r="AT168" s="213">
        <f t="shared" ref="AT168" si="3029">IF(AT142&gt;$C147,(1+AT149)*AR168,1)</f>
        <v>1</v>
      </c>
      <c r="AU168" s="213">
        <f t="shared" ref="AU168" si="3030">IF(AU142&gt;$C147,(1+AU149)*AS168,1)</f>
        <v>1</v>
      </c>
      <c r="AV168" s="213">
        <f t="shared" ref="AV168" si="3031">IF(AV142&gt;$C147,(1+AV149)*AT168,1)</f>
        <v>1</v>
      </c>
      <c r="AW168" s="213">
        <f t="shared" ref="AW168" si="3032">IF(AW142&gt;$C147,(1+AW149)*AU168,1)</f>
        <v>1</v>
      </c>
      <c r="AX168" s="213">
        <f t="shared" ref="AX168" si="3033">IF(AX142&gt;$C147,(1+AX149)*AV168,1)</f>
        <v>1</v>
      </c>
      <c r="AY168" s="213">
        <f t="shared" ref="AY168" si="3034">IF(AY142&gt;$C147,(1+AY149)*AW168,1)</f>
        <v>1</v>
      </c>
      <c r="AZ168" s="213">
        <f t="shared" ref="AZ168" si="3035">IF(AZ142&gt;$C147,(1+AZ149)*AX168,1)</f>
        <v>1</v>
      </c>
      <c r="BA168" s="213">
        <f t="shared" ref="BA168" si="3036">IF(BA142&gt;$C147,(1+BA149)*AY168,1)</f>
        <v>1</v>
      </c>
      <c r="BB168" s="213">
        <f t="shared" ref="BB168" si="3037">IF(BB142&gt;$C147,(1+BB149)*AZ168,1)</f>
        <v>1</v>
      </c>
      <c r="BC168" s="213">
        <f t="shared" ref="BC168" si="3038">IF(BC142&gt;$C147,(1+BC149)*BA168,1)</f>
        <v>1</v>
      </c>
      <c r="BD168" s="213">
        <f t="shared" ref="BD168" si="3039">IF(BD142&gt;$C147,(1+BD149)*BB168,1)</f>
        <v>1</v>
      </c>
      <c r="BE168" s="213">
        <f t="shared" ref="BE168" si="3040">IF(BE142&gt;$C147,(1+BE149)*BC168,1)</f>
        <v>1</v>
      </c>
      <c r="BF168" s="213">
        <f t="shared" ref="BF168" si="3041">IF(BF142&gt;$C147,(1+BF149)*BD168,1)</f>
        <v>1</v>
      </c>
      <c r="BG168" s="213">
        <f t="shared" ref="BG168" si="3042">IF(BG142&gt;$C147,(1+BG149)*BE168,1)</f>
        <v>1</v>
      </c>
      <c r="BH168" s="213">
        <f t="shared" ref="BH168" si="3043">IF(BH142&gt;$C147,(1+BH149)*BF168,1)</f>
        <v>1</v>
      </c>
      <c r="BI168" s="213">
        <f t="shared" ref="BI168" si="3044">IF(BI142&gt;$C147,(1+BI149)*BG168,1)</f>
        <v>1</v>
      </c>
      <c r="BJ168" s="213">
        <f t="shared" ref="BJ168" si="3045">IF(BJ142&gt;$C147,(1+BJ149)*BH168,1)</f>
        <v>1</v>
      </c>
      <c r="BK168" s="213">
        <f t="shared" ref="BK168" si="3046">IF(BK142&gt;$C147,(1+BK149)*BI168,1)</f>
        <v>1</v>
      </c>
      <c r="BL168" s="213">
        <f t="shared" ref="BL168" si="3047">IF(BL142&gt;$C147,(1+BL149)*BJ168,1)</f>
        <v>1</v>
      </c>
      <c r="BM168" s="213">
        <f t="shared" ref="BM168" si="3048">IF(BM142&gt;$C147,(1+BM149)*BK168,1)</f>
        <v>1</v>
      </c>
      <c r="BN168" s="213">
        <f t="shared" ref="BN168" si="3049">IF(BN142&gt;$C147,(1+BN149)*BL168,1)</f>
        <v>1</v>
      </c>
      <c r="BO168" s="213">
        <f t="shared" ref="BO168" si="3050">IF(BO142&gt;$C147,(1+BO149)*BM168,1)</f>
        <v>1</v>
      </c>
      <c r="BP168" s="213">
        <f t="shared" ref="BP168" si="3051">IF(BP142&gt;$C147,(1+BP149)*BN168,1)</f>
        <v>1</v>
      </c>
      <c r="BQ168" s="213">
        <f t="shared" ref="BQ168" si="3052">IF(BQ142&gt;$C147,(1+BQ149)*BO168,1)</f>
        <v>1</v>
      </c>
      <c r="BR168" s="213">
        <f t="shared" ref="BR168" si="3053">IF(BR142&gt;$C147,(1+BR149)*BP168,1)</f>
        <v>1</v>
      </c>
      <c r="BS168" s="213">
        <f t="shared" ref="BS168" si="3054">IF(BS142&gt;$C147,(1+BS149)*BQ168,1)</f>
        <v>1</v>
      </c>
      <c r="BT168" s="213">
        <f t="shared" ref="BT168" si="3055">IF(BT142&gt;$C147,(1+BT149)*BR168,1)</f>
        <v>1</v>
      </c>
      <c r="BU168" s="213">
        <f t="shared" ref="BU168" si="3056">IF(BU142&gt;$C147,(1+BU149)*BS168,1)</f>
        <v>1</v>
      </c>
      <c r="BV168" s="213">
        <f t="shared" ref="BV168" si="3057">IF(BV142&gt;$C147,(1+BV149)*BT168,1)</f>
        <v>1</v>
      </c>
      <c r="BW168" s="213">
        <f t="shared" ref="BW168" si="3058">IF(BW142&gt;$C147,(1+BW149)*BU168,1)</f>
        <v>1</v>
      </c>
      <c r="BX168" s="213">
        <f t="shared" ref="BX168" si="3059">IF(BX142&gt;$C147,(1+BX149)*BV168,1)</f>
        <v>1</v>
      </c>
      <c r="BY168" s="213">
        <f t="shared" ref="BY168" si="3060">IF(BY142&gt;$C147,(1+BY149)*BW168,1)</f>
        <v>1</v>
      </c>
      <c r="BZ168" s="213">
        <f t="shared" ref="BZ168" si="3061">IF(BZ142&gt;$C147,(1+BZ149)*BX168,1)</f>
        <v>1</v>
      </c>
      <c r="CA168" s="213">
        <f t="shared" ref="CA168" si="3062">IF(CA142&gt;$C147,(1+CA149)*BY168,1)</f>
        <v>1</v>
      </c>
      <c r="CB168" s="213">
        <f t="shared" ref="CB168" si="3063">IF(CB142&gt;$C147,(1+CB149)*BZ168,1)</f>
        <v>1</v>
      </c>
      <c r="CC168" s="213">
        <f t="shared" ref="CC168" si="3064">IF(CC142&gt;$C147,(1+CC149)*CA168,1)</f>
        <v>1</v>
      </c>
      <c r="CD168" s="213">
        <f t="shared" ref="CD168" si="3065">IF(CD142&gt;$C147,(1+CD149)*CB168,1)</f>
        <v>1</v>
      </c>
      <c r="CE168" s="213">
        <f t="shared" ref="CE168" si="3066">IF(CE142&gt;$C147,(1+CE149)*CC168,1)</f>
        <v>1</v>
      </c>
      <c r="CF168" s="213">
        <f t="shared" ref="CF168" si="3067">IF(CF142&gt;$C147,(1+CF149)*CD168,1)</f>
        <v>1</v>
      </c>
      <c r="CG168" s="213">
        <f t="shared" ref="CG168" si="3068">IF(CG142&gt;$C147,(1+CG149)*CE168,1)</f>
        <v>1</v>
      </c>
      <c r="CH168" s="213">
        <f t="shared" ref="CH168" si="3069">IF(CH142&gt;$C147,(1+CH149)*CF168,1)</f>
        <v>1</v>
      </c>
      <c r="CI168" s="213">
        <f t="shared" ref="CI168" si="3070">IF(CI142&gt;$C147,(1+CI149)*CG168,1)</f>
        <v>1</v>
      </c>
      <c r="CJ168" s="213">
        <f t="shared" ref="CJ168" si="3071">IF(CJ142&gt;$C147,(1+CJ149)*CH168,1)</f>
        <v>1</v>
      </c>
      <c r="CK168" s="213">
        <f t="shared" ref="CK168" si="3072">IF(CK142&gt;$C147,(1+CK149)*CI168,1)</f>
        <v>1</v>
      </c>
      <c r="CL168" s="213">
        <f t="shared" ref="CL168" si="3073">IF(CL142&gt;$C147,(1+CL149)*CJ168,1)</f>
        <v>1</v>
      </c>
      <c r="CM168" s="213">
        <f t="shared" ref="CM168" si="3074">IF(CM142&gt;$C147,(1+CM149)*CK168,1)</f>
        <v>1</v>
      </c>
      <c r="CN168" s="213">
        <f t="shared" ref="CN168" si="3075">IF(CN142&gt;$C147,(1+CN149)*CL168,1)</f>
        <v>1</v>
      </c>
      <c r="CO168" s="213">
        <f t="shared" ref="CO168" si="3076">IF(CO142&gt;$C147,(1+CO149)*CM168,1)</f>
        <v>1</v>
      </c>
      <c r="CP168" s="213">
        <f t="shared" ref="CP168" si="3077">IF(CP142&gt;$C147,(1+CP149)*CN168,1)</f>
        <v>1</v>
      </c>
      <c r="CQ168" s="213">
        <f t="shared" ref="CQ168" si="3078">IF(CQ142&gt;$C147,(1+CQ149)*CO168,1)</f>
        <v>1</v>
      </c>
      <c r="CR168" s="213">
        <f t="shared" ref="CR168" si="3079">IF(CR142&gt;$C147,(1+CR149)*CP168,1)</f>
        <v>1</v>
      </c>
      <c r="CS168" s="213">
        <f t="shared" ref="CS168" si="3080">IF(CS142&gt;$C147,(1+CS149)*CQ168,1)</f>
        <v>1</v>
      </c>
      <c r="CT168" s="213">
        <f t="shared" ref="CT168" si="3081">IF(CT142&gt;$C147,(1+CT149)*CR168,1)</f>
        <v>1</v>
      </c>
      <c r="CU168" s="213">
        <f t="shared" ref="CU168" si="3082">IF(CU142&gt;$C147,(1+CU149)*CS168,1)</f>
        <v>1</v>
      </c>
      <c r="CV168" s="213">
        <f t="shared" ref="CV168" si="3083">IF(CV142&gt;$C147,(1+CV149)*CT168,1)</f>
        <v>1</v>
      </c>
      <c r="CW168" s="213">
        <f t="shared" ref="CW168" si="3084">IF(CW142&gt;$C147,(1+CW149)*CU168,1)</f>
        <v>1</v>
      </c>
      <c r="CX168" s="213">
        <f t="shared" ref="CX168" si="3085">IF(CX142&gt;$C147,(1+CX149)*CV168,1)</f>
        <v>1</v>
      </c>
      <c r="CY168" s="213">
        <f t="shared" ref="CY168" si="3086">IF(CY142&gt;$C147,(1+CY149)*CW168,1)</f>
        <v>1</v>
      </c>
      <c r="CZ168" s="213">
        <f t="shared" ref="CZ168" si="3087">IF(CZ142&gt;$C147,(1+CZ149)*CX168,1)</f>
        <v>1</v>
      </c>
      <c r="DA168" s="213">
        <f t="shared" ref="DA168" si="3088">IF(DA142&gt;$C147,(1+DA149)*CY168,1)</f>
        <v>1</v>
      </c>
      <c r="DB168" s="213">
        <f t="shared" ref="DB168" si="3089">IF(DB142&gt;$C147,(1+DB149)*CZ168,1)</f>
        <v>1</v>
      </c>
      <c r="DC168" s="213">
        <f t="shared" ref="DC168" si="3090">IF(DC142&gt;$C147,(1+DC149)*DA168,1)</f>
        <v>1</v>
      </c>
      <c r="DD168" s="213">
        <f t="shared" ref="DD168" si="3091">IF(DD142&gt;$C147,(1+DD149)*DB168,1)</f>
        <v>1</v>
      </c>
      <c r="DE168" s="213">
        <f t="shared" ref="DE168" si="3092">IF(DE142&gt;$C147,(1+DE149)*DC168,1)</f>
        <v>1</v>
      </c>
      <c r="DF168" s="213">
        <f t="shared" ref="DF168" si="3093">IF(DF142&gt;$C147,(1+DF149)*DD168,1)</f>
        <v>1</v>
      </c>
      <c r="DG168" s="213">
        <f t="shared" ref="DG168" si="3094">IF(DG142&gt;$C147,(1+DG149)*DE168,1)</f>
        <v>1</v>
      </c>
      <c r="DH168" s="213">
        <f t="shared" ref="DH168" si="3095">IF(DH142&gt;$C147,(1+DH149)*DF168,1)</f>
        <v>1</v>
      </c>
      <c r="DI168" s="213">
        <f t="shared" ref="DI168" si="3096">IF(DI142&gt;$C147,(1+DI149)*DG168,1)</f>
        <v>1</v>
      </c>
      <c r="DJ168" s="213">
        <f t="shared" ref="DJ168" si="3097">IF(DJ142&gt;$C147,(1+DJ149)*DH168,1)</f>
        <v>1</v>
      </c>
      <c r="DK168" s="213">
        <f t="shared" ref="DK168" si="3098">IF(DK142&gt;$C147,(1+DK149)*DI168,1)</f>
        <v>1</v>
      </c>
      <c r="DL168" s="213">
        <f t="shared" ref="DL168" si="3099">IF(DL142&gt;$C147,(1+DL149)*DJ168,1)</f>
        <v>1</v>
      </c>
      <c r="DM168" s="213">
        <f t="shared" ref="DM168" si="3100">IF(DM142&gt;$C147,(1+DM149)*DK168,1)</f>
        <v>1</v>
      </c>
      <c r="DN168" s="213">
        <f t="shared" ref="DN168" si="3101">IF(DN142&gt;$C147,(1+DN149)*DL168,1)</f>
        <v>1</v>
      </c>
      <c r="DO168" s="213">
        <f t="shared" ref="DO168" si="3102">IF(DO142&gt;$C147,(1+DO149)*DM168,1)</f>
        <v>1</v>
      </c>
      <c r="DP168" s="213">
        <f t="shared" ref="DP168" si="3103">IF(DP142&gt;$C147,(1+DP149)*DN168,1)</f>
        <v>1</v>
      </c>
      <c r="DQ168" s="213">
        <f t="shared" ref="DQ168" si="3104">IF(DQ142&gt;$C147,(1+DQ149)*DO168,1)</f>
        <v>1</v>
      </c>
      <c r="DR168" s="213">
        <f t="shared" ref="DR168" si="3105">IF(DR142&gt;$C147,(1+DR149)*DP168,1)</f>
        <v>1</v>
      </c>
      <c r="DS168" s="213">
        <f t="shared" ref="DS168" si="3106">IF(DS142&gt;$C147,(1+DS149)*DQ168,1)</f>
        <v>1</v>
      </c>
      <c r="DT168" s="213">
        <f t="shared" ref="DT168" si="3107">IF(DT142&gt;$C147,(1+DT149)*DR168,1)</f>
        <v>1</v>
      </c>
      <c r="DU168" s="213">
        <f t="shared" ref="DU168" si="3108">IF(DU142&gt;$C147,(1+DU149)*DS168,1)</f>
        <v>1</v>
      </c>
      <c r="DV168" s="213">
        <f t="shared" ref="DV168" si="3109">IF(DV142&gt;$C147,(1+DV149)*DT168,1)</f>
        <v>1</v>
      </c>
      <c r="DW168" s="213">
        <f t="shared" ref="DW168" si="3110">IF(DW142&gt;$C147,(1+DW149)*DU168,1)</f>
        <v>1</v>
      </c>
      <c r="DX168" s="213">
        <f t="shared" ref="DX168" si="3111">IF(DX142&gt;$C147,(1+DX149)*DV168,1)</f>
        <v>1</v>
      </c>
      <c r="DY168" s="213">
        <f t="shared" ref="DY168" si="3112">IF(DY142&gt;$C147,(1+DY149)*DW168,1)</f>
        <v>1</v>
      </c>
      <c r="DZ168" s="213">
        <f t="shared" ref="DZ168" si="3113">IF(DZ142&gt;$C147,(1+DZ149)*DX168,1)</f>
        <v>1</v>
      </c>
      <c r="EA168" s="213">
        <f t="shared" ref="EA168" si="3114">IF(EA142&gt;$C147,(1+EA149)*DY168,1)</f>
        <v>1</v>
      </c>
      <c r="EB168" s="213">
        <f t="shared" ref="EB168" si="3115">IF(EB142&gt;$C147,(1+EB149)*DZ168,1)</f>
        <v>1</v>
      </c>
      <c r="EC168" s="213">
        <f t="shared" ref="EC168" si="3116">IF(EC142&gt;$C147,(1+EC149)*EA168,1)</f>
        <v>1</v>
      </c>
      <c r="ED168" s="213">
        <f t="shared" ref="ED168" si="3117">IF(ED142&gt;$C147,(1+ED149)*EB168,1)</f>
        <v>1</v>
      </c>
      <c r="EE168" s="213">
        <f t="shared" ref="EE168" si="3118">IF(EE142&gt;$C147,(1+EE149)*EC168,1)</f>
        <v>1</v>
      </c>
      <c r="EF168" s="213">
        <f t="shared" ref="EF168" si="3119">IF(EF142&gt;$C147,(1+EF149)*ED168,1)</f>
        <v>1</v>
      </c>
      <c r="EG168" s="213">
        <f t="shared" ref="EG168" si="3120">IF(EG142&gt;$C147,(1+EG149)*EE168,1)</f>
        <v>1</v>
      </c>
      <c r="EH168" s="213">
        <f t="shared" ref="EH168" si="3121">IF(EH142&gt;$C147,(1+EH149)*EF168,1)</f>
        <v>1</v>
      </c>
      <c r="EI168" s="213">
        <f t="shared" ref="EI168" si="3122">IF(EI142&gt;$C147,(1+EI149)*EG168,1)</f>
        <v>1</v>
      </c>
      <c r="EJ168" s="213">
        <f t="shared" ref="EJ168" si="3123">IF(EJ142&gt;$C147,(1+EJ149)*EH168,1)</f>
        <v>1</v>
      </c>
      <c r="EK168" s="213">
        <f t="shared" ref="EK168" si="3124">IF(EK142&gt;$C147,(1+EK149)*EI168,1)</f>
        <v>1</v>
      </c>
      <c r="EL168" s="213">
        <f t="shared" ref="EL168" si="3125">IF(EL142&gt;$C147,(1+EL149)*EJ168,1)</f>
        <v>1</v>
      </c>
      <c r="EM168" s="213">
        <f t="shared" ref="EM168" si="3126">IF(EM142&gt;$C147,(1+EM149)*EK168,1)</f>
        <v>1</v>
      </c>
      <c r="EN168" s="213">
        <f t="shared" ref="EN168" si="3127">IF(EN142&gt;$C147,(1+EN149)*EL168,1)</f>
        <v>1</v>
      </c>
      <c r="EO168" s="213">
        <f t="shared" ref="EO168" si="3128">IF(EO142&gt;$C147,(1+EO149)*EM168,1)</f>
        <v>1</v>
      </c>
      <c r="EP168" s="213">
        <f t="shared" ref="EP168" si="3129">IF(EP142&gt;$C147,(1+EP149)*EN168,1)</f>
        <v>1</v>
      </c>
      <c r="EQ168" s="213">
        <f t="shared" ref="EQ168" si="3130">IF(EQ142&gt;$C147,(1+EQ149)*EO168,1)</f>
        <v>1</v>
      </c>
      <c r="ER168" s="213">
        <f t="shared" ref="ER168" si="3131">IF(ER142&gt;$C147,(1+ER149)*EP168,1)</f>
        <v>1</v>
      </c>
      <c r="ES168" s="213">
        <f t="shared" ref="ES168" si="3132">IF(ES142&gt;$C147,(1+ES149)*EQ168,1)</f>
        <v>1</v>
      </c>
      <c r="ET168" s="213">
        <f t="shared" ref="ET168" si="3133">IF(ET142&gt;$C147,(1+ET149)*ER168,1)</f>
        <v>1</v>
      </c>
      <c r="EU168" s="213">
        <f t="shared" ref="EU168" si="3134">IF(EU142&gt;$C147,(1+EU149)*ES168,1)</f>
        <v>1</v>
      </c>
      <c r="EV168" s="213">
        <f t="shared" ref="EV168" si="3135">IF(EV142&gt;$C147,(1+EV149)*ET168,1)</f>
        <v>1</v>
      </c>
      <c r="EW168" s="213">
        <f t="shared" ref="EW168" si="3136">IF(EW142&gt;$C147,(1+EW149)*EU168,1)</f>
        <v>1</v>
      </c>
      <c r="EX168" s="213">
        <f t="shared" ref="EX168" si="3137">IF(EX142&gt;$C147,(1+EX149)*EV168,1)</f>
        <v>1</v>
      </c>
      <c r="EY168" s="213">
        <f t="shared" ref="EY168" si="3138">IF(EY142&gt;$C147,(1+EY149)*EW168,1)</f>
        <v>1</v>
      </c>
      <c r="EZ168" s="213">
        <f t="shared" ref="EZ168" si="3139">IF(EZ142&gt;$C147,(1+EZ149)*EX168,1)</f>
        <v>1</v>
      </c>
      <c r="FA168" s="213">
        <f t="shared" ref="FA168" si="3140">IF(FA142&gt;$C147,(1+FA149)*EY168,1)</f>
        <v>1</v>
      </c>
      <c r="FB168" s="213">
        <f t="shared" ref="FB168" si="3141">IF(FB142&gt;$C147,(1+FB149)*EZ168,1)</f>
        <v>1</v>
      </c>
      <c r="FC168" s="213">
        <f t="shared" ref="FC168" si="3142">IF(FC142&gt;$C147,(1+FC149)*FA168,1)</f>
        <v>1</v>
      </c>
      <c r="FD168" s="213">
        <f t="shared" ref="FD168" si="3143">IF(FD142&gt;$C147,(1+FD149)*FB168,1)</f>
        <v>1</v>
      </c>
      <c r="FE168" s="213">
        <f t="shared" ref="FE168" si="3144">IF(FE142&gt;$C147,(1+FE149)*FC168,1)</f>
        <v>1</v>
      </c>
      <c r="FF168" s="213">
        <f t="shared" ref="FF168" si="3145">IF(FF142&gt;$C147,(1+FF149)*FD168,1)</f>
        <v>1</v>
      </c>
      <c r="FG168" s="213">
        <f t="shared" ref="FG168" si="3146">IF(FG142&gt;$C147,(1+FG149)*FE168,1)</f>
        <v>1</v>
      </c>
      <c r="FH168" s="213">
        <f t="shared" ref="FH168" si="3147">IF(FH142&gt;$C147,(1+FH149)*FF168,1)</f>
        <v>1</v>
      </c>
      <c r="FI168" s="213">
        <f t="shared" ref="FI168" si="3148">IF(FI142&gt;$C147,(1+FI149)*FG168,1)</f>
        <v>1</v>
      </c>
      <c r="FJ168" s="213">
        <f t="shared" ref="FJ168" si="3149">IF(FJ142&gt;$C147,(1+FJ149)*FH168,1)</f>
        <v>1</v>
      </c>
      <c r="FK168" s="213">
        <f t="shared" ref="FK168" si="3150">IF(FK142&gt;$C147,(1+FK149)*FI168,1)</f>
        <v>1</v>
      </c>
      <c r="FL168" s="213">
        <f t="shared" ref="FL168" si="3151">IF(FL142&gt;$C147,(1+FL149)*FJ168,1)</f>
        <v>1</v>
      </c>
      <c r="FM168" s="213">
        <f t="shared" ref="FM168" si="3152">IF(FM142&gt;$C147,(1+FM149)*FK168,1)</f>
        <v>1</v>
      </c>
      <c r="FN168" s="213">
        <f t="shared" ref="FN168" si="3153">IF(FN142&gt;$C147,(1+FN149)*FL168,1)</f>
        <v>1</v>
      </c>
      <c r="FO168" s="213">
        <f t="shared" ref="FO168" si="3154">IF(FO142&gt;$C147,(1+FO149)*FM168,1)</f>
        <v>1</v>
      </c>
      <c r="FP168" s="213">
        <f t="shared" ref="FP168" si="3155">IF(FP142&gt;$C147,(1+FP149)*FN168,1)</f>
        <v>1</v>
      </c>
      <c r="FQ168" s="213">
        <f t="shared" ref="FQ168" si="3156">IF(FQ142&gt;$C147,(1+FQ149)*FO168,1)</f>
        <v>1</v>
      </c>
      <c r="FR168" s="213">
        <f t="shared" ref="FR168" si="3157">IF(FR142&gt;$C147,(1+FR149)*FP168,1)</f>
        <v>1</v>
      </c>
      <c r="FS168" s="213">
        <f t="shared" ref="FS168" si="3158">IF(FS142&gt;$C147,(1+FS149)*FQ168,1)</f>
        <v>1</v>
      </c>
      <c r="FT168" s="213">
        <f t="shared" ref="FT168" si="3159">IF(FT142&gt;$C147,(1+FT149)*FR168,1)</f>
        <v>1</v>
      </c>
      <c r="FU168" s="213">
        <f t="shared" ref="FU168" si="3160">IF(FU142&gt;$C147,(1+FU149)*FS168,1)</f>
        <v>1</v>
      </c>
      <c r="FV168" s="213">
        <f t="shared" ref="FV168" si="3161">IF(FV142&gt;$C147,(1+FV149)*FT168,1)</f>
        <v>1</v>
      </c>
      <c r="FW168" s="213">
        <f t="shared" ref="FW168" si="3162">IF(FW142&gt;$C147,(1+FW149)*FU168,1)</f>
        <v>1</v>
      </c>
      <c r="FX168" s="213">
        <f t="shared" ref="FX168" si="3163">IF(FX142&gt;$C147,(1+FX149)*FV168,1)</f>
        <v>1</v>
      </c>
      <c r="FY168" s="213">
        <f t="shared" ref="FY168" si="3164">IF(FY142&gt;$C147,(1+FY149)*FW168,1)</f>
        <v>1</v>
      </c>
      <c r="FZ168" s="213">
        <f t="shared" ref="FZ168" si="3165">IF(FZ142&gt;$C147,(1+FZ149)*FX168,1)</f>
        <v>1</v>
      </c>
      <c r="GA168" s="213">
        <f t="shared" ref="GA168" si="3166">IF(GA142&gt;$C147,(1+GA149)*FY168,1)</f>
        <v>1</v>
      </c>
      <c r="GB168" s="213">
        <f t="shared" ref="GB168" si="3167">IF(GB142&gt;$C147,(1+GB149)*FZ168,1)</f>
        <v>1</v>
      </c>
      <c r="GC168" s="213">
        <f t="shared" ref="GC168" si="3168">IF(GC142&gt;$C147,(1+GC149)*GA168,1)</f>
        <v>1</v>
      </c>
      <c r="GD168" s="213">
        <f t="shared" ref="GD168" si="3169">IF(GD142&gt;$C147,(1+GD149)*GB168,1)</f>
        <v>1</v>
      </c>
      <c r="GE168" s="213">
        <f t="shared" ref="GE168" si="3170">IF(GE142&gt;$C147,(1+GE149)*GC168,1)</f>
        <v>1</v>
      </c>
      <c r="GF168" s="213">
        <f t="shared" ref="GF168" si="3171">IF(GF142&gt;$C147,(1+GF149)*GD168,1)</f>
        <v>1</v>
      </c>
      <c r="GG168" s="213">
        <f t="shared" ref="GG168" si="3172">IF(GG142&gt;$C147,(1+GG149)*GE168,1)</f>
        <v>1</v>
      </c>
      <c r="GH168" s="213">
        <f t="shared" ref="GH168" si="3173">IF(GH142&gt;$C147,(1+GH149)*GF168,1)</f>
        <v>1</v>
      </c>
      <c r="GI168" s="213">
        <f t="shared" ref="GI168" si="3174">IF(GI142&gt;$C147,(1+GI149)*GG168,1)</f>
        <v>1</v>
      </c>
      <c r="GJ168" s="213">
        <f t="shared" ref="GJ168" si="3175">IF(GJ142&gt;$C147,(1+GJ149)*GH168,1)</f>
        <v>1</v>
      </c>
      <c r="GK168" s="213">
        <f t="shared" ref="GK168" si="3176">IF(GK142&gt;$C147,(1+GK149)*GI168,1)</f>
        <v>1</v>
      </c>
      <c r="GL168" s="213">
        <f t="shared" ref="GL168" si="3177">IF(GL142&gt;$C147,(1+GL149)*GJ168,1)</f>
        <v>1</v>
      </c>
      <c r="GM168" s="213">
        <f t="shared" ref="GM168" si="3178">IF(GM142&gt;$C147,(1+GM149)*GK168,1)</f>
        <v>1</v>
      </c>
      <c r="GN168" s="213">
        <f t="shared" ref="GN168" si="3179">IF(GN142&gt;$C147,(1+GN149)*GL168,1)</f>
        <v>1</v>
      </c>
      <c r="GO168" s="213">
        <f t="shared" ref="GO168" si="3180">IF(GO142&gt;$C147,(1+GO149)*GM168,1)</f>
        <v>1</v>
      </c>
      <c r="GP168" s="213">
        <f t="shared" ref="GP168" si="3181">IF(GP142&gt;$C147,(1+GP149)*GN168,1)</f>
        <v>1</v>
      </c>
      <c r="GQ168" s="213">
        <f t="shared" ref="GQ168" si="3182">IF(GQ142&gt;$C147,(1+GQ149)*GO168,1)</f>
        <v>1</v>
      </c>
    </row>
    <row r="169" spans="2:199" s="315" customFormat="1" outlineLevel="1">
      <c r="B169" s="182" t="s">
        <v>414</v>
      </c>
      <c r="D169" s="167"/>
      <c r="E169" s="162">
        <f>SUM(E156:E160)</f>
        <v>268674.75248229573</v>
      </c>
      <c r="F169" s="162">
        <f t="shared" ref="F169:BQ169" si="3183">SUM(F156:F160)</f>
        <v>270849.21411404951</v>
      </c>
      <c r="G169" s="162">
        <f t="shared" si="3183"/>
        <v>273093.77444825327</v>
      </c>
      <c r="H169" s="162">
        <f t="shared" si="3183"/>
        <v>275014.20043621305</v>
      </c>
      <c r="I169" s="162">
        <f t="shared" si="3183"/>
        <v>277206.94985557173</v>
      </c>
      <c r="J169" s="162">
        <f t="shared" si="3183"/>
        <v>279243.23388009088</v>
      </c>
      <c r="K169" s="162">
        <f t="shared" si="3183"/>
        <v>266666.66666666669</v>
      </c>
      <c r="L169" s="162">
        <f t="shared" si="3183"/>
        <v>268792.85934169282</v>
      </c>
      <c r="M169" s="162">
        <f t="shared" si="3183"/>
        <v>270598.77203551261</v>
      </c>
      <c r="N169" s="162">
        <f t="shared" si="3183"/>
        <v>272586.51425062487</v>
      </c>
      <c r="O169" s="162">
        <f t="shared" si="3183"/>
        <v>274759.90718778956</v>
      </c>
      <c r="P169" s="162">
        <f t="shared" si="3183"/>
        <v>276864.40907892986</v>
      </c>
      <c r="Q169" s="162">
        <f t="shared" si="3183"/>
        <v>266666.66666666669</v>
      </c>
      <c r="R169" s="162">
        <f t="shared" si="3183"/>
        <v>268876.56572216965</v>
      </c>
      <c r="S169" s="162">
        <f t="shared" si="3183"/>
        <v>271020.37841413706</v>
      </c>
      <c r="T169" s="162">
        <f t="shared" si="3183"/>
        <v>273148.78729841992</v>
      </c>
      <c r="U169" s="162">
        <f t="shared" si="3183"/>
        <v>275641.27842653828</v>
      </c>
      <c r="V169" s="162">
        <f t="shared" si="3183"/>
        <v>277924.44407336548</v>
      </c>
      <c r="W169" s="162">
        <f t="shared" si="3183"/>
        <v>280374.81730419467</v>
      </c>
      <c r="X169" s="162">
        <f t="shared" si="3183"/>
        <v>282950.34268603305</v>
      </c>
      <c r="Y169" s="162">
        <f t="shared" si="3183"/>
        <v>285340.5667724869</v>
      </c>
      <c r="Z169" s="162">
        <f t="shared" si="3183"/>
        <v>287645.677473936</v>
      </c>
      <c r="AA169" s="162">
        <f t="shared" si="3183"/>
        <v>290075.56541871029</v>
      </c>
      <c r="AB169" s="162">
        <f t="shared" si="3183"/>
        <v>292633.07130053197</v>
      </c>
      <c r="AC169" s="162">
        <f t="shared" si="3183"/>
        <v>266666.66666666663</v>
      </c>
      <c r="AD169" s="162">
        <f t="shared" si="3183"/>
        <v>269214.79019815341</v>
      </c>
      <c r="AE169" s="162">
        <f t="shared" si="3183"/>
        <v>271588.37312442064</v>
      </c>
      <c r="AF169" s="162">
        <f t="shared" si="3183"/>
        <v>274083.18615762977</v>
      </c>
      <c r="AG169" s="162">
        <f t="shared" si="3183"/>
        <v>276702.17796850402</v>
      </c>
      <c r="AH169" s="162">
        <f t="shared" si="3183"/>
        <v>279039.62065995339</v>
      </c>
      <c r="AI169" s="162">
        <f t="shared" si="3183"/>
        <v>281602.88091441663</v>
      </c>
      <c r="AJ169" s="162">
        <f t="shared" si="3183"/>
        <v>284085.68577678746</v>
      </c>
      <c r="AK169" s="162">
        <f t="shared" si="3183"/>
        <v>286275.85564591613</v>
      </c>
      <c r="AL169" s="162">
        <f t="shared" si="3183"/>
        <v>288905.58801458176</v>
      </c>
      <c r="AM169" s="162">
        <f t="shared" si="3183"/>
        <v>291346.11905839754</v>
      </c>
      <c r="AN169" s="162">
        <f t="shared" si="3183"/>
        <v>293807.26649740589</v>
      </c>
      <c r="AO169" s="162">
        <f t="shared" si="3183"/>
        <v>266666.66666666657</v>
      </c>
      <c r="AP169" s="162">
        <f t="shared" si="3183"/>
        <v>269214.79019815335</v>
      </c>
      <c r="AQ169" s="162">
        <f t="shared" si="3183"/>
        <v>271588.37312442058</v>
      </c>
      <c r="AR169" s="162">
        <f t="shared" si="3183"/>
        <v>273982.88319181453</v>
      </c>
      <c r="AS169" s="162">
        <f t="shared" si="3183"/>
        <v>276398.50490841822</v>
      </c>
      <c r="AT169" s="162">
        <f t="shared" si="3183"/>
        <v>278733.38232054777</v>
      </c>
      <c r="AU169" s="162">
        <f t="shared" si="3183"/>
        <v>281293.82946710207</v>
      </c>
      <c r="AV169" s="162">
        <f t="shared" si="3183"/>
        <v>283794.53106186248</v>
      </c>
      <c r="AW169" s="162">
        <f t="shared" si="3183"/>
        <v>286317.46388891793</v>
      </c>
      <c r="AX169" s="162">
        <f t="shared" si="3183"/>
        <v>288862.82558388007</v>
      </c>
      <c r="AY169" s="162">
        <f t="shared" si="3183"/>
        <v>291430.81553934084</v>
      </c>
      <c r="AZ169" s="162">
        <f t="shared" si="3183"/>
        <v>294021.63492049184</v>
      </c>
      <c r="BA169" s="162">
        <f t="shared" si="3183"/>
        <v>266666.66666666657</v>
      </c>
      <c r="BB169" s="162">
        <f t="shared" si="3183"/>
        <v>269037.33281268942</v>
      </c>
      <c r="BC169" s="162">
        <f t="shared" si="3183"/>
        <v>271429.07417612185</v>
      </c>
      <c r="BD169" s="162">
        <f t="shared" si="3183"/>
        <v>273842.07811560557</v>
      </c>
      <c r="BE169" s="162">
        <f t="shared" si="3183"/>
        <v>276276.5336554001</v>
      </c>
      <c r="BF169" s="162">
        <f t="shared" si="3183"/>
        <v>278732.6315001903</v>
      </c>
      <c r="BG169" s="162">
        <f t="shared" si="3183"/>
        <v>281210.56405002536</v>
      </c>
      <c r="BH169" s="162">
        <f t="shared" si="3183"/>
        <v>283710.52541539056</v>
      </c>
      <c r="BI169" s="162">
        <f t="shared" si="3183"/>
        <v>286232.71143241285</v>
      </c>
      <c r="BJ169" s="162">
        <f t="shared" si="3183"/>
        <v>288777.31967820216</v>
      </c>
      <c r="BK169" s="162">
        <f t="shared" si="3183"/>
        <v>291344.54948632838</v>
      </c>
      <c r="BL169" s="162">
        <f t="shared" si="3183"/>
        <v>293934.60196243657</v>
      </c>
      <c r="BM169" s="162">
        <f t="shared" si="3183"/>
        <v>266666.66666666663</v>
      </c>
      <c r="BN169" s="162">
        <f t="shared" si="3183"/>
        <v>269037.33281268948</v>
      </c>
      <c r="BO169" s="162">
        <f t="shared" si="3183"/>
        <v>271429.07417612191</v>
      </c>
      <c r="BP169" s="162">
        <f t="shared" si="3183"/>
        <v>273842.07811560563</v>
      </c>
      <c r="BQ169" s="162">
        <f t="shared" si="3183"/>
        <v>276276.53365540016</v>
      </c>
      <c r="BR169" s="162">
        <f t="shared" ref="BR169:EC169" si="3184">SUM(BR156:BR160)</f>
        <v>278732.63150019036</v>
      </c>
      <c r="BS169" s="162">
        <f t="shared" si="3184"/>
        <v>281210.56405002542</v>
      </c>
      <c r="BT169" s="162">
        <f t="shared" si="3184"/>
        <v>283658.73449934641</v>
      </c>
      <c r="BU169" s="162">
        <f t="shared" si="3184"/>
        <v>286128.21829643997</v>
      </c>
      <c r="BV169" s="162">
        <f t="shared" si="3184"/>
        <v>288619.2009916192</v>
      </c>
      <c r="BW169" s="162">
        <f t="shared" si="3184"/>
        <v>291131.86975056602</v>
      </c>
      <c r="BX169" s="162">
        <f t="shared" si="3184"/>
        <v>293666.41336839437</v>
      </c>
      <c r="BY169" s="162">
        <f t="shared" si="3184"/>
        <v>266666.66666666669</v>
      </c>
      <c r="BZ169" s="162">
        <f t="shared" si="3184"/>
        <v>134494.11023258974</v>
      </c>
      <c r="CA169" s="162">
        <f t="shared" si="3184"/>
        <v>135664.99265441997</v>
      </c>
      <c r="CB169" s="162">
        <f t="shared" si="3184"/>
        <v>136846.06857575275</v>
      </c>
      <c r="CC169" s="162">
        <f t="shared" si="3184"/>
        <v>138037.42673942866</v>
      </c>
      <c r="CD169" s="162">
        <f t="shared" si="3184"/>
        <v>139239.15666086809</v>
      </c>
      <c r="CE169" s="162">
        <f t="shared" si="3184"/>
        <v>140451.34863479715</v>
      </c>
      <c r="CF169" s="162">
        <f t="shared" si="3184"/>
        <v>141673.01481769761</v>
      </c>
      <c r="CG169" s="162">
        <f t="shared" si="3184"/>
        <v>142905.30723008572</v>
      </c>
      <c r="CH169" s="162">
        <f t="shared" si="3184"/>
        <v>144148.31830044536</v>
      </c>
      <c r="CI169" s="162">
        <f t="shared" si="3184"/>
        <v>145402.14126121681</v>
      </c>
      <c r="CJ169" s="162">
        <f t="shared" si="3184"/>
        <v>146666.8701557896</v>
      </c>
      <c r="CK169" s="162">
        <f t="shared" si="3184"/>
        <v>133333.33333333334</v>
      </c>
      <c r="CL169" s="162">
        <f t="shared" si="3184"/>
        <v>0</v>
      </c>
      <c r="CM169" s="162">
        <f t="shared" si="3184"/>
        <v>0</v>
      </c>
      <c r="CN169" s="162">
        <f t="shared" si="3184"/>
        <v>0</v>
      </c>
      <c r="CO169" s="162">
        <f t="shared" si="3184"/>
        <v>0</v>
      </c>
      <c r="CP169" s="162">
        <f t="shared" si="3184"/>
        <v>0</v>
      </c>
      <c r="CQ169" s="162">
        <f t="shared" si="3184"/>
        <v>0</v>
      </c>
      <c r="CR169" s="162">
        <f t="shared" si="3184"/>
        <v>0</v>
      </c>
      <c r="CS169" s="162">
        <f t="shared" si="3184"/>
        <v>0</v>
      </c>
      <c r="CT169" s="162">
        <f t="shared" si="3184"/>
        <v>0</v>
      </c>
      <c r="CU169" s="162">
        <f t="shared" si="3184"/>
        <v>0</v>
      </c>
      <c r="CV169" s="162">
        <f t="shared" si="3184"/>
        <v>0</v>
      </c>
      <c r="CW169" s="162">
        <f t="shared" si="3184"/>
        <v>0</v>
      </c>
      <c r="CX169" s="162">
        <f t="shared" si="3184"/>
        <v>0</v>
      </c>
      <c r="CY169" s="162">
        <f t="shared" si="3184"/>
        <v>0</v>
      </c>
      <c r="CZ169" s="162">
        <f t="shared" si="3184"/>
        <v>0</v>
      </c>
      <c r="DA169" s="162">
        <f t="shared" si="3184"/>
        <v>0</v>
      </c>
      <c r="DB169" s="162">
        <f t="shared" si="3184"/>
        <v>0</v>
      </c>
      <c r="DC169" s="162">
        <f t="shared" si="3184"/>
        <v>0</v>
      </c>
      <c r="DD169" s="162">
        <f t="shared" si="3184"/>
        <v>0</v>
      </c>
      <c r="DE169" s="162">
        <f t="shared" si="3184"/>
        <v>0</v>
      </c>
      <c r="DF169" s="162">
        <f t="shared" si="3184"/>
        <v>0</v>
      </c>
      <c r="DG169" s="162">
        <f t="shared" si="3184"/>
        <v>0</v>
      </c>
      <c r="DH169" s="162">
        <f t="shared" si="3184"/>
        <v>0</v>
      </c>
      <c r="DI169" s="162">
        <f t="shared" si="3184"/>
        <v>0</v>
      </c>
      <c r="DJ169" s="162">
        <f t="shared" si="3184"/>
        <v>0</v>
      </c>
      <c r="DK169" s="162">
        <f t="shared" si="3184"/>
        <v>0</v>
      </c>
      <c r="DL169" s="162">
        <f t="shared" si="3184"/>
        <v>0</v>
      </c>
      <c r="DM169" s="162">
        <f t="shared" si="3184"/>
        <v>0</v>
      </c>
      <c r="DN169" s="162">
        <f t="shared" si="3184"/>
        <v>0</v>
      </c>
      <c r="DO169" s="162">
        <f t="shared" si="3184"/>
        <v>0</v>
      </c>
      <c r="DP169" s="162">
        <f t="shared" si="3184"/>
        <v>0</v>
      </c>
      <c r="DQ169" s="162">
        <f t="shared" si="3184"/>
        <v>0</v>
      </c>
      <c r="DR169" s="162">
        <f t="shared" si="3184"/>
        <v>0</v>
      </c>
      <c r="DS169" s="162">
        <f t="shared" si="3184"/>
        <v>0</v>
      </c>
      <c r="DT169" s="162">
        <f t="shared" si="3184"/>
        <v>0</v>
      </c>
      <c r="DU169" s="162">
        <f t="shared" si="3184"/>
        <v>0</v>
      </c>
      <c r="DV169" s="162">
        <f t="shared" si="3184"/>
        <v>0</v>
      </c>
      <c r="DW169" s="162">
        <f t="shared" si="3184"/>
        <v>0</v>
      </c>
      <c r="DX169" s="162">
        <f t="shared" si="3184"/>
        <v>0</v>
      </c>
      <c r="DY169" s="162">
        <f t="shared" si="3184"/>
        <v>0</v>
      </c>
      <c r="DZ169" s="162">
        <f t="shared" si="3184"/>
        <v>0</v>
      </c>
      <c r="EA169" s="162">
        <f t="shared" si="3184"/>
        <v>0</v>
      </c>
      <c r="EB169" s="162">
        <f t="shared" si="3184"/>
        <v>0</v>
      </c>
      <c r="EC169" s="162">
        <f t="shared" si="3184"/>
        <v>0</v>
      </c>
      <c r="ED169" s="162">
        <f t="shared" ref="ED169:GO169" si="3185">SUM(ED156:ED160)</f>
        <v>0</v>
      </c>
      <c r="EE169" s="162">
        <f t="shared" si="3185"/>
        <v>0</v>
      </c>
      <c r="EF169" s="162">
        <f t="shared" si="3185"/>
        <v>0</v>
      </c>
      <c r="EG169" s="162">
        <f t="shared" si="3185"/>
        <v>0</v>
      </c>
      <c r="EH169" s="162">
        <f t="shared" si="3185"/>
        <v>0</v>
      </c>
      <c r="EI169" s="162">
        <f t="shared" si="3185"/>
        <v>0</v>
      </c>
      <c r="EJ169" s="162">
        <f t="shared" si="3185"/>
        <v>0</v>
      </c>
      <c r="EK169" s="162">
        <f t="shared" si="3185"/>
        <v>0</v>
      </c>
      <c r="EL169" s="162">
        <f t="shared" si="3185"/>
        <v>0</v>
      </c>
      <c r="EM169" s="162">
        <f t="shared" si="3185"/>
        <v>0</v>
      </c>
      <c r="EN169" s="162">
        <f t="shared" si="3185"/>
        <v>0</v>
      </c>
      <c r="EO169" s="162">
        <f t="shared" si="3185"/>
        <v>0</v>
      </c>
      <c r="EP169" s="162">
        <f t="shared" si="3185"/>
        <v>0</v>
      </c>
      <c r="EQ169" s="162">
        <f t="shared" si="3185"/>
        <v>0</v>
      </c>
      <c r="ER169" s="162">
        <f t="shared" si="3185"/>
        <v>0</v>
      </c>
      <c r="ES169" s="162">
        <f t="shared" si="3185"/>
        <v>0</v>
      </c>
      <c r="ET169" s="162">
        <f t="shared" si="3185"/>
        <v>0</v>
      </c>
      <c r="EU169" s="162">
        <f t="shared" si="3185"/>
        <v>0</v>
      </c>
      <c r="EV169" s="162">
        <f t="shared" si="3185"/>
        <v>0</v>
      </c>
      <c r="EW169" s="162">
        <f t="shared" si="3185"/>
        <v>0</v>
      </c>
      <c r="EX169" s="162">
        <f t="shared" si="3185"/>
        <v>0</v>
      </c>
      <c r="EY169" s="162">
        <f t="shared" si="3185"/>
        <v>0</v>
      </c>
      <c r="EZ169" s="162">
        <f t="shared" si="3185"/>
        <v>0</v>
      </c>
      <c r="FA169" s="162">
        <f t="shared" si="3185"/>
        <v>0</v>
      </c>
      <c r="FB169" s="162">
        <f t="shared" si="3185"/>
        <v>0</v>
      </c>
      <c r="FC169" s="162">
        <f t="shared" si="3185"/>
        <v>0</v>
      </c>
      <c r="FD169" s="162">
        <f t="shared" si="3185"/>
        <v>0</v>
      </c>
      <c r="FE169" s="162">
        <f t="shared" si="3185"/>
        <v>0</v>
      </c>
      <c r="FF169" s="162">
        <f t="shared" si="3185"/>
        <v>0</v>
      </c>
      <c r="FG169" s="162">
        <f t="shared" si="3185"/>
        <v>0</v>
      </c>
      <c r="FH169" s="162">
        <f t="shared" si="3185"/>
        <v>0</v>
      </c>
      <c r="FI169" s="162">
        <f t="shared" si="3185"/>
        <v>0</v>
      </c>
      <c r="FJ169" s="162">
        <f t="shared" si="3185"/>
        <v>0</v>
      </c>
      <c r="FK169" s="162">
        <f t="shared" si="3185"/>
        <v>0</v>
      </c>
      <c r="FL169" s="162">
        <f t="shared" si="3185"/>
        <v>0</v>
      </c>
      <c r="FM169" s="162">
        <f t="shared" si="3185"/>
        <v>0</v>
      </c>
      <c r="FN169" s="162">
        <f t="shared" si="3185"/>
        <v>0</v>
      </c>
      <c r="FO169" s="162">
        <f t="shared" si="3185"/>
        <v>0</v>
      </c>
      <c r="FP169" s="162">
        <f t="shared" si="3185"/>
        <v>0</v>
      </c>
      <c r="FQ169" s="162">
        <f t="shared" si="3185"/>
        <v>0</v>
      </c>
      <c r="FR169" s="162">
        <f t="shared" si="3185"/>
        <v>0</v>
      </c>
      <c r="FS169" s="162">
        <f t="shared" si="3185"/>
        <v>0</v>
      </c>
      <c r="FT169" s="162">
        <f t="shared" si="3185"/>
        <v>0</v>
      </c>
      <c r="FU169" s="162">
        <f t="shared" si="3185"/>
        <v>0</v>
      </c>
      <c r="FV169" s="162">
        <f t="shared" si="3185"/>
        <v>0</v>
      </c>
      <c r="FW169" s="162">
        <f t="shared" si="3185"/>
        <v>0</v>
      </c>
      <c r="FX169" s="162">
        <f t="shared" si="3185"/>
        <v>0</v>
      </c>
      <c r="FY169" s="162">
        <f t="shared" si="3185"/>
        <v>0</v>
      </c>
      <c r="FZ169" s="162">
        <f t="shared" si="3185"/>
        <v>0</v>
      </c>
      <c r="GA169" s="162">
        <f t="shared" si="3185"/>
        <v>0</v>
      </c>
      <c r="GB169" s="162">
        <f t="shared" si="3185"/>
        <v>0</v>
      </c>
      <c r="GC169" s="162">
        <f t="shared" si="3185"/>
        <v>0</v>
      </c>
      <c r="GD169" s="162">
        <f t="shared" si="3185"/>
        <v>0</v>
      </c>
      <c r="GE169" s="162">
        <f t="shared" si="3185"/>
        <v>0</v>
      </c>
      <c r="GF169" s="162">
        <f t="shared" si="3185"/>
        <v>0</v>
      </c>
      <c r="GG169" s="162">
        <f t="shared" si="3185"/>
        <v>0</v>
      </c>
      <c r="GH169" s="162">
        <f t="shared" si="3185"/>
        <v>0</v>
      </c>
      <c r="GI169" s="162">
        <f t="shared" si="3185"/>
        <v>0</v>
      </c>
      <c r="GJ169" s="162">
        <f t="shared" si="3185"/>
        <v>0</v>
      </c>
      <c r="GK169" s="162">
        <f t="shared" si="3185"/>
        <v>0</v>
      </c>
      <c r="GL169" s="162">
        <f t="shared" si="3185"/>
        <v>0</v>
      </c>
      <c r="GM169" s="162">
        <f t="shared" si="3185"/>
        <v>0</v>
      </c>
      <c r="GN169" s="162">
        <f t="shared" si="3185"/>
        <v>0</v>
      </c>
      <c r="GO169" s="162">
        <f t="shared" si="3185"/>
        <v>0</v>
      </c>
      <c r="GP169" s="162">
        <f t="shared" ref="GP169:GQ169" si="3186">SUM(GP156:GP160)</f>
        <v>0</v>
      </c>
      <c r="GQ169" s="162">
        <f t="shared" si="3186"/>
        <v>0</v>
      </c>
    </row>
    <row r="170" spans="2:199" s="315" customFormat="1" outlineLevel="1" collapsed="1"/>
    <row r="171" spans="2:199" s="315" customFormat="1"/>
    <row r="172" spans="2:199" s="315" customFormat="1">
      <c r="B172" s="299" t="s">
        <v>573</v>
      </c>
      <c r="C172" s="299"/>
      <c r="D172" s="299"/>
      <c r="E172" s="431">
        <f>C174</f>
        <v>41061</v>
      </c>
      <c r="F172" s="431">
        <f>EDATE(E172,1)</f>
        <v>41091</v>
      </c>
      <c r="G172" s="431">
        <f t="shared" ref="G172:BR172" si="3187">EDATE(F172,1)</f>
        <v>41122</v>
      </c>
      <c r="H172" s="431">
        <f t="shared" si="3187"/>
        <v>41153</v>
      </c>
      <c r="I172" s="431">
        <f t="shared" si="3187"/>
        <v>41183</v>
      </c>
      <c r="J172" s="431">
        <f t="shared" si="3187"/>
        <v>41214</v>
      </c>
      <c r="K172" s="431">
        <f t="shared" si="3187"/>
        <v>41244</v>
      </c>
      <c r="L172" s="431">
        <f t="shared" si="3187"/>
        <v>41275</v>
      </c>
      <c r="M172" s="431">
        <f t="shared" si="3187"/>
        <v>41306</v>
      </c>
      <c r="N172" s="431">
        <f t="shared" si="3187"/>
        <v>41334</v>
      </c>
      <c r="O172" s="431">
        <f t="shared" si="3187"/>
        <v>41365</v>
      </c>
      <c r="P172" s="431">
        <f t="shared" si="3187"/>
        <v>41395</v>
      </c>
      <c r="Q172" s="431">
        <f t="shared" si="3187"/>
        <v>41426</v>
      </c>
      <c r="R172" s="431">
        <f t="shared" si="3187"/>
        <v>41456</v>
      </c>
      <c r="S172" s="431">
        <f t="shared" si="3187"/>
        <v>41487</v>
      </c>
      <c r="T172" s="431">
        <f t="shared" si="3187"/>
        <v>41518</v>
      </c>
      <c r="U172" s="431">
        <f t="shared" si="3187"/>
        <v>41548</v>
      </c>
      <c r="V172" s="431">
        <f t="shared" si="3187"/>
        <v>41579</v>
      </c>
      <c r="W172" s="431">
        <f t="shared" si="3187"/>
        <v>41609</v>
      </c>
      <c r="X172" s="431">
        <f t="shared" si="3187"/>
        <v>41640</v>
      </c>
      <c r="Y172" s="431">
        <f t="shared" si="3187"/>
        <v>41671</v>
      </c>
      <c r="Z172" s="431">
        <f t="shared" si="3187"/>
        <v>41699</v>
      </c>
      <c r="AA172" s="431">
        <f t="shared" si="3187"/>
        <v>41730</v>
      </c>
      <c r="AB172" s="431">
        <f t="shared" si="3187"/>
        <v>41760</v>
      </c>
      <c r="AC172" s="431">
        <f t="shared" si="3187"/>
        <v>41791</v>
      </c>
      <c r="AD172" s="431">
        <f t="shared" si="3187"/>
        <v>41821</v>
      </c>
      <c r="AE172" s="431">
        <f t="shared" si="3187"/>
        <v>41852</v>
      </c>
      <c r="AF172" s="431">
        <f t="shared" si="3187"/>
        <v>41883</v>
      </c>
      <c r="AG172" s="431">
        <f t="shared" si="3187"/>
        <v>41913</v>
      </c>
      <c r="AH172" s="431">
        <f t="shared" si="3187"/>
        <v>41944</v>
      </c>
      <c r="AI172" s="431">
        <f t="shared" si="3187"/>
        <v>41974</v>
      </c>
      <c r="AJ172" s="431">
        <f t="shared" si="3187"/>
        <v>42005</v>
      </c>
      <c r="AK172" s="431">
        <f t="shared" si="3187"/>
        <v>42036</v>
      </c>
      <c r="AL172" s="431">
        <f t="shared" si="3187"/>
        <v>42064</v>
      </c>
      <c r="AM172" s="431">
        <f t="shared" si="3187"/>
        <v>42095</v>
      </c>
      <c r="AN172" s="431">
        <f t="shared" si="3187"/>
        <v>42125</v>
      </c>
      <c r="AO172" s="431">
        <f t="shared" si="3187"/>
        <v>42156</v>
      </c>
      <c r="AP172" s="431">
        <f t="shared" si="3187"/>
        <v>42186</v>
      </c>
      <c r="AQ172" s="431">
        <f t="shared" si="3187"/>
        <v>42217</v>
      </c>
      <c r="AR172" s="431">
        <f t="shared" si="3187"/>
        <v>42248</v>
      </c>
      <c r="AS172" s="431">
        <f t="shared" si="3187"/>
        <v>42278</v>
      </c>
      <c r="AT172" s="431">
        <f t="shared" si="3187"/>
        <v>42309</v>
      </c>
      <c r="AU172" s="431">
        <f t="shared" si="3187"/>
        <v>42339</v>
      </c>
      <c r="AV172" s="431">
        <f t="shared" si="3187"/>
        <v>42370</v>
      </c>
      <c r="AW172" s="431">
        <f t="shared" si="3187"/>
        <v>42401</v>
      </c>
      <c r="AX172" s="431">
        <f t="shared" si="3187"/>
        <v>42430</v>
      </c>
      <c r="AY172" s="431">
        <f t="shared" si="3187"/>
        <v>42461</v>
      </c>
      <c r="AZ172" s="431">
        <f t="shared" si="3187"/>
        <v>42491</v>
      </c>
      <c r="BA172" s="431">
        <f t="shared" si="3187"/>
        <v>42522</v>
      </c>
      <c r="BB172" s="431">
        <f t="shared" si="3187"/>
        <v>42552</v>
      </c>
      <c r="BC172" s="431">
        <f t="shared" si="3187"/>
        <v>42583</v>
      </c>
      <c r="BD172" s="431">
        <f t="shared" si="3187"/>
        <v>42614</v>
      </c>
      <c r="BE172" s="431">
        <f t="shared" si="3187"/>
        <v>42644</v>
      </c>
      <c r="BF172" s="431">
        <f t="shared" si="3187"/>
        <v>42675</v>
      </c>
      <c r="BG172" s="431">
        <f t="shared" si="3187"/>
        <v>42705</v>
      </c>
      <c r="BH172" s="431">
        <f t="shared" si="3187"/>
        <v>42736</v>
      </c>
      <c r="BI172" s="431">
        <f t="shared" si="3187"/>
        <v>42767</v>
      </c>
      <c r="BJ172" s="431">
        <f t="shared" si="3187"/>
        <v>42795</v>
      </c>
      <c r="BK172" s="431">
        <f t="shared" si="3187"/>
        <v>42826</v>
      </c>
      <c r="BL172" s="431">
        <f t="shared" si="3187"/>
        <v>42856</v>
      </c>
      <c r="BM172" s="431">
        <f t="shared" si="3187"/>
        <v>42887</v>
      </c>
      <c r="BN172" s="431">
        <f t="shared" si="3187"/>
        <v>42917</v>
      </c>
      <c r="BO172" s="431">
        <f t="shared" si="3187"/>
        <v>42948</v>
      </c>
      <c r="BP172" s="431">
        <f t="shared" si="3187"/>
        <v>42979</v>
      </c>
      <c r="BQ172" s="431">
        <f t="shared" si="3187"/>
        <v>43009</v>
      </c>
      <c r="BR172" s="431">
        <f t="shared" si="3187"/>
        <v>43040</v>
      </c>
      <c r="BS172" s="431">
        <f t="shared" ref="BS172:ED172" si="3188">EDATE(BR172,1)</f>
        <v>43070</v>
      </c>
      <c r="BT172" s="431">
        <f t="shared" si="3188"/>
        <v>43101</v>
      </c>
      <c r="BU172" s="431">
        <f t="shared" si="3188"/>
        <v>43132</v>
      </c>
      <c r="BV172" s="431">
        <f t="shared" si="3188"/>
        <v>43160</v>
      </c>
      <c r="BW172" s="431">
        <f t="shared" si="3188"/>
        <v>43191</v>
      </c>
      <c r="BX172" s="431">
        <f t="shared" si="3188"/>
        <v>43221</v>
      </c>
      <c r="BY172" s="431">
        <f t="shared" si="3188"/>
        <v>43252</v>
      </c>
      <c r="BZ172" s="431">
        <f t="shared" si="3188"/>
        <v>43282</v>
      </c>
      <c r="CA172" s="431">
        <f t="shared" si="3188"/>
        <v>43313</v>
      </c>
      <c r="CB172" s="431">
        <f t="shared" si="3188"/>
        <v>43344</v>
      </c>
      <c r="CC172" s="431">
        <f t="shared" si="3188"/>
        <v>43374</v>
      </c>
      <c r="CD172" s="431">
        <f t="shared" si="3188"/>
        <v>43405</v>
      </c>
      <c r="CE172" s="431">
        <f t="shared" si="3188"/>
        <v>43435</v>
      </c>
      <c r="CF172" s="431">
        <f t="shared" si="3188"/>
        <v>43466</v>
      </c>
      <c r="CG172" s="431">
        <f t="shared" si="3188"/>
        <v>43497</v>
      </c>
      <c r="CH172" s="431">
        <f t="shared" si="3188"/>
        <v>43525</v>
      </c>
      <c r="CI172" s="431">
        <f t="shared" si="3188"/>
        <v>43556</v>
      </c>
      <c r="CJ172" s="431">
        <f t="shared" si="3188"/>
        <v>43586</v>
      </c>
      <c r="CK172" s="431">
        <f t="shared" si="3188"/>
        <v>43617</v>
      </c>
      <c r="CL172" s="431">
        <f t="shared" si="3188"/>
        <v>43647</v>
      </c>
      <c r="CM172" s="431">
        <f t="shared" si="3188"/>
        <v>43678</v>
      </c>
      <c r="CN172" s="431">
        <f t="shared" si="3188"/>
        <v>43709</v>
      </c>
      <c r="CO172" s="431">
        <f t="shared" si="3188"/>
        <v>43739</v>
      </c>
      <c r="CP172" s="431">
        <f t="shared" si="3188"/>
        <v>43770</v>
      </c>
      <c r="CQ172" s="431">
        <f t="shared" si="3188"/>
        <v>43800</v>
      </c>
      <c r="CR172" s="431">
        <f t="shared" si="3188"/>
        <v>43831</v>
      </c>
      <c r="CS172" s="431">
        <f t="shared" si="3188"/>
        <v>43862</v>
      </c>
      <c r="CT172" s="431">
        <f t="shared" si="3188"/>
        <v>43891</v>
      </c>
      <c r="CU172" s="431">
        <f t="shared" si="3188"/>
        <v>43922</v>
      </c>
      <c r="CV172" s="431">
        <f t="shared" si="3188"/>
        <v>43952</v>
      </c>
      <c r="CW172" s="431">
        <f t="shared" si="3188"/>
        <v>43983</v>
      </c>
      <c r="CX172" s="431">
        <f t="shared" si="3188"/>
        <v>44013</v>
      </c>
      <c r="CY172" s="431">
        <f t="shared" si="3188"/>
        <v>44044</v>
      </c>
      <c r="CZ172" s="431">
        <f t="shared" si="3188"/>
        <v>44075</v>
      </c>
      <c r="DA172" s="431">
        <f t="shared" si="3188"/>
        <v>44105</v>
      </c>
      <c r="DB172" s="431">
        <f t="shared" si="3188"/>
        <v>44136</v>
      </c>
      <c r="DC172" s="431">
        <f t="shared" si="3188"/>
        <v>44166</v>
      </c>
      <c r="DD172" s="431">
        <f t="shared" si="3188"/>
        <v>44197</v>
      </c>
      <c r="DE172" s="431">
        <f t="shared" si="3188"/>
        <v>44228</v>
      </c>
      <c r="DF172" s="431">
        <f t="shared" si="3188"/>
        <v>44256</v>
      </c>
      <c r="DG172" s="431">
        <f t="shared" si="3188"/>
        <v>44287</v>
      </c>
      <c r="DH172" s="431">
        <f t="shared" si="3188"/>
        <v>44317</v>
      </c>
      <c r="DI172" s="431">
        <f t="shared" si="3188"/>
        <v>44348</v>
      </c>
      <c r="DJ172" s="431">
        <f t="shared" si="3188"/>
        <v>44378</v>
      </c>
      <c r="DK172" s="431">
        <f t="shared" si="3188"/>
        <v>44409</v>
      </c>
      <c r="DL172" s="431">
        <f t="shared" si="3188"/>
        <v>44440</v>
      </c>
      <c r="DM172" s="431">
        <f t="shared" si="3188"/>
        <v>44470</v>
      </c>
      <c r="DN172" s="431">
        <f t="shared" si="3188"/>
        <v>44501</v>
      </c>
      <c r="DO172" s="431">
        <f t="shared" si="3188"/>
        <v>44531</v>
      </c>
      <c r="DP172" s="431">
        <f t="shared" si="3188"/>
        <v>44562</v>
      </c>
      <c r="DQ172" s="431">
        <f t="shared" si="3188"/>
        <v>44593</v>
      </c>
      <c r="DR172" s="431">
        <f t="shared" si="3188"/>
        <v>44621</v>
      </c>
      <c r="DS172" s="431">
        <f t="shared" si="3188"/>
        <v>44652</v>
      </c>
      <c r="DT172" s="431">
        <f t="shared" si="3188"/>
        <v>44682</v>
      </c>
      <c r="DU172" s="431">
        <f t="shared" si="3188"/>
        <v>44713</v>
      </c>
      <c r="DV172" s="431">
        <f t="shared" si="3188"/>
        <v>44743</v>
      </c>
      <c r="DW172" s="431">
        <f t="shared" si="3188"/>
        <v>44774</v>
      </c>
      <c r="DX172" s="431">
        <f t="shared" si="3188"/>
        <v>44805</v>
      </c>
      <c r="DY172" s="431">
        <f t="shared" si="3188"/>
        <v>44835</v>
      </c>
      <c r="DZ172" s="431">
        <f t="shared" si="3188"/>
        <v>44866</v>
      </c>
      <c r="EA172" s="431">
        <f t="shared" si="3188"/>
        <v>44896</v>
      </c>
      <c r="EB172" s="431">
        <f t="shared" si="3188"/>
        <v>44927</v>
      </c>
      <c r="EC172" s="431">
        <f t="shared" si="3188"/>
        <v>44958</v>
      </c>
      <c r="ED172" s="431">
        <f t="shared" si="3188"/>
        <v>44986</v>
      </c>
      <c r="EE172" s="431">
        <f t="shared" ref="EE172:GP172" si="3189">EDATE(ED172,1)</f>
        <v>45017</v>
      </c>
      <c r="EF172" s="431">
        <f t="shared" si="3189"/>
        <v>45047</v>
      </c>
      <c r="EG172" s="431">
        <f t="shared" si="3189"/>
        <v>45078</v>
      </c>
      <c r="EH172" s="431">
        <f t="shared" si="3189"/>
        <v>45108</v>
      </c>
      <c r="EI172" s="431">
        <f t="shared" si="3189"/>
        <v>45139</v>
      </c>
      <c r="EJ172" s="431">
        <f t="shared" si="3189"/>
        <v>45170</v>
      </c>
      <c r="EK172" s="431">
        <f t="shared" si="3189"/>
        <v>45200</v>
      </c>
      <c r="EL172" s="431">
        <f t="shared" si="3189"/>
        <v>45231</v>
      </c>
      <c r="EM172" s="431">
        <f t="shared" si="3189"/>
        <v>45261</v>
      </c>
      <c r="EN172" s="431">
        <f t="shared" si="3189"/>
        <v>45292</v>
      </c>
      <c r="EO172" s="431">
        <f t="shared" si="3189"/>
        <v>45323</v>
      </c>
      <c r="EP172" s="431">
        <f t="shared" si="3189"/>
        <v>45352</v>
      </c>
      <c r="EQ172" s="431">
        <f t="shared" si="3189"/>
        <v>45383</v>
      </c>
      <c r="ER172" s="431">
        <f t="shared" si="3189"/>
        <v>45413</v>
      </c>
      <c r="ES172" s="431">
        <f t="shared" si="3189"/>
        <v>45444</v>
      </c>
      <c r="ET172" s="431">
        <f t="shared" si="3189"/>
        <v>45474</v>
      </c>
      <c r="EU172" s="431">
        <f t="shared" si="3189"/>
        <v>45505</v>
      </c>
      <c r="EV172" s="431">
        <f t="shared" si="3189"/>
        <v>45536</v>
      </c>
      <c r="EW172" s="431">
        <f t="shared" si="3189"/>
        <v>45566</v>
      </c>
      <c r="EX172" s="431">
        <f t="shared" si="3189"/>
        <v>45597</v>
      </c>
      <c r="EY172" s="431">
        <f t="shared" si="3189"/>
        <v>45627</v>
      </c>
      <c r="EZ172" s="431">
        <f t="shared" si="3189"/>
        <v>45658</v>
      </c>
      <c r="FA172" s="431">
        <f t="shared" si="3189"/>
        <v>45689</v>
      </c>
      <c r="FB172" s="431">
        <f t="shared" si="3189"/>
        <v>45717</v>
      </c>
      <c r="FC172" s="431">
        <f t="shared" si="3189"/>
        <v>45748</v>
      </c>
      <c r="FD172" s="431">
        <f t="shared" si="3189"/>
        <v>45778</v>
      </c>
      <c r="FE172" s="431">
        <f t="shared" si="3189"/>
        <v>45809</v>
      </c>
      <c r="FF172" s="431">
        <f t="shared" si="3189"/>
        <v>45839</v>
      </c>
      <c r="FG172" s="431">
        <f t="shared" si="3189"/>
        <v>45870</v>
      </c>
      <c r="FH172" s="431">
        <f t="shared" si="3189"/>
        <v>45901</v>
      </c>
      <c r="FI172" s="431">
        <f t="shared" si="3189"/>
        <v>45931</v>
      </c>
      <c r="FJ172" s="431">
        <f t="shared" si="3189"/>
        <v>45962</v>
      </c>
      <c r="FK172" s="431">
        <f t="shared" si="3189"/>
        <v>45992</v>
      </c>
      <c r="FL172" s="431">
        <f t="shared" si="3189"/>
        <v>46023</v>
      </c>
      <c r="FM172" s="431">
        <f t="shared" si="3189"/>
        <v>46054</v>
      </c>
      <c r="FN172" s="431">
        <f t="shared" si="3189"/>
        <v>46082</v>
      </c>
      <c r="FO172" s="431">
        <f t="shared" si="3189"/>
        <v>46113</v>
      </c>
      <c r="FP172" s="431">
        <f t="shared" si="3189"/>
        <v>46143</v>
      </c>
      <c r="FQ172" s="431">
        <f t="shared" si="3189"/>
        <v>46174</v>
      </c>
      <c r="FR172" s="431">
        <f t="shared" si="3189"/>
        <v>46204</v>
      </c>
      <c r="FS172" s="431">
        <f t="shared" si="3189"/>
        <v>46235</v>
      </c>
      <c r="FT172" s="431">
        <f t="shared" si="3189"/>
        <v>46266</v>
      </c>
      <c r="FU172" s="431">
        <f t="shared" si="3189"/>
        <v>46296</v>
      </c>
      <c r="FV172" s="431">
        <f t="shared" si="3189"/>
        <v>46327</v>
      </c>
      <c r="FW172" s="431">
        <f t="shared" si="3189"/>
        <v>46357</v>
      </c>
      <c r="FX172" s="431">
        <f t="shared" si="3189"/>
        <v>46388</v>
      </c>
      <c r="FY172" s="431">
        <f t="shared" si="3189"/>
        <v>46419</v>
      </c>
      <c r="FZ172" s="431">
        <f t="shared" si="3189"/>
        <v>46447</v>
      </c>
      <c r="GA172" s="431">
        <f t="shared" si="3189"/>
        <v>46478</v>
      </c>
      <c r="GB172" s="431">
        <f t="shared" si="3189"/>
        <v>46508</v>
      </c>
      <c r="GC172" s="431">
        <f t="shared" si="3189"/>
        <v>46539</v>
      </c>
      <c r="GD172" s="431">
        <f t="shared" si="3189"/>
        <v>46569</v>
      </c>
      <c r="GE172" s="431">
        <f t="shared" si="3189"/>
        <v>46600</v>
      </c>
      <c r="GF172" s="431">
        <f t="shared" si="3189"/>
        <v>46631</v>
      </c>
      <c r="GG172" s="431">
        <f t="shared" si="3189"/>
        <v>46661</v>
      </c>
      <c r="GH172" s="431">
        <f t="shared" si="3189"/>
        <v>46692</v>
      </c>
      <c r="GI172" s="431">
        <f t="shared" si="3189"/>
        <v>46722</v>
      </c>
      <c r="GJ172" s="431">
        <f t="shared" si="3189"/>
        <v>46753</v>
      </c>
      <c r="GK172" s="431">
        <f t="shared" si="3189"/>
        <v>46784</v>
      </c>
      <c r="GL172" s="431">
        <f t="shared" si="3189"/>
        <v>46813</v>
      </c>
      <c r="GM172" s="431">
        <f t="shared" si="3189"/>
        <v>46844</v>
      </c>
      <c r="GN172" s="431">
        <f t="shared" si="3189"/>
        <v>46874</v>
      </c>
      <c r="GO172" s="431">
        <f t="shared" si="3189"/>
        <v>46905</v>
      </c>
      <c r="GP172" s="431">
        <f t="shared" si="3189"/>
        <v>46935</v>
      </c>
      <c r="GQ172" s="431">
        <f t="shared" ref="GQ172" si="3190">EDATE(GP172,1)</f>
        <v>46966</v>
      </c>
    </row>
    <row r="173" spans="2:199" s="315" customFormat="1">
      <c r="B173" s="173"/>
      <c r="C173" s="173"/>
      <c r="E173" s="425">
        <f>YEAR(E172)</f>
        <v>2012</v>
      </c>
      <c r="F173" s="425">
        <f t="shared" ref="F173:BQ173" si="3191">YEAR(F172)</f>
        <v>2012</v>
      </c>
      <c r="G173" s="425">
        <f t="shared" si="3191"/>
        <v>2012</v>
      </c>
      <c r="H173" s="425">
        <f t="shared" si="3191"/>
        <v>2012</v>
      </c>
      <c r="I173" s="425">
        <f t="shared" si="3191"/>
        <v>2012</v>
      </c>
      <c r="J173" s="425">
        <f t="shared" si="3191"/>
        <v>2012</v>
      </c>
      <c r="K173" s="425">
        <f t="shared" si="3191"/>
        <v>2012</v>
      </c>
      <c r="L173" s="425">
        <f t="shared" si="3191"/>
        <v>2013</v>
      </c>
      <c r="M173" s="425">
        <f t="shared" si="3191"/>
        <v>2013</v>
      </c>
      <c r="N173" s="425">
        <f t="shared" si="3191"/>
        <v>2013</v>
      </c>
      <c r="O173" s="425">
        <f t="shared" si="3191"/>
        <v>2013</v>
      </c>
      <c r="P173" s="425">
        <f t="shared" si="3191"/>
        <v>2013</v>
      </c>
      <c r="Q173" s="425">
        <f t="shared" si="3191"/>
        <v>2013</v>
      </c>
      <c r="R173" s="425">
        <f t="shared" si="3191"/>
        <v>2013</v>
      </c>
      <c r="S173" s="425">
        <f t="shared" si="3191"/>
        <v>2013</v>
      </c>
      <c r="T173" s="425">
        <f t="shared" si="3191"/>
        <v>2013</v>
      </c>
      <c r="U173" s="425">
        <f t="shared" si="3191"/>
        <v>2013</v>
      </c>
      <c r="V173" s="425">
        <f t="shared" si="3191"/>
        <v>2013</v>
      </c>
      <c r="W173" s="425">
        <f t="shared" si="3191"/>
        <v>2013</v>
      </c>
      <c r="X173" s="425">
        <f t="shared" si="3191"/>
        <v>2014</v>
      </c>
      <c r="Y173" s="425">
        <f t="shared" si="3191"/>
        <v>2014</v>
      </c>
      <c r="Z173" s="425">
        <f t="shared" si="3191"/>
        <v>2014</v>
      </c>
      <c r="AA173" s="425">
        <f t="shared" si="3191"/>
        <v>2014</v>
      </c>
      <c r="AB173" s="425">
        <f t="shared" si="3191"/>
        <v>2014</v>
      </c>
      <c r="AC173" s="425">
        <f t="shared" si="3191"/>
        <v>2014</v>
      </c>
      <c r="AD173" s="425">
        <f t="shared" si="3191"/>
        <v>2014</v>
      </c>
      <c r="AE173" s="425">
        <f t="shared" si="3191"/>
        <v>2014</v>
      </c>
      <c r="AF173" s="425">
        <f t="shared" si="3191"/>
        <v>2014</v>
      </c>
      <c r="AG173" s="425">
        <f t="shared" si="3191"/>
        <v>2014</v>
      </c>
      <c r="AH173" s="425">
        <f t="shared" si="3191"/>
        <v>2014</v>
      </c>
      <c r="AI173" s="425">
        <f t="shared" si="3191"/>
        <v>2014</v>
      </c>
      <c r="AJ173" s="425">
        <f t="shared" si="3191"/>
        <v>2015</v>
      </c>
      <c r="AK173" s="425">
        <f t="shared" si="3191"/>
        <v>2015</v>
      </c>
      <c r="AL173" s="425">
        <f t="shared" si="3191"/>
        <v>2015</v>
      </c>
      <c r="AM173" s="425">
        <f t="shared" si="3191"/>
        <v>2015</v>
      </c>
      <c r="AN173" s="425">
        <f t="shared" si="3191"/>
        <v>2015</v>
      </c>
      <c r="AO173" s="425">
        <f t="shared" si="3191"/>
        <v>2015</v>
      </c>
      <c r="AP173" s="425">
        <f t="shared" si="3191"/>
        <v>2015</v>
      </c>
      <c r="AQ173" s="425">
        <f t="shared" si="3191"/>
        <v>2015</v>
      </c>
      <c r="AR173" s="425">
        <f t="shared" si="3191"/>
        <v>2015</v>
      </c>
      <c r="AS173" s="425">
        <f t="shared" si="3191"/>
        <v>2015</v>
      </c>
      <c r="AT173" s="425">
        <f t="shared" si="3191"/>
        <v>2015</v>
      </c>
      <c r="AU173" s="425">
        <f t="shared" si="3191"/>
        <v>2015</v>
      </c>
      <c r="AV173" s="425">
        <f t="shared" si="3191"/>
        <v>2016</v>
      </c>
      <c r="AW173" s="425">
        <f t="shared" si="3191"/>
        <v>2016</v>
      </c>
      <c r="AX173" s="425">
        <f t="shared" si="3191"/>
        <v>2016</v>
      </c>
      <c r="AY173" s="425">
        <f t="shared" si="3191"/>
        <v>2016</v>
      </c>
      <c r="AZ173" s="425">
        <f t="shared" si="3191"/>
        <v>2016</v>
      </c>
      <c r="BA173" s="425">
        <f t="shared" si="3191"/>
        <v>2016</v>
      </c>
      <c r="BB173" s="425">
        <f t="shared" si="3191"/>
        <v>2016</v>
      </c>
      <c r="BC173" s="425">
        <f t="shared" si="3191"/>
        <v>2016</v>
      </c>
      <c r="BD173" s="425">
        <f t="shared" si="3191"/>
        <v>2016</v>
      </c>
      <c r="BE173" s="425">
        <f t="shared" si="3191"/>
        <v>2016</v>
      </c>
      <c r="BF173" s="425">
        <f t="shared" si="3191"/>
        <v>2016</v>
      </c>
      <c r="BG173" s="425">
        <f t="shared" si="3191"/>
        <v>2016</v>
      </c>
      <c r="BH173" s="425">
        <f t="shared" si="3191"/>
        <v>2017</v>
      </c>
      <c r="BI173" s="425">
        <f t="shared" si="3191"/>
        <v>2017</v>
      </c>
      <c r="BJ173" s="425">
        <f t="shared" si="3191"/>
        <v>2017</v>
      </c>
      <c r="BK173" s="425">
        <f t="shared" si="3191"/>
        <v>2017</v>
      </c>
      <c r="BL173" s="425">
        <f t="shared" si="3191"/>
        <v>2017</v>
      </c>
      <c r="BM173" s="425">
        <f t="shared" si="3191"/>
        <v>2017</v>
      </c>
      <c r="BN173" s="425">
        <f t="shared" si="3191"/>
        <v>2017</v>
      </c>
      <c r="BO173" s="425">
        <f t="shared" si="3191"/>
        <v>2017</v>
      </c>
      <c r="BP173" s="425">
        <f t="shared" si="3191"/>
        <v>2017</v>
      </c>
      <c r="BQ173" s="425">
        <f t="shared" si="3191"/>
        <v>2017</v>
      </c>
      <c r="BR173" s="425">
        <f t="shared" ref="BR173:EC173" si="3192">YEAR(BR172)</f>
        <v>2017</v>
      </c>
      <c r="BS173" s="425">
        <f t="shared" si="3192"/>
        <v>2017</v>
      </c>
      <c r="BT173" s="425">
        <f t="shared" si="3192"/>
        <v>2018</v>
      </c>
      <c r="BU173" s="425">
        <f t="shared" si="3192"/>
        <v>2018</v>
      </c>
      <c r="BV173" s="425">
        <f t="shared" si="3192"/>
        <v>2018</v>
      </c>
      <c r="BW173" s="425">
        <f t="shared" si="3192"/>
        <v>2018</v>
      </c>
      <c r="BX173" s="425">
        <f t="shared" si="3192"/>
        <v>2018</v>
      </c>
      <c r="BY173" s="425">
        <f t="shared" si="3192"/>
        <v>2018</v>
      </c>
      <c r="BZ173" s="425">
        <f t="shared" si="3192"/>
        <v>2018</v>
      </c>
      <c r="CA173" s="425">
        <f t="shared" si="3192"/>
        <v>2018</v>
      </c>
      <c r="CB173" s="425">
        <f t="shared" si="3192"/>
        <v>2018</v>
      </c>
      <c r="CC173" s="425">
        <f t="shared" si="3192"/>
        <v>2018</v>
      </c>
      <c r="CD173" s="425">
        <f t="shared" si="3192"/>
        <v>2018</v>
      </c>
      <c r="CE173" s="425">
        <f t="shared" si="3192"/>
        <v>2018</v>
      </c>
      <c r="CF173" s="425">
        <f t="shared" si="3192"/>
        <v>2019</v>
      </c>
      <c r="CG173" s="425">
        <f t="shared" si="3192"/>
        <v>2019</v>
      </c>
      <c r="CH173" s="425">
        <f t="shared" si="3192"/>
        <v>2019</v>
      </c>
      <c r="CI173" s="425">
        <f t="shared" si="3192"/>
        <v>2019</v>
      </c>
      <c r="CJ173" s="425">
        <f t="shared" si="3192"/>
        <v>2019</v>
      </c>
      <c r="CK173" s="425">
        <f t="shared" si="3192"/>
        <v>2019</v>
      </c>
      <c r="CL173" s="425">
        <f t="shared" si="3192"/>
        <v>2019</v>
      </c>
      <c r="CM173" s="425">
        <f t="shared" si="3192"/>
        <v>2019</v>
      </c>
      <c r="CN173" s="425">
        <f t="shared" si="3192"/>
        <v>2019</v>
      </c>
      <c r="CO173" s="425">
        <f t="shared" si="3192"/>
        <v>2019</v>
      </c>
      <c r="CP173" s="425">
        <f t="shared" si="3192"/>
        <v>2019</v>
      </c>
      <c r="CQ173" s="425">
        <f t="shared" si="3192"/>
        <v>2019</v>
      </c>
      <c r="CR173" s="425">
        <f t="shared" si="3192"/>
        <v>2020</v>
      </c>
      <c r="CS173" s="425">
        <f t="shared" si="3192"/>
        <v>2020</v>
      </c>
      <c r="CT173" s="425">
        <f t="shared" si="3192"/>
        <v>2020</v>
      </c>
      <c r="CU173" s="425">
        <f t="shared" si="3192"/>
        <v>2020</v>
      </c>
      <c r="CV173" s="425">
        <f t="shared" si="3192"/>
        <v>2020</v>
      </c>
      <c r="CW173" s="425">
        <f t="shared" si="3192"/>
        <v>2020</v>
      </c>
      <c r="CX173" s="425">
        <f t="shared" si="3192"/>
        <v>2020</v>
      </c>
      <c r="CY173" s="425">
        <f t="shared" si="3192"/>
        <v>2020</v>
      </c>
      <c r="CZ173" s="425">
        <f t="shared" si="3192"/>
        <v>2020</v>
      </c>
      <c r="DA173" s="425">
        <f t="shared" si="3192"/>
        <v>2020</v>
      </c>
      <c r="DB173" s="425">
        <f t="shared" si="3192"/>
        <v>2020</v>
      </c>
      <c r="DC173" s="425">
        <f t="shared" si="3192"/>
        <v>2020</v>
      </c>
      <c r="DD173" s="425">
        <f t="shared" si="3192"/>
        <v>2021</v>
      </c>
      <c r="DE173" s="425">
        <f t="shared" si="3192"/>
        <v>2021</v>
      </c>
      <c r="DF173" s="425">
        <f t="shared" si="3192"/>
        <v>2021</v>
      </c>
      <c r="DG173" s="425">
        <f t="shared" si="3192"/>
        <v>2021</v>
      </c>
      <c r="DH173" s="425">
        <f t="shared" si="3192"/>
        <v>2021</v>
      </c>
      <c r="DI173" s="425">
        <f t="shared" si="3192"/>
        <v>2021</v>
      </c>
      <c r="DJ173" s="425">
        <f t="shared" si="3192"/>
        <v>2021</v>
      </c>
      <c r="DK173" s="425">
        <f t="shared" si="3192"/>
        <v>2021</v>
      </c>
      <c r="DL173" s="425">
        <f t="shared" si="3192"/>
        <v>2021</v>
      </c>
      <c r="DM173" s="425">
        <f t="shared" si="3192"/>
        <v>2021</v>
      </c>
      <c r="DN173" s="425">
        <f t="shared" si="3192"/>
        <v>2021</v>
      </c>
      <c r="DO173" s="425">
        <f t="shared" si="3192"/>
        <v>2021</v>
      </c>
      <c r="DP173" s="425">
        <f t="shared" si="3192"/>
        <v>2022</v>
      </c>
      <c r="DQ173" s="425">
        <f t="shared" si="3192"/>
        <v>2022</v>
      </c>
      <c r="DR173" s="425">
        <f t="shared" si="3192"/>
        <v>2022</v>
      </c>
      <c r="DS173" s="425">
        <f t="shared" si="3192"/>
        <v>2022</v>
      </c>
      <c r="DT173" s="425">
        <f t="shared" si="3192"/>
        <v>2022</v>
      </c>
      <c r="DU173" s="425">
        <f t="shared" si="3192"/>
        <v>2022</v>
      </c>
      <c r="DV173" s="425">
        <f t="shared" si="3192"/>
        <v>2022</v>
      </c>
      <c r="DW173" s="425">
        <f t="shared" si="3192"/>
        <v>2022</v>
      </c>
      <c r="DX173" s="425">
        <f t="shared" si="3192"/>
        <v>2022</v>
      </c>
      <c r="DY173" s="425">
        <f t="shared" si="3192"/>
        <v>2022</v>
      </c>
      <c r="DZ173" s="425">
        <f t="shared" si="3192"/>
        <v>2022</v>
      </c>
      <c r="EA173" s="425">
        <f t="shared" si="3192"/>
        <v>2022</v>
      </c>
      <c r="EB173" s="425">
        <f t="shared" si="3192"/>
        <v>2023</v>
      </c>
      <c r="EC173" s="425">
        <f t="shared" si="3192"/>
        <v>2023</v>
      </c>
      <c r="ED173" s="425">
        <f t="shared" ref="ED173:GO173" si="3193">YEAR(ED172)</f>
        <v>2023</v>
      </c>
      <c r="EE173" s="425">
        <f t="shared" si="3193"/>
        <v>2023</v>
      </c>
      <c r="EF173" s="425">
        <f t="shared" si="3193"/>
        <v>2023</v>
      </c>
      <c r="EG173" s="425">
        <f t="shared" si="3193"/>
        <v>2023</v>
      </c>
      <c r="EH173" s="425">
        <f t="shared" si="3193"/>
        <v>2023</v>
      </c>
      <c r="EI173" s="425">
        <f t="shared" si="3193"/>
        <v>2023</v>
      </c>
      <c r="EJ173" s="425">
        <f t="shared" si="3193"/>
        <v>2023</v>
      </c>
      <c r="EK173" s="425">
        <f t="shared" si="3193"/>
        <v>2023</v>
      </c>
      <c r="EL173" s="425">
        <f t="shared" si="3193"/>
        <v>2023</v>
      </c>
      <c r="EM173" s="425">
        <f t="shared" si="3193"/>
        <v>2023</v>
      </c>
      <c r="EN173" s="425">
        <f t="shared" si="3193"/>
        <v>2024</v>
      </c>
      <c r="EO173" s="425">
        <f t="shared" si="3193"/>
        <v>2024</v>
      </c>
      <c r="EP173" s="425">
        <f t="shared" si="3193"/>
        <v>2024</v>
      </c>
      <c r="EQ173" s="425">
        <f t="shared" si="3193"/>
        <v>2024</v>
      </c>
      <c r="ER173" s="425">
        <f t="shared" si="3193"/>
        <v>2024</v>
      </c>
      <c r="ES173" s="425">
        <f t="shared" si="3193"/>
        <v>2024</v>
      </c>
      <c r="ET173" s="425">
        <f t="shared" si="3193"/>
        <v>2024</v>
      </c>
      <c r="EU173" s="425">
        <f t="shared" si="3193"/>
        <v>2024</v>
      </c>
      <c r="EV173" s="425">
        <f t="shared" si="3193"/>
        <v>2024</v>
      </c>
      <c r="EW173" s="425">
        <f t="shared" si="3193"/>
        <v>2024</v>
      </c>
      <c r="EX173" s="425">
        <f t="shared" si="3193"/>
        <v>2024</v>
      </c>
      <c r="EY173" s="425">
        <f t="shared" si="3193"/>
        <v>2024</v>
      </c>
      <c r="EZ173" s="425">
        <f t="shared" si="3193"/>
        <v>2025</v>
      </c>
      <c r="FA173" s="425">
        <f t="shared" si="3193"/>
        <v>2025</v>
      </c>
      <c r="FB173" s="425">
        <f t="shared" si="3193"/>
        <v>2025</v>
      </c>
      <c r="FC173" s="425">
        <f t="shared" si="3193"/>
        <v>2025</v>
      </c>
      <c r="FD173" s="425">
        <f t="shared" si="3193"/>
        <v>2025</v>
      </c>
      <c r="FE173" s="425">
        <f t="shared" si="3193"/>
        <v>2025</v>
      </c>
      <c r="FF173" s="425">
        <f t="shared" si="3193"/>
        <v>2025</v>
      </c>
      <c r="FG173" s="425">
        <f t="shared" si="3193"/>
        <v>2025</v>
      </c>
      <c r="FH173" s="425">
        <f t="shared" si="3193"/>
        <v>2025</v>
      </c>
      <c r="FI173" s="425">
        <f t="shared" si="3193"/>
        <v>2025</v>
      </c>
      <c r="FJ173" s="425">
        <f t="shared" si="3193"/>
        <v>2025</v>
      </c>
      <c r="FK173" s="425">
        <f t="shared" si="3193"/>
        <v>2025</v>
      </c>
      <c r="FL173" s="425">
        <f t="shared" si="3193"/>
        <v>2026</v>
      </c>
      <c r="FM173" s="425">
        <f t="shared" si="3193"/>
        <v>2026</v>
      </c>
      <c r="FN173" s="425">
        <f t="shared" si="3193"/>
        <v>2026</v>
      </c>
      <c r="FO173" s="425">
        <f t="shared" si="3193"/>
        <v>2026</v>
      </c>
      <c r="FP173" s="425">
        <f t="shared" si="3193"/>
        <v>2026</v>
      </c>
      <c r="FQ173" s="425">
        <f t="shared" si="3193"/>
        <v>2026</v>
      </c>
      <c r="FR173" s="425">
        <f t="shared" si="3193"/>
        <v>2026</v>
      </c>
      <c r="FS173" s="425">
        <f t="shared" si="3193"/>
        <v>2026</v>
      </c>
      <c r="FT173" s="425">
        <f t="shared" si="3193"/>
        <v>2026</v>
      </c>
      <c r="FU173" s="425">
        <f t="shared" si="3193"/>
        <v>2026</v>
      </c>
      <c r="FV173" s="425">
        <f t="shared" si="3193"/>
        <v>2026</v>
      </c>
      <c r="FW173" s="425">
        <f t="shared" si="3193"/>
        <v>2026</v>
      </c>
      <c r="FX173" s="425">
        <f t="shared" si="3193"/>
        <v>2027</v>
      </c>
      <c r="FY173" s="425">
        <f t="shared" si="3193"/>
        <v>2027</v>
      </c>
      <c r="FZ173" s="425">
        <f t="shared" si="3193"/>
        <v>2027</v>
      </c>
      <c r="GA173" s="425">
        <f t="shared" si="3193"/>
        <v>2027</v>
      </c>
      <c r="GB173" s="425">
        <f t="shared" si="3193"/>
        <v>2027</v>
      </c>
      <c r="GC173" s="425">
        <f t="shared" si="3193"/>
        <v>2027</v>
      </c>
      <c r="GD173" s="425">
        <f t="shared" si="3193"/>
        <v>2027</v>
      </c>
      <c r="GE173" s="425">
        <f t="shared" si="3193"/>
        <v>2027</v>
      </c>
      <c r="GF173" s="425">
        <f t="shared" si="3193"/>
        <v>2027</v>
      </c>
      <c r="GG173" s="425">
        <f t="shared" si="3193"/>
        <v>2027</v>
      </c>
      <c r="GH173" s="425">
        <f t="shared" si="3193"/>
        <v>2027</v>
      </c>
      <c r="GI173" s="425">
        <f t="shared" si="3193"/>
        <v>2027</v>
      </c>
      <c r="GJ173" s="425">
        <f t="shared" si="3193"/>
        <v>2028</v>
      </c>
      <c r="GK173" s="425">
        <f t="shared" si="3193"/>
        <v>2028</v>
      </c>
      <c r="GL173" s="425">
        <f t="shared" si="3193"/>
        <v>2028</v>
      </c>
      <c r="GM173" s="425">
        <f t="shared" si="3193"/>
        <v>2028</v>
      </c>
      <c r="GN173" s="425">
        <f t="shared" si="3193"/>
        <v>2028</v>
      </c>
      <c r="GO173" s="425">
        <f t="shared" si="3193"/>
        <v>2028</v>
      </c>
      <c r="GP173" s="425">
        <f t="shared" ref="GP173:GQ173" si="3194">YEAR(GP172)</f>
        <v>2028</v>
      </c>
      <c r="GQ173" s="425">
        <f t="shared" si="3194"/>
        <v>2028</v>
      </c>
    </row>
    <row r="174" spans="2:199" s="315" customFormat="1" outlineLevel="1">
      <c r="B174" s="181" t="s">
        <v>410</v>
      </c>
      <c r="C174" s="432">
        <v>41061</v>
      </c>
    </row>
    <row r="175" spans="2:199" s="315" customFormat="1" outlineLevel="1">
      <c r="B175" s="182" t="s">
        <v>398</v>
      </c>
      <c r="C175" s="206">
        <f>DATE(YEAR(C174)+C178,MONTH(C174),DAY(C174))</f>
        <v>44713</v>
      </c>
    </row>
    <row r="176" spans="2:199" s="315" customFormat="1" outlineLevel="1">
      <c r="B176" s="182" t="s">
        <v>402</v>
      </c>
      <c r="C176" s="206">
        <v>41244</v>
      </c>
    </row>
    <row r="177" spans="2:199" s="315" customFormat="1" outlineLevel="1">
      <c r="B177" s="182" t="s">
        <v>399</v>
      </c>
      <c r="C177" s="206">
        <v>43983</v>
      </c>
      <c r="D177" s="301" t="s">
        <v>468</v>
      </c>
      <c r="E177" s="303"/>
      <c r="F177" s="303"/>
      <c r="G177" s="303"/>
      <c r="H177" s="303"/>
      <c r="I177" s="303"/>
      <c r="J177" s="303"/>
      <c r="K177" s="303"/>
      <c r="L177" s="303"/>
      <c r="M177" s="303"/>
      <c r="N177" s="303"/>
      <c r="O177" s="303"/>
      <c r="P177" s="303"/>
      <c r="Q177" s="303"/>
      <c r="R177" s="303"/>
      <c r="S177" s="303"/>
      <c r="T177" s="303"/>
      <c r="U177" s="303"/>
      <c r="V177" s="303"/>
      <c r="W177" s="303"/>
      <c r="X177" s="303"/>
      <c r="Y177" s="303"/>
      <c r="Z177" s="303"/>
      <c r="AA177" s="303"/>
      <c r="AB177" s="303"/>
      <c r="AC177" s="303"/>
      <c r="AD177" s="303"/>
      <c r="AE177" s="303"/>
      <c r="AF177" s="303"/>
      <c r="AG177" s="303"/>
      <c r="AH177" s="303"/>
      <c r="AI177" s="303"/>
      <c r="AJ177" s="303"/>
      <c r="AK177" s="303"/>
      <c r="AL177" s="303"/>
      <c r="AM177" s="303"/>
      <c r="AN177" s="303"/>
      <c r="AO177" s="303"/>
      <c r="AP177" s="303"/>
      <c r="AQ177" s="303"/>
      <c r="AR177" s="303"/>
      <c r="AS177" s="303"/>
      <c r="AT177" s="303"/>
      <c r="AU177" s="303"/>
      <c r="AV177" s="303"/>
      <c r="AW177" s="303"/>
      <c r="AX177" s="303"/>
      <c r="AY177" s="303"/>
      <c r="AZ177" s="303"/>
      <c r="BA177" s="303"/>
      <c r="BB177" s="303"/>
      <c r="BC177" s="303"/>
      <c r="BD177" s="303"/>
      <c r="BE177" s="303"/>
      <c r="BF177" s="303"/>
      <c r="BG177" s="303"/>
      <c r="BH177" s="303"/>
      <c r="BI177" s="303"/>
      <c r="BJ177" s="303"/>
      <c r="BK177" s="303"/>
      <c r="BL177" s="303"/>
      <c r="BM177" s="303"/>
      <c r="BN177" s="303"/>
      <c r="BO177" s="303"/>
      <c r="BP177" s="303"/>
      <c r="BQ177" s="303"/>
      <c r="BR177" s="303"/>
      <c r="BS177" s="303"/>
      <c r="BT177" s="303"/>
      <c r="BU177" s="303"/>
      <c r="BV177" s="303"/>
      <c r="BW177" s="303"/>
      <c r="BX177" s="303"/>
      <c r="BY177" s="303"/>
      <c r="BZ177" s="303"/>
      <c r="CA177" s="303"/>
      <c r="CB177" s="303"/>
      <c r="CC177" s="303"/>
      <c r="CD177" s="303"/>
      <c r="CE177" s="303"/>
      <c r="CF177" s="303"/>
      <c r="CG177" s="303"/>
      <c r="CH177" s="303"/>
      <c r="CI177" s="303"/>
      <c r="CJ177" s="303"/>
      <c r="CK177" s="303"/>
      <c r="CL177" s="303"/>
      <c r="CM177" s="303"/>
      <c r="CN177" s="303"/>
      <c r="CO177" s="303"/>
      <c r="CP177" s="303"/>
      <c r="CQ177" s="303"/>
      <c r="CR177" s="303"/>
      <c r="CS177" s="303"/>
      <c r="CT177" s="303"/>
      <c r="CU177" s="303"/>
      <c r="CV177" s="303"/>
      <c r="CW177" s="430">
        <v>0.33329999999999999</v>
      </c>
      <c r="CX177" s="303"/>
      <c r="CY177" s="303"/>
      <c r="CZ177" s="303"/>
      <c r="DA177" s="303"/>
      <c r="DB177" s="303"/>
      <c r="DC177" s="303"/>
      <c r="DD177" s="303"/>
      <c r="DE177" s="303"/>
      <c r="DF177" s="303"/>
      <c r="DG177" s="303"/>
      <c r="DH177" s="303"/>
      <c r="DI177" s="430">
        <v>0.33329999999999999</v>
      </c>
      <c r="DJ177" s="303"/>
      <c r="DK177" s="303"/>
      <c r="DL177" s="303"/>
      <c r="DM177" s="303"/>
      <c r="DN177" s="303"/>
      <c r="DO177" s="303"/>
      <c r="DP177" s="303"/>
      <c r="DQ177" s="303"/>
      <c r="DR177" s="303"/>
      <c r="DS177" s="303"/>
      <c r="DT177" s="303"/>
      <c r="DU177" s="430">
        <v>0.33339999999999997</v>
      </c>
      <c r="DV177" s="303"/>
      <c r="DW177" s="303"/>
      <c r="DX177" s="303"/>
      <c r="DY177" s="303"/>
      <c r="DZ177" s="303"/>
      <c r="EA177" s="303"/>
      <c r="EB177" s="303"/>
      <c r="EC177" s="303"/>
      <c r="ED177" s="303"/>
      <c r="EE177" s="303"/>
      <c r="EF177" s="303"/>
      <c r="EG177" s="303"/>
      <c r="EH177" s="303"/>
      <c r="EI177" s="303"/>
      <c r="EJ177" s="303"/>
      <c r="EK177" s="303"/>
      <c r="EL177" s="303"/>
      <c r="EM177" s="303"/>
      <c r="EN177" s="303"/>
      <c r="EO177" s="303"/>
      <c r="EP177" s="303"/>
      <c r="EQ177" s="303"/>
      <c r="ER177" s="303"/>
      <c r="ES177" s="303"/>
      <c r="ET177" s="303"/>
      <c r="EU177" s="303"/>
      <c r="EV177" s="303"/>
      <c r="EW177" s="303"/>
      <c r="EX177" s="303"/>
      <c r="EY177" s="303"/>
      <c r="EZ177" s="303"/>
      <c r="FA177" s="303"/>
      <c r="FB177" s="303"/>
      <c r="FC177" s="303"/>
      <c r="FD177" s="303"/>
      <c r="FE177" s="303"/>
      <c r="FF177" s="303"/>
      <c r="FG177" s="303"/>
      <c r="FH177" s="303"/>
      <c r="FI177" s="303"/>
      <c r="FJ177" s="303"/>
      <c r="FK177" s="303"/>
      <c r="FL177" s="303"/>
      <c r="FM177" s="303"/>
      <c r="FN177" s="303"/>
      <c r="FO177" s="303"/>
      <c r="FP177" s="303"/>
      <c r="FQ177" s="303"/>
      <c r="FR177" s="303"/>
      <c r="FS177" s="303"/>
      <c r="FT177" s="303"/>
      <c r="FU177" s="303"/>
      <c r="FV177" s="303"/>
      <c r="FW177" s="303"/>
      <c r="FX177" s="303"/>
      <c r="FY177" s="303"/>
      <c r="FZ177" s="303"/>
      <c r="GA177" s="303"/>
      <c r="GB177" s="303"/>
      <c r="GC177" s="303"/>
      <c r="GD177" s="303"/>
      <c r="GE177" s="303"/>
      <c r="GF177" s="303"/>
      <c r="GG177" s="303"/>
      <c r="GH177" s="303"/>
      <c r="GI177" s="303"/>
      <c r="GJ177" s="303"/>
      <c r="GK177" s="303"/>
      <c r="GL177" s="303"/>
      <c r="GM177" s="303"/>
      <c r="GN177" s="303"/>
      <c r="GO177" s="303"/>
      <c r="GP177" s="303"/>
      <c r="GQ177" s="303"/>
    </row>
    <row r="178" spans="2:199" s="315" customFormat="1" outlineLevel="1">
      <c r="B178" s="182" t="s">
        <v>400</v>
      </c>
      <c r="C178" s="207">
        <v>10</v>
      </c>
    </row>
    <row r="179" spans="2:199" s="315" customFormat="1" outlineLevel="1">
      <c r="B179" s="182" t="s">
        <v>574</v>
      </c>
      <c r="C179" s="170"/>
      <c r="D179" s="170"/>
      <c r="E179" s="170">
        <f>VLOOKUP(EOMONTH(E172,0),Macroeconomics!$B$67:$R$380,Macroeconomics!$H$66,0)</f>
        <v>1.2999999999999999E-3</v>
      </c>
      <c r="F179" s="170">
        <f>VLOOKUP(EOMONTH(F172,0),Macroeconomics!$B$67:$R$380,Macroeconomics!$H$66,0)</f>
        <v>0</v>
      </c>
      <c r="G179" s="170">
        <f>VLOOKUP(EOMONTH(G172,0),Macroeconomics!$B$67:$R$380,Macroeconomics!$H$66,0)</f>
        <v>2.0999999999999999E-3</v>
      </c>
      <c r="H179" s="170">
        <f>VLOOKUP(EOMONTH(H172,0),Macroeconomics!$B$67:$R$380,Macroeconomics!$H$66,0)</f>
        <v>4.5000000000000005E-3</v>
      </c>
      <c r="I179" s="170">
        <f>VLOOKUP(EOMONTH(I172,0),Macroeconomics!$B$67:$R$380,Macroeconomics!$H$66,0)</f>
        <v>5.5000000000000005E-3</v>
      </c>
      <c r="J179" s="170">
        <f>VLOOKUP(EOMONTH(J172,0),Macroeconomics!$B$67:$R$380,Macroeconomics!$H$66,0)</f>
        <v>6.8000000000000005E-3</v>
      </c>
      <c r="K179" s="170">
        <f>VLOOKUP(EOMONTH(K172,0),Macroeconomics!$B$67:$R$380,Macroeconomics!$H$66,0)</f>
        <v>6.0000000000000001E-3</v>
      </c>
      <c r="L179" s="170">
        <f>VLOOKUP(EOMONTH(L172,0),Macroeconomics!$B$67:$R$380,Macroeconomics!$H$66,0)</f>
        <v>6.7200000000000011E-3</v>
      </c>
      <c r="M179" s="170">
        <f>VLOOKUP(EOMONTH(M172,0),Macroeconomics!$B$67:$R$380,Macroeconomics!$H$66,0)</f>
        <v>7.4000000000000003E-3</v>
      </c>
      <c r="N179" s="170">
        <f>VLOOKUP(EOMONTH(N172,0),Macroeconomics!$B$67:$R$380,Macroeconomics!$H$66,0)</f>
        <v>4.5199999999999997E-3</v>
      </c>
      <c r="O179" s="170">
        <f>VLOOKUP(EOMONTH(O172,0),Macroeconomics!$B$67:$R$380,Macroeconomics!$H$66,0)</f>
        <v>3.6800000000000001E-3</v>
      </c>
      <c r="P179" s="170">
        <f>VLOOKUP(EOMONTH(P172,0),Macroeconomics!$B$67:$R$380,Macroeconomics!$H$66,0)</f>
        <v>5.4000000000000003E-3</v>
      </c>
      <c r="Q179" s="170">
        <f>VLOOKUP(EOMONTH(Q172,0),Macroeconomics!$B$67:$R$380,Macroeconomics!$H$66,0)</f>
        <v>1.5600000000000002E-3</v>
      </c>
      <c r="R179" s="170">
        <f>VLOOKUP(EOMONTH(R172,0),Macroeconomics!$B$67:$R$380,Macroeconomics!$H$66,0)</f>
        <v>1E-3</v>
      </c>
      <c r="S179" s="170">
        <f>VLOOKUP(EOMONTH(S172,0),Macroeconomics!$B$67:$R$380,Macroeconomics!$H$66,0)</f>
        <v>2.5200000000000001E-3</v>
      </c>
      <c r="T179" s="170">
        <f>VLOOKUP(EOMONTH(T172,0),Macroeconomics!$B$67:$R$380,Macroeconomics!$H$66,0)</f>
        <v>5.4000000000000003E-3</v>
      </c>
      <c r="U179" s="170">
        <f>VLOOKUP(EOMONTH(U172,0),Macroeconomics!$B$67:$R$380,Macroeconomics!$H$66,0)</f>
        <v>6.6000000000000017E-3</v>
      </c>
      <c r="V179" s="170">
        <f>VLOOKUP(EOMONTH(V172,0),Macroeconomics!$B$67:$R$380,Macroeconomics!$H$66,0)</f>
        <v>7.1600000000000006E-3</v>
      </c>
      <c r="W179" s="170">
        <f>VLOOKUP(EOMONTH(W172,0),Macroeconomics!$B$67:$R$380,Macroeconomics!$H$66,0)</f>
        <v>7.1999999999999998E-3</v>
      </c>
      <c r="X179" s="170">
        <f>VLOOKUP(EOMONTH(X172,0),Macroeconomics!$B$67:$R$380,Macroeconomics!$H$66,0)</f>
        <v>3.6748094004368514E-3</v>
      </c>
      <c r="Y179" s="170">
        <f>VLOOKUP(EOMONTH(Y172,0),Macroeconomics!$B$67:$R$380,Macroeconomics!$H$66,0)</f>
        <v>3.6748094004368514E-3</v>
      </c>
      <c r="Z179" s="170">
        <f>VLOOKUP(EOMONTH(Z172,0),Macroeconomics!$B$67:$R$380,Macroeconomics!$H$66,0)</f>
        <v>3.6748094004368514E-3</v>
      </c>
      <c r="AA179" s="170">
        <f>VLOOKUP(EOMONTH(AA172,0),Macroeconomics!$B$67:$R$380,Macroeconomics!$H$66,0)</f>
        <v>3.6748094004368514E-3</v>
      </c>
      <c r="AB179" s="170">
        <f>VLOOKUP(EOMONTH(AB172,0),Macroeconomics!$B$67:$R$380,Macroeconomics!$H$66,0)</f>
        <v>3.6748094004368514E-3</v>
      </c>
      <c r="AC179" s="170">
        <f>VLOOKUP(EOMONTH(AC172,0),Macroeconomics!$B$67:$R$380,Macroeconomics!$H$66,0)</f>
        <v>3.6748094004368514E-3</v>
      </c>
      <c r="AD179" s="170">
        <f>VLOOKUP(EOMONTH(AD172,0),Macroeconomics!$B$67:$R$380,Macroeconomics!$H$66,0)</f>
        <v>3.6748094004368514E-3</v>
      </c>
      <c r="AE179" s="170">
        <f>VLOOKUP(EOMONTH(AE172,0),Macroeconomics!$B$67:$R$380,Macroeconomics!$H$66,0)</f>
        <v>3.6748094004368514E-3</v>
      </c>
      <c r="AF179" s="170">
        <f>VLOOKUP(EOMONTH(AF172,0),Macroeconomics!$B$67:$R$380,Macroeconomics!$H$66,0)</f>
        <v>3.6748094004368514E-3</v>
      </c>
      <c r="AG179" s="170">
        <f>VLOOKUP(EOMONTH(AG172,0),Macroeconomics!$B$67:$R$380,Macroeconomics!$H$66,0)</f>
        <v>3.6748094004368514E-3</v>
      </c>
      <c r="AH179" s="170">
        <f>VLOOKUP(EOMONTH(AH172,0),Macroeconomics!$B$67:$R$380,Macroeconomics!$H$66,0)</f>
        <v>3.6748094004368514E-3</v>
      </c>
      <c r="AI179" s="170">
        <f>VLOOKUP(EOMONTH(AI172,0),Macroeconomics!$B$67:$R$380,Macroeconomics!$H$66,0)</f>
        <v>3.6748094004368514E-3</v>
      </c>
      <c r="AJ179" s="170">
        <f>VLOOKUP(EOMONTH(AJ172,0),Macroeconomics!$B$67:$R$380,Macroeconomics!$H$66,0)</f>
        <v>3.6748094004368514E-3</v>
      </c>
      <c r="AK179" s="170">
        <f>VLOOKUP(EOMONTH(AK172,0),Macroeconomics!$B$67:$R$380,Macroeconomics!$H$66,0)</f>
        <v>3.6748094004368514E-3</v>
      </c>
      <c r="AL179" s="170">
        <f>VLOOKUP(EOMONTH(AL172,0),Macroeconomics!$B$67:$R$380,Macroeconomics!$H$66,0)</f>
        <v>3.6748094004368514E-3</v>
      </c>
      <c r="AM179" s="170">
        <f>VLOOKUP(EOMONTH(AM172,0),Macroeconomics!$B$67:$R$380,Macroeconomics!$H$66,0)</f>
        <v>3.6748094004368514E-3</v>
      </c>
      <c r="AN179" s="170">
        <f>VLOOKUP(EOMONTH(AN172,0),Macroeconomics!$B$67:$R$380,Macroeconomics!$H$66,0)</f>
        <v>3.6748094004368514E-3</v>
      </c>
      <c r="AO179" s="170">
        <f>VLOOKUP(EOMONTH(AO172,0),Macroeconomics!$B$67:$R$380,Macroeconomics!$H$66,0)</f>
        <v>3.6748094004368514E-3</v>
      </c>
      <c r="AP179" s="170">
        <f>VLOOKUP(EOMONTH(AP172,0),Macroeconomics!$B$67:$R$380,Macroeconomics!$H$66,0)</f>
        <v>3.6748094004368514E-3</v>
      </c>
      <c r="AQ179" s="170">
        <f>VLOOKUP(EOMONTH(AQ172,0),Macroeconomics!$B$67:$R$380,Macroeconomics!$H$66,0)</f>
        <v>3.6748094004368514E-3</v>
      </c>
      <c r="AR179" s="170">
        <f>VLOOKUP(EOMONTH(AR172,0),Macroeconomics!$B$67:$R$380,Macroeconomics!$H$66,0)</f>
        <v>3.6748094004368514E-3</v>
      </c>
      <c r="AS179" s="170">
        <f>VLOOKUP(EOMONTH(AS172,0),Macroeconomics!$B$67:$R$380,Macroeconomics!$H$66,0)</f>
        <v>3.6748094004368514E-3</v>
      </c>
      <c r="AT179" s="170">
        <f>VLOOKUP(EOMONTH(AT172,0),Macroeconomics!$B$67:$R$380,Macroeconomics!$H$66,0)</f>
        <v>3.6748094004368514E-3</v>
      </c>
      <c r="AU179" s="170">
        <f>VLOOKUP(EOMONTH(AU172,0),Macroeconomics!$B$67:$R$380,Macroeconomics!$H$66,0)</f>
        <v>3.6748094004368514E-3</v>
      </c>
      <c r="AV179" s="170">
        <f>VLOOKUP(EOMONTH(AV172,0),Macroeconomics!$B$67:$R$380,Macroeconomics!$H$66,0)</f>
        <v>3.6748094004368514E-3</v>
      </c>
      <c r="AW179" s="170">
        <f>VLOOKUP(EOMONTH(AW172,0),Macroeconomics!$B$67:$R$380,Macroeconomics!$H$66,0)</f>
        <v>3.6748094004368514E-3</v>
      </c>
      <c r="AX179" s="170">
        <f>VLOOKUP(EOMONTH(AX172,0),Macroeconomics!$B$67:$R$380,Macroeconomics!$H$66,0)</f>
        <v>3.6748094004368514E-3</v>
      </c>
      <c r="AY179" s="170">
        <f>VLOOKUP(EOMONTH(AY172,0),Macroeconomics!$B$67:$R$380,Macroeconomics!$H$66,0)</f>
        <v>3.6748094004368514E-3</v>
      </c>
      <c r="AZ179" s="170">
        <f>VLOOKUP(EOMONTH(AZ172,0),Macroeconomics!$B$67:$R$380,Macroeconomics!$H$66,0)</f>
        <v>3.6748094004368514E-3</v>
      </c>
      <c r="BA179" s="170">
        <f>VLOOKUP(EOMONTH(BA172,0),Macroeconomics!$B$67:$R$380,Macroeconomics!$H$66,0)</f>
        <v>3.6748094004368514E-3</v>
      </c>
      <c r="BB179" s="170">
        <f>VLOOKUP(EOMONTH(BB172,0),Macroeconomics!$B$67:$R$380,Macroeconomics!$H$66,0)</f>
        <v>3.6748094004368514E-3</v>
      </c>
      <c r="BC179" s="170">
        <f>VLOOKUP(EOMONTH(BC172,0),Macroeconomics!$B$67:$R$380,Macroeconomics!$H$66,0)</f>
        <v>3.6748094004368514E-3</v>
      </c>
      <c r="BD179" s="170">
        <f>VLOOKUP(EOMONTH(BD172,0),Macroeconomics!$B$67:$R$380,Macroeconomics!$H$66,0)</f>
        <v>3.6748094004368514E-3</v>
      </c>
      <c r="BE179" s="170">
        <f>VLOOKUP(EOMONTH(BE172,0),Macroeconomics!$B$67:$R$380,Macroeconomics!$H$66,0)</f>
        <v>3.6748094004368514E-3</v>
      </c>
      <c r="BF179" s="170">
        <f>VLOOKUP(EOMONTH(BF172,0),Macroeconomics!$B$67:$R$380,Macroeconomics!$H$66,0)</f>
        <v>3.6748094004368514E-3</v>
      </c>
      <c r="BG179" s="170">
        <f>VLOOKUP(EOMONTH(BG172,0),Macroeconomics!$B$67:$R$380,Macroeconomics!$H$66,0)</f>
        <v>3.6748094004368514E-3</v>
      </c>
      <c r="BH179" s="170">
        <f>VLOOKUP(EOMONTH(BH172,0),Macroeconomics!$B$67:$R$380,Macroeconomics!$H$66,0)</f>
        <v>3.2737397821989145E-3</v>
      </c>
      <c r="BI179" s="170">
        <f>VLOOKUP(EOMONTH(BI172,0),Macroeconomics!$B$67:$R$380,Macroeconomics!$H$66,0)</f>
        <v>3.2737397821989145E-3</v>
      </c>
      <c r="BJ179" s="170">
        <f>VLOOKUP(EOMONTH(BJ172,0),Macroeconomics!$B$67:$R$380,Macroeconomics!$H$66,0)</f>
        <v>3.2737397821989145E-3</v>
      </c>
      <c r="BK179" s="170">
        <f>VLOOKUP(EOMONTH(BK172,0),Macroeconomics!$B$67:$R$380,Macroeconomics!$H$66,0)</f>
        <v>3.2737397821989145E-3</v>
      </c>
      <c r="BL179" s="170">
        <f>VLOOKUP(EOMONTH(BL172,0),Macroeconomics!$B$67:$R$380,Macroeconomics!$H$66,0)</f>
        <v>3.2737397821989145E-3</v>
      </c>
      <c r="BM179" s="170">
        <f>VLOOKUP(EOMONTH(BM172,0),Macroeconomics!$B$67:$R$380,Macroeconomics!$H$66,0)</f>
        <v>3.2737397821989145E-3</v>
      </c>
      <c r="BN179" s="170">
        <f>VLOOKUP(EOMONTH(BN172,0),Macroeconomics!$B$67:$R$380,Macroeconomics!$H$66,0)</f>
        <v>3.2737397821989145E-3</v>
      </c>
      <c r="BO179" s="170">
        <f>VLOOKUP(EOMONTH(BO172,0),Macroeconomics!$B$67:$R$380,Macroeconomics!$H$66,0)</f>
        <v>3.2737397821989145E-3</v>
      </c>
      <c r="BP179" s="170">
        <f>VLOOKUP(EOMONTH(BP172,0),Macroeconomics!$B$67:$R$380,Macroeconomics!$H$66,0)</f>
        <v>3.2737397821989145E-3</v>
      </c>
      <c r="BQ179" s="170">
        <f>VLOOKUP(EOMONTH(BQ172,0),Macroeconomics!$B$67:$R$380,Macroeconomics!$H$66,0)</f>
        <v>3.2737397821989145E-3</v>
      </c>
      <c r="BR179" s="170">
        <f>VLOOKUP(EOMONTH(BR172,0),Macroeconomics!$B$67:$R$380,Macroeconomics!$H$66,0)</f>
        <v>3.2737397821989145E-3</v>
      </c>
      <c r="BS179" s="170">
        <f>VLOOKUP(EOMONTH(BS172,0),Macroeconomics!$B$67:$R$380,Macroeconomics!$H$66,0)</f>
        <v>3.2737397821989145E-3</v>
      </c>
      <c r="BT179" s="170">
        <f>VLOOKUP(EOMONTH(BT172,0),Macroeconomics!$B$67:$R$380,Macroeconomics!$H$66,0)</f>
        <v>3.2737397821989145E-3</v>
      </c>
      <c r="BU179" s="170">
        <f>VLOOKUP(EOMONTH(BU172,0),Macroeconomics!$B$67:$R$380,Macroeconomics!$H$66,0)</f>
        <v>3.2737397821989145E-3</v>
      </c>
      <c r="BV179" s="170">
        <f>VLOOKUP(EOMONTH(BV172,0),Macroeconomics!$B$67:$R$380,Macroeconomics!$H$66,0)</f>
        <v>3.2737397821989145E-3</v>
      </c>
      <c r="BW179" s="170">
        <f>VLOOKUP(EOMONTH(BW172,0),Macroeconomics!$B$67:$R$380,Macroeconomics!$H$66,0)</f>
        <v>3.2737397821989145E-3</v>
      </c>
      <c r="BX179" s="170">
        <f>VLOOKUP(EOMONTH(BX172,0),Macroeconomics!$B$67:$R$380,Macroeconomics!$H$66,0)</f>
        <v>3.2737397821989145E-3</v>
      </c>
      <c r="BY179" s="170">
        <f>VLOOKUP(EOMONTH(BY172,0),Macroeconomics!$B$67:$R$380,Macroeconomics!$H$66,0)</f>
        <v>3.2737397821989145E-3</v>
      </c>
      <c r="BZ179" s="170">
        <f>VLOOKUP(EOMONTH(BZ172,0),Macroeconomics!$B$67:$R$380,Macroeconomics!$H$66,0)</f>
        <v>3.2737397821989145E-3</v>
      </c>
      <c r="CA179" s="170">
        <f>VLOOKUP(EOMONTH(CA172,0),Macroeconomics!$B$67:$R$380,Macroeconomics!$H$66,0)</f>
        <v>3.2737397821989145E-3</v>
      </c>
      <c r="CB179" s="170">
        <f>VLOOKUP(EOMONTH(CB172,0),Macroeconomics!$B$67:$R$380,Macroeconomics!$H$66,0)</f>
        <v>3.2737397821989145E-3</v>
      </c>
      <c r="CC179" s="170">
        <f>VLOOKUP(EOMONTH(CC172,0),Macroeconomics!$B$67:$R$380,Macroeconomics!$H$66,0)</f>
        <v>3.2737397821989145E-3</v>
      </c>
      <c r="CD179" s="170">
        <f>VLOOKUP(EOMONTH(CD172,0),Macroeconomics!$B$67:$R$380,Macroeconomics!$H$66,0)</f>
        <v>3.2737397821989145E-3</v>
      </c>
      <c r="CE179" s="170">
        <f>VLOOKUP(EOMONTH(CE172,0),Macroeconomics!$B$67:$R$380,Macroeconomics!$H$66,0)</f>
        <v>3.2737397821989145E-3</v>
      </c>
      <c r="CF179" s="170">
        <f>VLOOKUP(EOMONTH(CF172,0),Macroeconomics!$B$67:$R$380,Macroeconomics!$H$66,0)</f>
        <v>3.2737397821989145E-3</v>
      </c>
      <c r="CG179" s="170">
        <f>VLOOKUP(EOMONTH(CG172,0),Macroeconomics!$B$67:$R$380,Macroeconomics!$H$66,0)</f>
        <v>3.2737397821989145E-3</v>
      </c>
      <c r="CH179" s="170">
        <f>VLOOKUP(EOMONTH(CH172,0),Macroeconomics!$B$67:$R$380,Macroeconomics!$H$66,0)</f>
        <v>3.2737397821989145E-3</v>
      </c>
      <c r="CI179" s="170">
        <f>VLOOKUP(EOMONTH(CI172,0),Macroeconomics!$B$67:$R$380,Macroeconomics!$H$66,0)</f>
        <v>3.2737397821989145E-3</v>
      </c>
      <c r="CJ179" s="170">
        <f>VLOOKUP(EOMONTH(CJ172,0),Macroeconomics!$B$67:$R$380,Macroeconomics!$H$66,0)</f>
        <v>3.2737397821989145E-3</v>
      </c>
      <c r="CK179" s="170">
        <f>VLOOKUP(EOMONTH(CK172,0),Macroeconomics!$B$67:$R$380,Macroeconomics!$H$66,0)</f>
        <v>3.2737397821989145E-3</v>
      </c>
      <c r="CL179" s="170">
        <f>VLOOKUP(EOMONTH(CL172,0),Macroeconomics!$B$67:$R$380,Macroeconomics!$H$66,0)</f>
        <v>3.2737397821989145E-3</v>
      </c>
      <c r="CM179" s="170">
        <f>VLOOKUP(EOMONTH(CM172,0),Macroeconomics!$B$67:$R$380,Macroeconomics!$H$66,0)</f>
        <v>3.2737397821989145E-3</v>
      </c>
      <c r="CN179" s="170">
        <f>VLOOKUP(EOMONTH(CN172,0),Macroeconomics!$B$67:$R$380,Macroeconomics!$H$66,0)</f>
        <v>3.2737397821989145E-3</v>
      </c>
      <c r="CO179" s="170">
        <f>VLOOKUP(EOMONTH(CO172,0),Macroeconomics!$B$67:$R$380,Macroeconomics!$H$66,0)</f>
        <v>3.2737397821989145E-3</v>
      </c>
      <c r="CP179" s="170">
        <f>VLOOKUP(EOMONTH(CP172,0),Macroeconomics!$B$67:$R$380,Macroeconomics!$H$66,0)</f>
        <v>3.2737397821989145E-3</v>
      </c>
      <c r="CQ179" s="170">
        <f>VLOOKUP(EOMONTH(CQ172,0),Macroeconomics!$B$67:$R$380,Macroeconomics!$H$66,0)</f>
        <v>3.2737397821989145E-3</v>
      </c>
      <c r="CR179" s="170">
        <f>VLOOKUP(EOMONTH(CR172,0),Macroeconomics!$B$67:$R$380,Macroeconomics!$H$66,0)</f>
        <v>3.2737397821989145E-3</v>
      </c>
      <c r="CS179" s="170">
        <f>VLOOKUP(EOMONTH(CS172,0),Macroeconomics!$B$67:$R$380,Macroeconomics!$H$66,0)</f>
        <v>3.2737397821989145E-3</v>
      </c>
      <c r="CT179" s="170">
        <f>VLOOKUP(EOMONTH(CT172,0),Macroeconomics!$B$67:$R$380,Macroeconomics!$H$66,0)</f>
        <v>3.2737397821989145E-3</v>
      </c>
      <c r="CU179" s="170">
        <f>VLOOKUP(EOMONTH(CU172,0),Macroeconomics!$B$67:$R$380,Macroeconomics!$H$66,0)</f>
        <v>3.2737397821989145E-3</v>
      </c>
      <c r="CV179" s="170">
        <f>VLOOKUP(EOMONTH(CV172,0),Macroeconomics!$B$67:$R$380,Macroeconomics!$H$66,0)</f>
        <v>3.2737397821989145E-3</v>
      </c>
      <c r="CW179" s="170">
        <f>VLOOKUP(EOMONTH(CW172,0),Macroeconomics!$B$67:$R$380,Macroeconomics!$H$66,0)</f>
        <v>3.2737397821989145E-3</v>
      </c>
      <c r="CX179" s="170">
        <f>VLOOKUP(EOMONTH(CX172,0),Macroeconomics!$B$67:$R$380,Macroeconomics!$H$66,0)</f>
        <v>3.2737397821989145E-3</v>
      </c>
      <c r="CY179" s="170">
        <f>VLOOKUP(EOMONTH(CY172,0),Macroeconomics!$B$67:$R$380,Macroeconomics!$H$66,0)</f>
        <v>3.2737397821989145E-3</v>
      </c>
      <c r="CZ179" s="170">
        <f>VLOOKUP(EOMONTH(CZ172,0),Macroeconomics!$B$67:$R$380,Macroeconomics!$H$66,0)</f>
        <v>3.2737397821989145E-3</v>
      </c>
      <c r="DA179" s="170">
        <f>VLOOKUP(EOMONTH(DA172,0),Macroeconomics!$B$67:$R$380,Macroeconomics!$H$66,0)</f>
        <v>3.2737397821989145E-3</v>
      </c>
      <c r="DB179" s="170">
        <f>VLOOKUP(EOMONTH(DB172,0),Macroeconomics!$B$67:$R$380,Macroeconomics!$H$66,0)</f>
        <v>3.2737397821989145E-3</v>
      </c>
      <c r="DC179" s="170">
        <f>VLOOKUP(EOMONTH(DC172,0),Macroeconomics!$B$67:$R$380,Macroeconomics!$H$66,0)</f>
        <v>3.2737397821989145E-3</v>
      </c>
      <c r="DD179" s="170">
        <f>VLOOKUP(EOMONTH(DD172,0),Macroeconomics!$B$67:$R$380,Macroeconomics!$H$66,0)</f>
        <v>3.2737397821989145E-3</v>
      </c>
      <c r="DE179" s="170">
        <f>VLOOKUP(EOMONTH(DE172,0),Macroeconomics!$B$67:$R$380,Macroeconomics!$H$66,0)</f>
        <v>3.2737397821989145E-3</v>
      </c>
      <c r="DF179" s="170">
        <f>VLOOKUP(EOMONTH(DF172,0),Macroeconomics!$B$67:$R$380,Macroeconomics!$H$66,0)</f>
        <v>3.2737397821989145E-3</v>
      </c>
      <c r="DG179" s="170">
        <f>VLOOKUP(EOMONTH(DG172,0),Macroeconomics!$B$67:$R$380,Macroeconomics!$H$66,0)</f>
        <v>3.2737397821989145E-3</v>
      </c>
      <c r="DH179" s="170">
        <f>VLOOKUP(EOMONTH(DH172,0),Macroeconomics!$B$67:$R$380,Macroeconomics!$H$66,0)</f>
        <v>3.2737397821989145E-3</v>
      </c>
      <c r="DI179" s="170">
        <f>VLOOKUP(EOMONTH(DI172,0),Macroeconomics!$B$67:$R$380,Macroeconomics!$H$66,0)</f>
        <v>3.2737397821989145E-3</v>
      </c>
      <c r="DJ179" s="170">
        <f>VLOOKUP(EOMONTH(DJ172,0),Macroeconomics!$B$67:$R$380,Macroeconomics!$H$66,0)</f>
        <v>3.2737397821989145E-3</v>
      </c>
      <c r="DK179" s="170">
        <f>VLOOKUP(EOMONTH(DK172,0),Macroeconomics!$B$67:$R$380,Macroeconomics!$H$66,0)</f>
        <v>3.2737397821989145E-3</v>
      </c>
      <c r="DL179" s="170">
        <f>VLOOKUP(EOMONTH(DL172,0),Macroeconomics!$B$67:$R$380,Macroeconomics!$H$66,0)</f>
        <v>3.2737397821989145E-3</v>
      </c>
      <c r="DM179" s="170">
        <f>VLOOKUP(EOMONTH(DM172,0),Macroeconomics!$B$67:$R$380,Macroeconomics!$H$66,0)</f>
        <v>3.2737397821989145E-3</v>
      </c>
      <c r="DN179" s="170">
        <f>VLOOKUP(EOMONTH(DN172,0),Macroeconomics!$B$67:$R$380,Macroeconomics!$H$66,0)</f>
        <v>3.2737397821989145E-3</v>
      </c>
      <c r="DO179" s="170">
        <f>VLOOKUP(EOMONTH(DO172,0),Macroeconomics!$B$67:$R$380,Macroeconomics!$H$66,0)</f>
        <v>3.2737397821989145E-3</v>
      </c>
      <c r="DP179" s="170">
        <f>VLOOKUP(EOMONTH(DP172,0),Macroeconomics!$B$67:$R$380,Macroeconomics!$H$66,0)</f>
        <v>3.2737397821989145E-3</v>
      </c>
      <c r="DQ179" s="170">
        <f>VLOOKUP(EOMONTH(DQ172,0),Macroeconomics!$B$67:$R$380,Macroeconomics!$H$66,0)</f>
        <v>3.2737397821989145E-3</v>
      </c>
      <c r="DR179" s="170">
        <f>VLOOKUP(EOMONTH(DR172,0),Macroeconomics!$B$67:$R$380,Macroeconomics!$H$66,0)</f>
        <v>3.2737397821989145E-3</v>
      </c>
      <c r="DS179" s="170">
        <f>VLOOKUP(EOMONTH(DS172,0),Macroeconomics!$B$67:$R$380,Macroeconomics!$H$66,0)</f>
        <v>3.2737397821989145E-3</v>
      </c>
      <c r="DT179" s="170">
        <f>VLOOKUP(EOMONTH(DT172,0),Macroeconomics!$B$67:$R$380,Macroeconomics!$H$66,0)</f>
        <v>3.2737397821989145E-3</v>
      </c>
      <c r="DU179" s="170">
        <f>VLOOKUP(EOMONTH(DU172,0),Macroeconomics!$B$67:$R$380,Macroeconomics!$H$66,0)</f>
        <v>3.2737397821989145E-3</v>
      </c>
      <c r="DV179" s="170">
        <f>VLOOKUP(EOMONTH(DV172,0),Macroeconomics!$B$67:$R$380,Macroeconomics!$H$66,0)</f>
        <v>3.2737397821989145E-3</v>
      </c>
      <c r="DW179" s="170">
        <f>VLOOKUP(EOMONTH(DW172,0),Macroeconomics!$B$67:$R$380,Macroeconomics!$H$66,0)</f>
        <v>3.2737397821989145E-3</v>
      </c>
      <c r="DX179" s="170">
        <f>VLOOKUP(EOMONTH(DX172,0),Macroeconomics!$B$67:$R$380,Macroeconomics!$H$66,0)</f>
        <v>3.2737397821989145E-3</v>
      </c>
      <c r="DY179" s="170">
        <f>VLOOKUP(EOMONTH(DY172,0),Macroeconomics!$B$67:$R$380,Macroeconomics!$H$66,0)</f>
        <v>3.2737397821989145E-3</v>
      </c>
      <c r="DZ179" s="170">
        <f>VLOOKUP(EOMONTH(DZ172,0),Macroeconomics!$B$67:$R$380,Macroeconomics!$H$66,0)</f>
        <v>3.2737397821989145E-3</v>
      </c>
      <c r="EA179" s="170">
        <f>VLOOKUP(EOMONTH(EA172,0),Macroeconomics!$B$67:$R$380,Macroeconomics!$H$66,0)</f>
        <v>3.2737397821989145E-3</v>
      </c>
      <c r="EB179" s="170">
        <f>VLOOKUP(EOMONTH(EB172,0),Macroeconomics!$B$67:$R$380,Macroeconomics!$H$66,0)</f>
        <v>3.2737397821989145E-3</v>
      </c>
      <c r="EC179" s="170">
        <f>VLOOKUP(EOMONTH(EC172,0),Macroeconomics!$B$67:$R$380,Macroeconomics!$H$66,0)</f>
        <v>3.2737397821989145E-3</v>
      </c>
      <c r="ED179" s="170">
        <f>VLOOKUP(EOMONTH(ED172,0),Macroeconomics!$B$67:$R$380,Macroeconomics!$H$66,0)</f>
        <v>3.2737397821989145E-3</v>
      </c>
      <c r="EE179" s="170">
        <f>VLOOKUP(EOMONTH(EE172,0),Macroeconomics!$B$67:$R$380,Macroeconomics!$H$66,0)</f>
        <v>3.2737397821989145E-3</v>
      </c>
      <c r="EF179" s="170">
        <f>VLOOKUP(EOMONTH(EF172,0),Macroeconomics!$B$67:$R$380,Macroeconomics!$H$66,0)</f>
        <v>3.2737397821989145E-3</v>
      </c>
      <c r="EG179" s="170">
        <f>VLOOKUP(EOMONTH(EG172,0),Macroeconomics!$B$67:$R$380,Macroeconomics!$H$66,0)</f>
        <v>3.2737397821989145E-3</v>
      </c>
      <c r="EH179" s="170">
        <f>VLOOKUP(EOMONTH(EH172,0),Macroeconomics!$B$67:$R$380,Macroeconomics!$H$66,0)</f>
        <v>3.2737397821989145E-3</v>
      </c>
      <c r="EI179" s="170">
        <f>VLOOKUP(EOMONTH(EI172,0),Macroeconomics!$B$67:$R$380,Macroeconomics!$H$66,0)</f>
        <v>3.2737397821989145E-3</v>
      </c>
      <c r="EJ179" s="170">
        <f>VLOOKUP(EOMONTH(EJ172,0),Macroeconomics!$B$67:$R$380,Macroeconomics!$H$66,0)</f>
        <v>3.2737397821989145E-3</v>
      </c>
      <c r="EK179" s="170">
        <f>VLOOKUP(EOMONTH(EK172,0),Macroeconomics!$B$67:$R$380,Macroeconomics!$H$66,0)</f>
        <v>3.2737397821989145E-3</v>
      </c>
      <c r="EL179" s="170">
        <f>VLOOKUP(EOMONTH(EL172,0),Macroeconomics!$B$67:$R$380,Macroeconomics!$H$66,0)</f>
        <v>3.2737397821989145E-3</v>
      </c>
      <c r="EM179" s="170">
        <f>VLOOKUP(EOMONTH(EM172,0),Macroeconomics!$B$67:$R$380,Macroeconomics!$H$66,0)</f>
        <v>3.2737397821989145E-3</v>
      </c>
      <c r="EN179" s="170">
        <f>VLOOKUP(EOMONTH(EN172,0),Macroeconomics!$B$67:$R$380,Macroeconomics!$H$66,0)</f>
        <v>3.2737397821989145E-3</v>
      </c>
      <c r="EO179" s="170">
        <f>VLOOKUP(EOMONTH(EO172,0),Macroeconomics!$B$67:$R$380,Macroeconomics!$H$66,0)</f>
        <v>3.2737397821989145E-3</v>
      </c>
      <c r="EP179" s="170">
        <f>VLOOKUP(EOMONTH(EP172,0),Macroeconomics!$B$67:$R$380,Macroeconomics!$H$66,0)</f>
        <v>3.2737397821989145E-3</v>
      </c>
      <c r="EQ179" s="170">
        <f>VLOOKUP(EOMONTH(EQ172,0),Macroeconomics!$B$67:$R$380,Macroeconomics!$H$66,0)</f>
        <v>3.2737397821989145E-3</v>
      </c>
      <c r="ER179" s="170">
        <f>VLOOKUP(EOMONTH(ER172,0),Macroeconomics!$B$67:$R$380,Macroeconomics!$H$66,0)</f>
        <v>3.2737397821989145E-3</v>
      </c>
      <c r="ES179" s="170">
        <f>VLOOKUP(EOMONTH(ES172,0),Macroeconomics!$B$67:$R$380,Macroeconomics!$H$66,0)</f>
        <v>3.2737397821989145E-3</v>
      </c>
      <c r="ET179" s="170">
        <f>VLOOKUP(EOMONTH(ET172,0),Macroeconomics!$B$67:$R$380,Macroeconomics!$H$66,0)</f>
        <v>3.2737397821989145E-3</v>
      </c>
      <c r="EU179" s="170">
        <f>VLOOKUP(EOMONTH(EU172,0),Macroeconomics!$B$67:$R$380,Macroeconomics!$H$66,0)</f>
        <v>3.2737397821989145E-3</v>
      </c>
      <c r="EV179" s="170">
        <f>VLOOKUP(EOMONTH(EV172,0),Macroeconomics!$B$67:$R$380,Macroeconomics!$H$66,0)</f>
        <v>3.2737397821989145E-3</v>
      </c>
      <c r="EW179" s="170">
        <f>VLOOKUP(EOMONTH(EW172,0),Macroeconomics!$B$67:$R$380,Macroeconomics!$H$66,0)</f>
        <v>3.2737397821989145E-3</v>
      </c>
      <c r="EX179" s="170">
        <f>VLOOKUP(EOMONTH(EX172,0),Macroeconomics!$B$67:$R$380,Macroeconomics!$H$66,0)</f>
        <v>3.2737397821989145E-3</v>
      </c>
      <c r="EY179" s="170">
        <f>VLOOKUP(EOMONTH(EY172,0),Macroeconomics!$B$67:$R$380,Macroeconomics!$H$66,0)</f>
        <v>3.2737397821989145E-3</v>
      </c>
      <c r="EZ179" s="170">
        <f>VLOOKUP(EOMONTH(EZ172,0),Macroeconomics!$B$67:$R$380,Macroeconomics!$H$66,0)</f>
        <v>2.8708987190766422E-3</v>
      </c>
      <c r="FA179" s="170">
        <f>VLOOKUP(EOMONTH(FA172,0),Macroeconomics!$B$67:$R$380,Macroeconomics!$H$66,0)</f>
        <v>2.8708987190766422E-3</v>
      </c>
      <c r="FB179" s="170">
        <f>VLOOKUP(EOMONTH(FB172,0),Macroeconomics!$B$67:$R$380,Macroeconomics!$H$66,0)</f>
        <v>2.8708987190766422E-3</v>
      </c>
      <c r="FC179" s="170">
        <f>VLOOKUP(EOMONTH(FC172,0),Macroeconomics!$B$67:$R$380,Macroeconomics!$H$66,0)</f>
        <v>2.8708987190766422E-3</v>
      </c>
      <c r="FD179" s="170">
        <f>VLOOKUP(EOMONTH(FD172,0),Macroeconomics!$B$67:$R$380,Macroeconomics!$H$66,0)</f>
        <v>2.8708987190766422E-3</v>
      </c>
      <c r="FE179" s="170">
        <f>VLOOKUP(EOMONTH(FE172,0),Macroeconomics!$B$67:$R$380,Macroeconomics!$H$66,0)</f>
        <v>2.8708987190766422E-3</v>
      </c>
      <c r="FF179" s="170">
        <f>VLOOKUP(EOMONTH(FF172,0),Macroeconomics!$B$67:$R$380,Macroeconomics!$H$66,0)</f>
        <v>2.8708987190766422E-3</v>
      </c>
      <c r="FG179" s="170">
        <f>VLOOKUP(EOMONTH(FG172,0),Macroeconomics!$B$67:$R$380,Macroeconomics!$H$66,0)</f>
        <v>2.8708987190766422E-3</v>
      </c>
      <c r="FH179" s="170">
        <f>VLOOKUP(EOMONTH(FH172,0),Macroeconomics!$B$67:$R$380,Macroeconomics!$H$66,0)</f>
        <v>2.8708987190766422E-3</v>
      </c>
      <c r="FI179" s="170">
        <f>VLOOKUP(EOMONTH(FI172,0),Macroeconomics!$B$67:$R$380,Macroeconomics!$H$66,0)</f>
        <v>2.8708987190766422E-3</v>
      </c>
      <c r="FJ179" s="170">
        <f>VLOOKUP(EOMONTH(FJ172,0),Macroeconomics!$B$67:$R$380,Macroeconomics!$H$66,0)</f>
        <v>2.8708987190766422E-3</v>
      </c>
      <c r="FK179" s="170">
        <f>VLOOKUP(EOMONTH(FK172,0),Macroeconomics!$B$67:$R$380,Macroeconomics!$H$66,0)</f>
        <v>2.8708987190766422E-3</v>
      </c>
      <c r="FL179" s="170">
        <f>VLOOKUP(EOMONTH(FL172,0),Macroeconomics!$B$67:$R$380,Macroeconomics!$H$66,0)</f>
        <v>2.8708987190766422E-3</v>
      </c>
      <c r="FM179" s="170">
        <f>VLOOKUP(EOMONTH(FM172,0),Macroeconomics!$B$67:$R$380,Macroeconomics!$H$66,0)</f>
        <v>2.8708987190766422E-3</v>
      </c>
      <c r="FN179" s="170">
        <f>VLOOKUP(EOMONTH(FN172,0),Macroeconomics!$B$67:$R$380,Macroeconomics!$H$66,0)</f>
        <v>2.8708987190766422E-3</v>
      </c>
      <c r="FO179" s="170">
        <f>VLOOKUP(EOMONTH(FO172,0),Macroeconomics!$B$67:$R$380,Macroeconomics!$H$66,0)</f>
        <v>2.8708987190766422E-3</v>
      </c>
      <c r="FP179" s="170">
        <f>VLOOKUP(EOMONTH(FP172,0),Macroeconomics!$B$67:$R$380,Macroeconomics!$H$66,0)</f>
        <v>2.8708987190766422E-3</v>
      </c>
      <c r="FQ179" s="170">
        <f>VLOOKUP(EOMONTH(FQ172,0),Macroeconomics!$B$67:$R$380,Macroeconomics!$H$66,0)</f>
        <v>2.8708987190766422E-3</v>
      </c>
      <c r="FR179" s="170">
        <f>VLOOKUP(EOMONTH(FR172,0),Macroeconomics!$B$67:$R$380,Macroeconomics!$H$66,0)</f>
        <v>2.8708987190766422E-3</v>
      </c>
      <c r="FS179" s="170">
        <f>VLOOKUP(EOMONTH(FS172,0),Macroeconomics!$B$67:$R$380,Macroeconomics!$H$66,0)</f>
        <v>2.8708987190766422E-3</v>
      </c>
      <c r="FT179" s="170">
        <f>VLOOKUP(EOMONTH(FT172,0),Macroeconomics!$B$67:$R$380,Macroeconomics!$H$66,0)</f>
        <v>2.8708987190766422E-3</v>
      </c>
      <c r="FU179" s="170">
        <f>VLOOKUP(EOMONTH(FU172,0),Macroeconomics!$B$67:$R$380,Macroeconomics!$H$66,0)</f>
        <v>2.8708987190766422E-3</v>
      </c>
      <c r="FV179" s="170">
        <f>VLOOKUP(EOMONTH(FV172,0),Macroeconomics!$B$67:$R$380,Macroeconomics!$H$66,0)</f>
        <v>2.8708987190766422E-3</v>
      </c>
      <c r="FW179" s="170">
        <f>VLOOKUP(EOMONTH(FW172,0),Macroeconomics!$B$67:$R$380,Macroeconomics!$H$66,0)</f>
        <v>2.8708987190766422E-3</v>
      </c>
      <c r="FX179" s="170">
        <f>VLOOKUP(EOMONTH(FX172,0),Macroeconomics!$B$67:$R$380,Macroeconomics!$H$66,0)</f>
        <v>2.8708987190766422E-3</v>
      </c>
      <c r="FY179" s="170">
        <f>VLOOKUP(EOMONTH(FY172,0),Macroeconomics!$B$67:$R$380,Macroeconomics!$H$66,0)</f>
        <v>2.8708987190766422E-3</v>
      </c>
      <c r="FZ179" s="170">
        <f>VLOOKUP(EOMONTH(FZ172,0),Macroeconomics!$B$67:$R$380,Macroeconomics!$H$66,0)</f>
        <v>2.8708987190766422E-3</v>
      </c>
      <c r="GA179" s="170">
        <f>VLOOKUP(EOMONTH(GA172,0),Macroeconomics!$B$67:$R$380,Macroeconomics!$H$66,0)</f>
        <v>2.8708987190766422E-3</v>
      </c>
      <c r="GB179" s="170">
        <f>VLOOKUP(EOMONTH(GB172,0),Macroeconomics!$B$67:$R$380,Macroeconomics!$H$66,0)</f>
        <v>2.8708987190766422E-3</v>
      </c>
      <c r="GC179" s="170">
        <f>VLOOKUP(EOMONTH(GC172,0),Macroeconomics!$B$67:$R$380,Macroeconomics!$H$66,0)</f>
        <v>2.8708987190766422E-3</v>
      </c>
      <c r="GD179" s="170">
        <f>VLOOKUP(EOMONTH(GD172,0),Macroeconomics!$B$67:$R$380,Macroeconomics!$H$66,0)</f>
        <v>2.8708987190766422E-3</v>
      </c>
      <c r="GE179" s="170">
        <f>VLOOKUP(EOMONTH(GE172,0),Macroeconomics!$B$67:$R$380,Macroeconomics!$H$66,0)</f>
        <v>2.8708987190766422E-3</v>
      </c>
      <c r="GF179" s="170">
        <f>VLOOKUP(EOMONTH(GF172,0),Macroeconomics!$B$67:$R$380,Macroeconomics!$H$66,0)</f>
        <v>2.8708987190766422E-3</v>
      </c>
      <c r="GG179" s="170">
        <f>VLOOKUP(EOMONTH(GG172,0),Macroeconomics!$B$67:$R$380,Macroeconomics!$H$66,0)</f>
        <v>2.8708987190766422E-3</v>
      </c>
      <c r="GH179" s="170">
        <f>VLOOKUP(EOMONTH(GH172,0),Macroeconomics!$B$67:$R$380,Macroeconomics!$H$66,0)</f>
        <v>2.8708987190766422E-3</v>
      </c>
      <c r="GI179" s="170">
        <f>VLOOKUP(EOMONTH(GI172,0),Macroeconomics!$B$67:$R$380,Macroeconomics!$H$66,0)</f>
        <v>2.8708987190766422E-3</v>
      </c>
      <c r="GJ179" s="170">
        <f>VLOOKUP(EOMONTH(GJ172,0),Macroeconomics!$B$67:$R$380,Macroeconomics!$H$66,0)</f>
        <v>2.8708987190766422E-3</v>
      </c>
      <c r="GK179" s="170">
        <f>VLOOKUP(EOMONTH(GK172,0),Macroeconomics!$B$67:$R$380,Macroeconomics!$H$66,0)</f>
        <v>2.8708987190766422E-3</v>
      </c>
      <c r="GL179" s="170">
        <f>VLOOKUP(EOMONTH(GL172,0),Macroeconomics!$B$67:$R$380,Macroeconomics!$H$66,0)</f>
        <v>2.8708987190766422E-3</v>
      </c>
      <c r="GM179" s="170">
        <f>VLOOKUP(EOMONTH(GM172,0),Macroeconomics!$B$67:$R$380,Macroeconomics!$H$66,0)</f>
        <v>2.8708987190766422E-3</v>
      </c>
      <c r="GN179" s="170">
        <f>VLOOKUP(EOMONTH(GN172,0),Macroeconomics!$B$67:$R$380,Macroeconomics!$H$66,0)</f>
        <v>2.8708987190766422E-3</v>
      </c>
      <c r="GO179" s="170">
        <f>VLOOKUP(EOMONTH(GO172,0),Macroeconomics!$B$67:$R$380,Macroeconomics!$H$66,0)</f>
        <v>2.8708987190766422E-3</v>
      </c>
      <c r="GP179" s="170">
        <f>VLOOKUP(EOMONTH(GP172,0),Macroeconomics!$B$67:$R$380,Macroeconomics!$H$66,0)</f>
        <v>2.8708987190766422E-3</v>
      </c>
      <c r="GQ179" s="170">
        <f>VLOOKUP(EOMONTH(GQ172,0),Macroeconomics!$B$67:$R$380,Macroeconomics!$H$66,0)</f>
        <v>2.8708987190766422E-3</v>
      </c>
    </row>
    <row r="180" spans="2:199" s="315" customFormat="1" outlineLevel="1">
      <c r="B180" s="182" t="s">
        <v>403</v>
      </c>
      <c r="C180" s="433">
        <v>6.8000000000000005E-2</v>
      </c>
      <c r="D180" s="170"/>
      <c r="E180" s="170">
        <f>(1+$C$180)^(1/12)-1</f>
        <v>5.4973670825229082E-3</v>
      </c>
      <c r="F180" s="170">
        <f t="shared" ref="F180:BQ180" si="3195">(1+$C$180)^(1/12)-1</f>
        <v>5.4973670825229082E-3</v>
      </c>
      <c r="G180" s="170">
        <f t="shared" si="3195"/>
        <v>5.4973670825229082E-3</v>
      </c>
      <c r="H180" s="170">
        <f t="shared" si="3195"/>
        <v>5.4973670825229082E-3</v>
      </c>
      <c r="I180" s="170">
        <f t="shared" si="3195"/>
        <v>5.4973670825229082E-3</v>
      </c>
      <c r="J180" s="170">
        <f t="shared" si="3195"/>
        <v>5.4973670825229082E-3</v>
      </c>
      <c r="K180" s="170">
        <f t="shared" si="3195"/>
        <v>5.4973670825229082E-3</v>
      </c>
      <c r="L180" s="170">
        <f t="shared" si="3195"/>
        <v>5.4973670825229082E-3</v>
      </c>
      <c r="M180" s="170">
        <f t="shared" si="3195"/>
        <v>5.4973670825229082E-3</v>
      </c>
      <c r="N180" s="170">
        <f t="shared" si="3195"/>
        <v>5.4973670825229082E-3</v>
      </c>
      <c r="O180" s="170">
        <f t="shared" si="3195"/>
        <v>5.4973670825229082E-3</v>
      </c>
      <c r="P180" s="170">
        <f t="shared" si="3195"/>
        <v>5.4973670825229082E-3</v>
      </c>
      <c r="Q180" s="170">
        <f t="shared" si="3195"/>
        <v>5.4973670825229082E-3</v>
      </c>
      <c r="R180" s="170">
        <f t="shared" si="3195"/>
        <v>5.4973670825229082E-3</v>
      </c>
      <c r="S180" s="170">
        <f t="shared" si="3195"/>
        <v>5.4973670825229082E-3</v>
      </c>
      <c r="T180" s="170">
        <f t="shared" si="3195"/>
        <v>5.4973670825229082E-3</v>
      </c>
      <c r="U180" s="170">
        <f t="shared" si="3195"/>
        <v>5.4973670825229082E-3</v>
      </c>
      <c r="V180" s="170">
        <f t="shared" si="3195"/>
        <v>5.4973670825229082E-3</v>
      </c>
      <c r="W180" s="170">
        <f t="shared" si="3195"/>
        <v>5.4973670825229082E-3</v>
      </c>
      <c r="X180" s="170">
        <f t="shared" si="3195"/>
        <v>5.4973670825229082E-3</v>
      </c>
      <c r="Y180" s="170">
        <f t="shared" si="3195"/>
        <v>5.4973670825229082E-3</v>
      </c>
      <c r="Z180" s="170">
        <f t="shared" si="3195"/>
        <v>5.4973670825229082E-3</v>
      </c>
      <c r="AA180" s="170">
        <f t="shared" si="3195"/>
        <v>5.4973670825229082E-3</v>
      </c>
      <c r="AB180" s="170">
        <f t="shared" si="3195"/>
        <v>5.4973670825229082E-3</v>
      </c>
      <c r="AC180" s="170">
        <f t="shared" si="3195"/>
        <v>5.4973670825229082E-3</v>
      </c>
      <c r="AD180" s="170">
        <f t="shared" si="3195"/>
        <v>5.4973670825229082E-3</v>
      </c>
      <c r="AE180" s="170">
        <f t="shared" si="3195"/>
        <v>5.4973670825229082E-3</v>
      </c>
      <c r="AF180" s="170">
        <f t="shared" si="3195"/>
        <v>5.4973670825229082E-3</v>
      </c>
      <c r="AG180" s="170">
        <f t="shared" si="3195"/>
        <v>5.4973670825229082E-3</v>
      </c>
      <c r="AH180" s="170">
        <f t="shared" si="3195"/>
        <v>5.4973670825229082E-3</v>
      </c>
      <c r="AI180" s="170">
        <f t="shared" si="3195"/>
        <v>5.4973670825229082E-3</v>
      </c>
      <c r="AJ180" s="170">
        <f t="shared" si="3195"/>
        <v>5.4973670825229082E-3</v>
      </c>
      <c r="AK180" s="170">
        <f t="shared" si="3195"/>
        <v>5.4973670825229082E-3</v>
      </c>
      <c r="AL180" s="170">
        <f t="shared" si="3195"/>
        <v>5.4973670825229082E-3</v>
      </c>
      <c r="AM180" s="170">
        <f t="shared" si="3195"/>
        <v>5.4973670825229082E-3</v>
      </c>
      <c r="AN180" s="170">
        <f t="shared" si="3195"/>
        <v>5.4973670825229082E-3</v>
      </c>
      <c r="AO180" s="170">
        <f t="shared" si="3195"/>
        <v>5.4973670825229082E-3</v>
      </c>
      <c r="AP180" s="170">
        <f t="shared" si="3195"/>
        <v>5.4973670825229082E-3</v>
      </c>
      <c r="AQ180" s="170">
        <f t="shared" si="3195"/>
        <v>5.4973670825229082E-3</v>
      </c>
      <c r="AR180" s="170">
        <f t="shared" si="3195"/>
        <v>5.4973670825229082E-3</v>
      </c>
      <c r="AS180" s="170">
        <f t="shared" si="3195"/>
        <v>5.4973670825229082E-3</v>
      </c>
      <c r="AT180" s="170">
        <f t="shared" si="3195"/>
        <v>5.4973670825229082E-3</v>
      </c>
      <c r="AU180" s="170">
        <f t="shared" si="3195"/>
        <v>5.4973670825229082E-3</v>
      </c>
      <c r="AV180" s="170">
        <f t="shared" si="3195"/>
        <v>5.4973670825229082E-3</v>
      </c>
      <c r="AW180" s="170">
        <f t="shared" si="3195"/>
        <v>5.4973670825229082E-3</v>
      </c>
      <c r="AX180" s="170">
        <f t="shared" si="3195"/>
        <v>5.4973670825229082E-3</v>
      </c>
      <c r="AY180" s="170">
        <f t="shared" si="3195"/>
        <v>5.4973670825229082E-3</v>
      </c>
      <c r="AZ180" s="170">
        <f t="shared" si="3195"/>
        <v>5.4973670825229082E-3</v>
      </c>
      <c r="BA180" s="170">
        <f t="shared" si="3195"/>
        <v>5.4973670825229082E-3</v>
      </c>
      <c r="BB180" s="170">
        <f t="shared" si="3195"/>
        <v>5.4973670825229082E-3</v>
      </c>
      <c r="BC180" s="170">
        <f t="shared" si="3195"/>
        <v>5.4973670825229082E-3</v>
      </c>
      <c r="BD180" s="170">
        <f t="shared" si="3195"/>
        <v>5.4973670825229082E-3</v>
      </c>
      <c r="BE180" s="170">
        <f t="shared" si="3195"/>
        <v>5.4973670825229082E-3</v>
      </c>
      <c r="BF180" s="170">
        <f t="shared" si="3195"/>
        <v>5.4973670825229082E-3</v>
      </c>
      <c r="BG180" s="170">
        <f t="shared" si="3195"/>
        <v>5.4973670825229082E-3</v>
      </c>
      <c r="BH180" s="170">
        <f t="shared" si="3195"/>
        <v>5.4973670825229082E-3</v>
      </c>
      <c r="BI180" s="170">
        <f t="shared" si="3195"/>
        <v>5.4973670825229082E-3</v>
      </c>
      <c r="BJ180" s="170">
        <f t="shared" si="3195"/>
        <v>5.4973670825229082E-3</v>
      </c>
      <c r="BK180" s="170">
        <f t="shared" si="3195"/>
        <v>5.4973670825229082E-3</v>
      </c>
      <c r="BL180" s="170">
        <f t="shared" si="3195"/>
        <v>5.4973670825229082E-3</v>
      </c>
      <c r="BM180" s="170">
        <f t="shared" si="3195"/>
        <v>5.4973670825229082E-3</v>
      </c>
      <c r="BN180" s="170">
        <f t="shared" si="3195"/>
        <v>5.4973670825229082E-3</v>
      </c>
      <c r="BO180" s="170">
        <f t="shared" si="3195"/>
        <v>5.4973670825229082E-3</v>
      </c>
      <c r="BP180" s="170">
        <f t="shared" si="3195"/>
        <v>5.4973670825229082E-3</v>
      </c>
      <c r="BQ180" s="170">
        <f t="shared" si="3195"/>
        <v>5.4973670825229082E-3</v>
      </c>
      <c r="BR180" s="170">
        <f t="shared" ref="BR180:EC180" si="3196">(1+$C$180)^(1/12)-1</f>
        <v>5.4973670825229082E-3</v>
      </c>
      <c r="BS180" s="170">
        <f t="shared" si="3196"/>
        <v>5.4973670825229082E-3</v>
      </c>
      <c r="BT180" s="170">
        <f t="shared" si="3196"/>
        <v>5.4973670825229082E-3</v>
      </c>
      <c r="BU180" s="170">
        <f t="shared" si="3196"/>
        <v>5.4973670825229082E-3</v>
      </c>
      <c r="BV180" s="170">
        <f t="shared" si="3196"/>
        <v>5.4973670825229082E-3</v>
      </c>
      <c r="BW180" s="170">
        <f t="shared" si="3196"/>
        <v>5.4973670825229082E-3</v>
      </c>
      <c r="BX180" s="170">
        <f t="shared" si="3196"/>
        <v>5.4973670825229082E-3</v>
      </c>
      <c r="BY180" s="170">
        <f t="shared" si="3196"/>
        <v>5.4973670825229082E-3</v>
      </c>
      <c r="BZ180" s="170">
        <f t="shared" si="3196"/>
        <v>5.4973670825229082E-3</v>
      </c>
      <c r="CA180" s="170">
        <f t="shared" si="3196"/>
        <v>5.4973670825229082E-3</v>
      </c>
      <c r="CB180" s="170">
        <f t="shared" si="3196"/>
        <v>5.4973670825229082E-3</v>
      </c>
      <c r="CC180" s="170">
        <f t="shared" si="3196"/>
        <v>5.4973670825229082E-3</v>
      </c>
      <c r="CD180" s="170">
        <f t="shared" si="3196"/>
        <v>5.4973670825229082E-3</v>
      </c>
      <c r="CE180" s="170">
        <f t="shared" si="3196"/>
        <v>5.4973670825229082E-3</v>
      </c>
      <c r="CF180" s="170">
        <f t="shared" si="3196"/>
        <v>5.4973670825229082E-3</v>
      </c>
      <c r="CG180" s="170">
        <f t="shared" si="3196"/>
        <v>5.4973670825229082E-3</v>
      </c>
      <c r="CH180" s="170">
        <f t="shared" si="3196"/>
        <v>5.4973670825229082E-3</v>
      </c>
      <c r="CI180" s="170">
        <f t="shared" si="3196"/>
        <v>5.4973670825229082E-3</v>
      </c>
      <c r="CJ180" s="170">
        <f t="shared" si="3196"/>
        <v>5.4973670825229082E-3</v>
      </c>
      <c r="CK180" s="170">
        <f t="shared" si="3196"/>
        <v>5.4973670825229082E-3</v>
      </c>
      <c r="CL180" s="170">
        <f t="shared" si="3196"/>
        <v>5.4973670825229082E-3</v>
      </c>
      <c r="CM180" s="170">
        <f t="shared" si="3196"/>
        <v>5.4973670825229082E-3</v>
      </c>
      <c r="CN180" s="170">
        <f t="shared" si="3196"/>
        <v>5.4973670825229082E-3</v>
      </c>
      <c r="CO180" s="170">
        <f t="shared" si="3196"/>
        <v>5.4973670825229082E-3</v>
      </c>
      <c r="CP180" s="170">
        <f t="shared" si="3196"/>
        <v>5.4973670825229082E-3</v>
      </c>
      <c r="CQ180" s="170">
        <f t="shared" si="3196"/>
        <v>5.4973670825229082E-3</v>
      </c>
      <c r="CR180" s="170">
        <f t="shared" si="3196"/>
        <v>5.4973670825229082E-3</v>
      </c>
      <c r="CS180" s="170">
        <f t="shared" si="3196"/>
        <v>5.4973670825229082E-3</v>
      </c>
      <c r="CT180" s="170">
        <f t="shared" si="3196"/>
        <v>5.4973670825229082E-3</v>
      </c>
      <c r="CU180" s="170">
        <f t="shared" si="3196"/>
        <v>5.4973670825229082E-3</v>
      </c>
      <c r="CV180" s="170">
        <f t="shared" si="3196"/>
        <v>5.4973670825229082E-3</v>
      </c>
      <c r="CW180" s="170">
        <f t="shared" si="3196"/>
        <v>5.4973670825229082E-3</v>
      </c>
      <c r="CX180" s="170">
        <f t="shared" si="3196"/>
        <v>5.4973670825229082E-3</v>
      </c>
      <c r="CY180" s="170">
        <f t="shared" si="3196"/>
        <v>5.4973670825229082E-3</v>
      </c>
      <c r="CZ180" s="170">
        <f t="shared" si="3196"/>
        <v>5.4973670825229082E-3</v>
      </c>
      <c r="DA180" s="170">
        <f t="shared" si="3196"/>
        <v>5.4973670825229082E-3</v>
      </c>
      <c r="DB180" s="170">
        <f t="shared" si="3196"/>
        <v>5.4973670825229082E-3</v>
      </c>
      <c r="DC180" s="170">
        <f t="shared" si="3196"/>
        <v>5.4973670825229082E-3</v>
      </c>
      <c r="DD180" s="170">
        <f t="shared" si="3196"/>
        <v>5.4973670825229082E-3</v>
      </c>
      <c r="DE180" s="170">
        <f t="shared" si="3196"/>
        <v>5.4973670825229082E-3</v>
      </c>
      <c r="DF180" s="170">
        <f t="shared" si="3196"/>
        <v>5.4973670825229082E-3</v>
      </c>
      <c r="DG180" s="170">
        <f t="shared" si="3196"/>
        <v>5.4973670825229082E-3</v>
      </c>
      <c r="DH180" s="170">
        <f t="shared" si="3196"/>
        <v>5.4973670825229082E-3</v>
      </c>
      <c r="DI180" s="170">
        <f t="shared" si="3196"/>
        <v>5.4973670825229082E-3</v>
      </c>
      <c r="DJ180" s="170">
        <f t="shared" si="3196"/>
        <v>5.4973670825229082E-3</v>
      </c>
      <c r="DK180" s="170">
        <f t="shared" si="3196"/>
        <v>5.4973670825229082E-3</v>
      </c>
      <c r="DL180" s="170">
        <f t="shared" si="3196"/>
        <v>5.4973670825229082E-3</v>
      </c>
      <c r="DM180" s="170">
        <f t="shared" si="3196"/>
        <v>5.4973670825229082E-3</v>
      </c>
      <c r="DN180" s="170">
        <f t="shared" si="3196"/>
        <v>5.4973670825229082E-3</v>
      </c>
      <c r="DO180" s="170">
        <f t="shared" si="3196"/>
        <v>5.4973670825229082E-3</v>
      </c>
      <c r="DP180" s="170">
        <f t="shared" si="3196"/>
        <v>5.4973670825229082E-3</v>
      </c>
      <c r="DQ180" s="170">
        <f t="shared" si="3196"/>
        <v>5.4973670825229082E-3</v>
      </c>
      <c r="DR180" s="170">
        <f t="shared" si="3196"/>
        <v>5.4973670825229082E-3</v>
      </c>
      <c r="DS180" s="170">
        <f t="shared" si="3196"/>
        <v>5.4973670825229082E-3</v>
      </c>
      <c r="DT180" s="170">
        <f t="shared" si="3196"/>
        <v>5.4973670825229082E-3</v>
      </c>
      <c r="DU180" s="170">
        <f t="shared" si="3196"/>
        <v>5.4973670825229082E-3</v>
      </c>
      <c r="DV180" s="170">
        <f t="shared" si="3196"/>
        <v>5.4973670825229082E-3</v>
      </c>
      <c r="DW180" s="170">
        <f t="shared" si="3196"/>
        <v>5.4973670825229082E-3</v>
      </c>
      <c r="DX180" s="170">
        <f t="shared" si="3196"/>
        <v>5.4973670825229082E-3</v>
      </c>
      <c r="DY180" s="170">
        <f t="shared" si="3196"/>
        <v>5.4973670825229082E-3</v>
      </c>
      <c r="DZ180" s="170">
        <f t="shared" si="3196"/>
        <v>5.4973670825229082E-3</v>
      </c>
      <c r="EA180" s="170">
        <f t="shared" si="3196"/>
        <v>5.4973670825229082E-3</v>
      </c>
      <c r="EB180" s="170">
        <f t="shared" si="3196"/>
        <v>5.4973670825229082E-3</v>
      </c>
      <c r="EC180" s="170">
        <f t="shared" si="3196"/>
        <v>5.4973670825229082E-3</v>
      </c>
      <c r="ED180" s="170">
        <f t="shared" ref="ED180:GO180" si="3197">(1+$C$180)^(1/12)-1</f>
        <v>5.4973670825229082E-3</v>
      </c>
      <c r="EE180" s="170">
        <f t="shared" si="3197"/>
        <v>5.4973670825229082E-3</v>
      </c>
      <c r="EF180" s="170">
        <f t="shared" si="3197"/>
        <v>5.4973670825229082E-3</v>
      </c>
      <c r="EG180" s="170">
        <f t="shared" si="3197"/>
        <v>5.4973670825229082E-3</v>
      </c>
      <c r="EH180" s="170">
        <f t="shared" si="3197"/>
        <v>5.4973670825229082E-3</v>
      </c>
      <c r="EI180" s="170">
        <f t="shared" si="3197"/>
        <v>5.4973670825229082E-3</v>
      </c>
      <c r="EJ180" s="170">
        <f t="shared" si="3197"/>
        <v>5.4973670825229082E-3</v>
      </c>
      <c r="EK180" s="170">
        <f t="shared" si="3197"/>
        <v>5.4973670825229082E-3</v>
      </c>
      <c r="EL180" s="170">
        <f t="shared" si="3197"/>
        <v>5.4973670825229082E-3</v>
      </c>
      <c r="EM180" s="170">
        <f t="shared" si="3197"/>
        <v>5.4973670825229082E-3</v>
      </c>
      <c r="EN180" s="170">
        <f t="shared" si="3197"/>
        <v>5.4973670825229082E-3</v>
      </c>
      <c r="EO180" s="170">
        <f t="shared" si="3197"/>
        <v>5.4973670825229082E-3</v>
      </c>
      <c r="EP180" s="170">
        <f t="shared" si="3197"/>
        <v>5.4973670825229082E-3</v>
      </c>
      <c r="EQ180" s="170">
        <f t="shared" si="3197"/>
        <v>5.4973670825229082E-3</v>
      </c>
      <c r="ER180" s="170">
        <f t="shared" si="3197"/>
        <v>5.4973670825229082E-3</v>
      </c>
      <c r="ES180" s="170">
        <f t="shared" si="3197"/>
        <v>5.4973670825229082E-3</v>
      </c>
      <c r="ET180" s="170">
        <f t="shared" si="3197"/>
        <v>5.4973670825229082E-3</v>
      </c>
      <c r="EU180" s="170">
        <f t="shared" si="3197"/>
        <v>5.4973670825229082E-3</v>
      </c>
      <c r="EV180" s="170">
        <f t="shared" si="3197"/>
        <v>5.4973670825229082E-3</v>
      </c>
      <c r="EW180" s="170">
        <f t="shared" si="3197"/>
        <v>5.4973670825229082E-3</v>
      </c>
      <c r="EX180" s="170">
        <f t="shared" si="3197"/>
        <v>5.4973670825229082E-3</v>
      </c>
      <c r="EY180" s="170">
        <f t="shared" si="3197"/>
        <v>5.4973670825229082E-3</v>
      </c>
      <c r="EZ180" s="170">
        <f t="shared" si="3197"/>
        <v>5.4973670825229082E-3</v>
      </c>
      <c r="FA180" s="170">
        <f t="shared" si="3197"/>
        <v>5.4973670825229082E-3</v>
      </c>
      <c r="FB180" s="170">
        <f t="shared" si="3197"/>
        <v>5.4973670825229082E-3</v>
      </c>
      <c r="FC180" s="170">
        <f t="shared" si="3197"/>
        <v>5.4973670825229082E-3</v>
      </c>
      <c r="FD180" s="170">
        <f t="shared" si="3197"/>
        <v>5.4973670825229082E-3</v>
      </c>
      <c r="FE180" s="170">
        <f t="shared" si="3197"/>
        <v>5.4973670825229082E-3</v>
      </c>
      <c r="FF180" s="170">
        <f t="shared" si="3197"/>
        <v>5.4973670825229082E-3</v>
      </c>
      <c r="FG180" s="170">
        <f t="shared" si="3197"/>
        <v>5.4973670825229082E-3</v>
      </c>
      <c r="FH180" s="170">
        <f t="shared" si="3197"/>
        <v>5.4973670825229082E-3</v>
      </c>
      <c r="FI180" s="170">
        <f t="shared" si="3197"/>
        <v>5.4973670825229082E-3</v>
      </c>
      <c r="FJ180" s="170">
        <f t="shared" si="3197"/>
        <v>5.4973670825229082E-3</v>
      </c>
      <c r="FK180" s="170">
        <f t="shared" si="3197"/>
        <v>5.4973670825229082E-3</v>
      </c>
      <c r="FL180" s="170">
        <f t="shared" si="3197"/>
        <v>5.4973670825229082E-3</v>
      </c>
      <c r="FM180" s="170">
        <f t="shared" si="3197"/>
        <v>5.4973670825229082E-3</v>
      </c>
      <c r="FN180" s="170">
        <f t="shared" si="3197"/>
        <v>5.4973670825229082E-3</v>
      </c>
      <c r="FO180" s="170">
        <f t="shared" si="3197"/>
        <v>5.4973670825229082E-3</v>
      </c>
      <c r="FP180" s="170">
        <f t="shared" si="3197"/>
        <v>5.4973670825229082E-3</v>
      </c>
      <c r="FQ180" s="170">
        <f t="shared" si="3197"/>
        <v>5.4973670825229082E-3</v>
      </c>
      <c r="FR180" s="170">
        <f t="shared" si="3197"/>
        <v>5.4973670825229082E-3</v>
      </c>
      <c r="FS180" s="170">
        <f t="shared" si="3197"/>
        <v>5.4973670825229082E-3</v>
      </c>
      <c r="FT180" s="170">
        <f t="shared" si="3197"/>
        <v>5.4973670825229082E-3</v>
      </c>
      <c r="FU180" s="170">
        <f t="shared" si="3197"/>
        <v>5.4973670825229082E-3</v>
      </c>
      <c r="FV180" s="170">
        <f t="shared" si="3197"/>
        <v>5.4973670825229082E-3</v>
      </c>
      <c r="FW180" s="170">
        <f t="shared" si="3197"/>
        <v>5.4973670825229082E-3</v>
      </c>
      <c r="FX180" s="170">
        <f t="shared" si="3197"/>
        <v>5.4973670825229082E-3</v>
      </c>
      <c r="FY180" s="170">
        <f t="shared" si="3197"/>
        <v>5.4973670825229082E-3</v>
      </c>
      <c r="FZ180" s="170">
        <f t="shared" si="3197"/>
        <v>5.4973670825229082E-3</v>
      </c>
      <c r="GA180" s="170">
        <f t="shared" si="3197"/>
        <v>5.4973670825229082E-3</v>
      </c>
      <c r="GB180" s="170">
        <f t="shared" si="3197"/>
        <v>5.4973670825229082E-3</v>
      </c>
      <c r="GC180" s="170">
        <f t="shared" si="3197"/>
        <v>5.4973670825229082E-3</v>
      </c>
      <c r="GD180" s="170">
        <f t="shared" si="3197"/>
        <v>5.4973670825229082E-3</v>
      </c>
      <c r="GE180" s="170">
        <f t="shared" si="3197"/>
        <v>5.4973670825229082E-3</v>
      </c>
      <c r="GF180" s="170">
        <f t="shared" si="3197"/>
        <v>5.4973670825229082E-3</v>
      </c>
      <c r="GG180" s="170">
        <f t="shared" si="3197"/>
        <v>5.4973670825229082E-3</v>
      </c>
      <c r="GH180" s="170">
        <f t="shared" si="3197"/>
        <v>5.4973670825229082E-3</v>
      </c>
      <c r="GI180" s="170">
        <f t="shared" si="3197"/>
        <v>5.4973670825229082E-3</v>
      </c>
      <c r="GJ180" s="170">
        <f t="shared" si="3197"/>
        <v>5.4973670825229082E-3</v>
      </c>
      <c r="GK180" s="170">
        <f t="shared" si="3197"/>
        <v>5.4973670825229082E-3</v>
      </c>
      <c r="GL180" s="170">
        <f t="shared" si="3197"/>
        <v>5.4973670825229082E-3</v>
      </c>
      <c r="GM180" s="170">
        <f t="shared" si="3197"/>
        <v>5.4973670825229082E-3</v>
      </c>
      <c r="GN180" s="170">
        <f t="shared" si="3197"/>
        <v>5.4973670825229082E-3</v>
      </c>
      <c r="GO180" s="170">
        <f t="shared" si="3197"/>
        <v>5.4973670825229082E-3</v>
      </c>
      <c r="GP180" s="170">
        <f t="shared" ref="GP180:GQ180" si="3198">(1+$C$180)^(1/12)-1</f>
        <v>5.4973670825229082E-3</v>
      </c>
      <c r="GQ180" s="170">
        <f t="shared" si="3198"/>
        <v>5.4973670825229082E-3</v>
      </c>
    </row>
    <row r="181" spans="2:199" s="315" customFormat="1" outlineLevel="1">
      <c r="B181" s="315" t="s">
        <v>413</v>
      </c>
      <c r="C181" s="316">
        <v>12</v>
      </c>
    </row>
    <row r="182" spans="2:199" s="315" customFormat="1" outlineLevel="1">
      <c r="B182" s="182" t="s">
        <v>409</v>
      </c>
      <c r="C182" s="131">
        <v>1</v>
      </c>
      <c r="D182" s="182" t="s">
        <v>404</v>
      </c>
      <c r="E182" s="160">
        <f>IF(OR(E172&lt;=$C174,E172&gt;$C175),0,IF(AND(E172&lt;=$C176,$C182=1,MOD(MONTH(E172)-MONTH($C174),12)=0),1,IF(AND(MOD(MONTH(E172)-MONTH($C174),$C181)=0,E172&gt;=$C176),1,0)))</f>
        <v>0</v>
      </c>
      <c r="F182" s="160">
        <f t="shared" ref="F182:BQ182" si="3199">IF(OR(F172&lt;=$C174,F172&gt;$C175),0,IF(AND(F172&lt;=$C176,$C182=1,MOD(MONTH(F172)-MONTH($C174),12)=0),1,IF(AND(MOD(MONTH(F172)-MONTH($C174),$C181)=0,F172&gt;=$C176),1,0)))</f>
        <v>0</v>
      </c>
      <c r="G182" s="160">
        <f t="shared" si="3199"/>
        <v>0</v>
      </c>
      <c r="H182" s="160">
        <f t="shared" si="3199"/>
        <v>0</v>
      </c>
      <c r="I182" s="160">
        <f t="shared" si="3199"/>
        <v>0</v>
      </c>
      <c r="J182" s="160">
        <f t="shared" si="3199"/>
        <v>0</v>
      </c>
      <c r="K182" s="160">
        <f t="shared" si="3199"/>
        <v>0</v>
      </c>
      <c r="L182" s="160">
        <f t="shared" si="3199"/>
        <v>0</v>
      </c>
      <c r="M182" s="160">
        <f t="shared" si="3199"/>
        <v>0</v>
      </c>
      <c r="N182" s="160">
        <f t="shared" si="3199"/>
        <v>0</v>
      </c>
      <c r="O182" s="160">
        <f t="shared" si="3199"/>
        <v>0</v>
      </c>
      <c r="P182" s="160">
        <f t="shared" si="3199"/>
        <v>0</v>
      </c>
      <c r="Q182" s="160">
        <f t="shared" si="3199"/>
        <v>1</v>
      </c>
      <c r="R182" s="160">
        <f t="shared" si="3199"/>
        <v>0</v>
      </c>
      <c r="S182" s="160">
        <f t="shared" si="3199"/>
        <v>0</v>
      </c>
      <c r="T182" s="160">
        <f t="shared" si="3199"/>
        <v>0</v>
      </c>
      <c r="U182" s="160">
        <f t="shared" si="3199"/>
        <v>0</v>
      </c>
      <c r="V182" s="160">
        <f t="shared" si="3199"/>
        <v>0</v>
      </c>
      <c r="W182" s="160">
        <f t="shared" si="3199"/>
        <v>0</v>
      </c>
      <c r="X182" s="160">
        <f t="shared" si="3199"/>
        <v>0</v>
      </c>
      <c r="Y182" s="160">
        <f t="shared" si="3199"/>
        <v>0</v>
      </c>
      <c r="Z182" s="160">
        <f t="shared" si="3199"/>
        <v>0</v>
      </c>
      <c r="AA182" s="160">
        <f t="shared" si="3199"/>
        <v>0</v>
      </c>
      <c r="AB182" s="160">
        <f t="shared" si="3199"/>
        <v>0</v>
      </c>
      <c r="AC182" s="160">
        <f t="shared" si="3199"/>
        <v>1</v>
      </c>
      <c r="AD182" s="160">
        <f t="shared" si="3199"/>
        <v>0</v>
      </c>
      <c r="AE182" s="160">
        <f t="shared" si="3199"/>
        <v>0</v>
      </c>
      <c r="AF182" s="160">
        <f t="shared" si="3199"/>
        <v>0</v>
      </c>
      <c r="AG182" s="160">
        <f t="shared" si="3199"/>
        <v>0</v>
      </c>
      <c r="AH182" s="160">
        <f t="shared" si="3199"/>
        <v>0</v>
      </c>
      <c r="AI182" s="160">
        <f t="shared" si="3199"/>
        <v>0</v>
      </c>
      <c r="AJ182" s="160">
        <f t="shared" si="3199"/>
        <v>0</v>
      </c>
      <c r="AK182" s="160">
        <f t="shared" si="3199"/>
        <v>0</v>
      </c>
      <c r="AL182" s="160">
        <f t="shared" si="3199"/>
        <v>0</v>
      </c>
      <c r="AM182" s="160">
        <f t="shared" si="3199"/>
        <v>0</v>
      </c>
      <c r="AN182" s="160">
        <f t="shared" si="3199"/>
        <v>0</v>
      </c>
      <c r="AO182" s="160">
        <f t="shared" si="3199"/>
        <v>1</v>
      </c>
      <c r="AP182" s="160">
        <f t="shared" si="3199"/>
        <v>0</v>
      </c>
      <c r="AQ182" s="160">
        <f t="shared" si="3199"/>
        <v>0</v>
      </c>
      <c r="AR182" s="160">
        <f t="shared" si="3199"/>
        <v>0</v>
      </c>
      <c r="AS182" s="160">
        <f t="shared" si="3199"/>
        <v>0</v>
      </c>
      <c r="AT182" s="160">
        <f t="shared" si="3199"/>
        <v>0</v>
      </c>
      <c r="AU182" s="160">
        <f t="shared" si="3199"/>
        <v>0</v>
      </c>
      <c r="AV182" s="160">
        <f t="shared" si="3199"/>
        <v>0</v>
      </c>
      <c r="AW182" s="160">
        <f t="shared" si="3199"/>
        <v>0</v>
      </c>
      <c r="AX182" s="160">
        <f t="shared" si="3199"/>
        <v>0</v>
      </c>
      <c r="AY182" s="160">
        <f t="shared" si="3199"/>
        <v>0</v>
      </c>
      <c r="AZ182" s="160">
        <f t="shared" si="3199"/>
        <v>0</v>
      </c>
      <c r="BA182" s="160">
        <f t="shared" si="3199"/>
        <v>1</v>
      </c>
      <c r="BB182" s="160">
        <f t="shared" si="3199"/>
        <v>0</v>
      </c>
      <c r="BC182" s="160">
        <f t="shared" si="3199"/>
        <v>0</v>
      </c>
      <c r="BD182" s="160">
        <f t="shared" si="3199"/>
        <v>0</v>
      </c>
      <c r="BE182" s="160">
        <f t="shared" si="3199"/>
        <v>0</v>
      </c>
      <c r="BF182" s="160">
        <f t="shared" si="3199"/>
        <v>0</v>
      </c>
      <c r="BG182" s="160">
        <f t="shared" si="3199"/>
        <v>0</v>
      </c>
      <c r="BH182" s="160">
        <f t="shared" si="3199"/>
        <v>0</v>
      </c>
      <c r="BI182" s="160">
        <f t="shared" si="3199"/>
        <v>0</v>
      </c>
      <c r="BJ182" s="160">
        <f t="shared" si="3199"/>
        <v>0</v>
      </c>
      <c r="BK182" s="160">
        <f t="shared" si="3199"/>
        <v>0</v>
      </c>
      <c r="BL182" s="160">
        <f t="shared" si="3199"/>
        <v>0</v>
      </c>
      <c r="BM182" s="160">
        <f t="shared" si="3199"/>
        <v>1</v>
      </c>
      <c r="BN182" s="160">
        <f t="shared" si="3199"/>
        <v>0</v>
      </c>
      <c r="BO182" s="160">
        <f t="shared" si="3199"/>
        <v>0</v>
      </c>
      <c r="BP182" s="160">
        <f t="shared" si="3199"/>
        <v>0</v>
      </c>
      <c r="BQ182" s="160">
        <f t="shared" si="3199"/>
        <v>0</v>
      </c>
      <c r="BR182" s="160">
        <f t="shared" ref="BR182:EC182" si="3200">IF(OR(BR172&lt;=$C174,BR172&gt;$C175),0,IF(AND(BR172&lt;=$C176,$C182=1,MOD(MONTH(BR172)-MONTH($C174),12)=0),1,IF(AND(MOD(MONTH(BR172)-MONTH($C174),$C181)=0,BR172&gt;=$C176),1,0)))</f>
        <v>0</v>
      </c>
      <c r="BS182" s="160">
        <f t="shared" si="3200"/>
        <v>0</v>
      </c>
      <c r="BT182" s="160">
        <f t="shared" si="3200"/>
        <v>0</v>
      </c>
      <c r="BU182" s="160">
        <f t="shared" si="3200"/>
        <v>0</v>
      </c>
      <c r="BV182" s="160">
        <f t="shared" si="3200"/>
        <v>0</v>
      </c>
      <c r="BW182" s="160">
        <f t="shared" si="3200"/>
        <v>0</v>
      </c>
      <c r="BX182" s="160">
        <f t="shared" si="3200"/>
        <v>0</v>
      </c>
      <c r="BY182" s="160">
        <f t="shared" si="3200"/>
        <v>1</v>
      </c>
      <c r="BZ182" s="160">
        <f t="shared" si="3200"/>
        <v>0</v>
      </c>
      <c r="CA182" s="160">
        <f t="shared" si="3200"/>
        <v>0</v>
      </c>
      <c r="CB182" s="160">
        <f t="shared" si="3200"/>
        <v>0</v>
      </c>
      <c r="CC182" s="160">
        <f t="shared" si="3200"/>
        <v>0</v>
      </c>
      <c r="CD182" s="160">
        <f t="shared" si="3200"/>
        <v>0</v>
      </c>
      <c r="CE182" s="160">
        <f t="shared" si="3200"/>
        <v>0</v>
      </c>
      <c r="CF182" s="160">
        <f t="shared" si="3200"/>
        <v>0</v>
      </c>
      <c r="CG182" s="160">
        <f t="shared" si="3200"/>
        <v>0</v>
      </c>
      <c r="CH182" s="160">
        <f t="shared" si="3200"/>
        <v>0</v>
      </c>
      <c r="CI182" s="160">
        <f t="shared" si="3200"/>
        <v>0</v>
      </c>
      <c r="CJ182" s="160">
        <f t="shared" si="3200"/>
        <v>0</v>
      </c>
      <c r="CK182" s="160">
        <f t="shared" si="3200"/>
        <v>1</v>
      </c>
      <c r="CL182" s="160">
        <f t="shared" si="3200"/>
        <v>0</v>
      </c>
      <c r="CM182" s="160">
        <f t="shared" si="3200"/>
        <v>0</v>
      </c>
      <c r="CN182" s="160">
        <f t="shared" si="3200"/>
        <v>0</v>
      </c>
      <c r="CO182" s="160">
        <f t="shared" si="3200"/>
        <v>0</v>
      </c>
      <c r="CP182" s="160">
        <f t="shared" si="3200"/>
        <v>0</v>
      </c>
      <c r="CQ182" s="160">
        <f t="shared" si="3200"/>
        <v>0</v>
      </c>
      <c r="CR182" s="160">
        <f t="shared" si="3200"/>
        <v>0</v>
      </c>
      <c r="CS182" s="160">
        <f t="shared" si="3200"/>
        <v>0</v>
      </c>
      <c r="CT182" s="160">
        <f t="shared" si="3200"/>
        <v>0</v>
      </c>
      <c r="CU182" s="160">
        <f t="shared" si="3200"/>
        <v>0</v>
      </c>
      <c r="CV182" s="160">
        <f t="shared" si="3200"/>
        <v>0</v>
      </c>
      <c r="CW182" s="160">
        <f t="shared" si="3200"/>
        <v>1</v>
      </c>
      <c r="CX182" s="160">
        <f t="shared" si="3200"/>
        <v>0</v>
      </c>
      <c r="CY182" s="160">
        <f t="shared" si="3200"/>
        <v>0</v>
      </c>
      <c r="CZ182" s="160">
        <f t="shared" si="3200"/>
        <v>0</v>
      </c>
      <c r="DA182" s="160">
        <f t="shared" si="3200"/>
        <v>0</v>
      </c>
      <c r="DB182" s="160">
        <f t="shared" si="3200"/>
        <v>0</v>
      </c>
      <c r="DC182" s="160">
        <f t="shared" si="3200"/>
        <v>0</v>
      </c>
      <c r="DD182" s="160">
        <f t="shared" si="3200"/>
        <v>0</v>
      </c>
      <c r="DE182" s="160">
        <f t="shared" si="3200"/>
        <v>0</v>
      </c>
      <c r="DF182" s="160">
        <f t="shared" si="3200"/>
        <v>0</v>
      </c>
      <c r="DG182" s="160">
        <f t="shared" si="3200"/>
        <v>0</v>
      </c>
      <c r="DH182" s="160">
        <f t="shared" si="3200"/>
        <v>0</v>
      </c>
      <c r="DI182" s="160">
        <f t="shared" si="3200"/>
        <v>1</v>
      </c>
      <c r="DJ182" s="160">
        <f t="shared" si="3200"/>
        <v>0</v>
      </c>
      <c r="DK182" s="160">
        <f t="shared" si="3200"/>
        <v>0</v>
      </c>
      <c r="DL182" s="160">
        <f t="shared" si="3200"/>
        <v>0</v>
      </c>
      <c r="DM182" s="160">
        <f t="shared" si="3200"/>
        <v>0</v>
      </c>
      <c r="DN182" s="160">
        <f t="shared" si="3200"/>
        <v>0</v>
      </c>
      <c r="DO182" s="160">
        <f t="shared" si="3200"/>
        <v>0</v>
      </c>
      <c r="DP182" s="160">
        <f t="shared" si="3200"/>
        <v>0</v>
      </c>
      <c r="DQ182" s="160">
        <f t="shared" si="3200"/>
        <v>0</v>
      </c>
      <c r="DR182" s="160">
        <f t="shared" si="3200"/>
        <v>0</v>
      </c>
      <c r="DS182" s="160">
        <f t="shared" si="3200"/>
        <v>0</v>
      </c>
      <c r="DT182" s="160">
        <f t="shared" si="3200"/>
        <v>0</v>
      </c>
      <c r="DU182" s="160">
        <f t="shared" si="3200"/>
        <v>1</v>
      </c>
      <c r="DV182" s="160">
        <f t="shared" si="3200"/>
        <v>0</v>
      </c>
      <c r="DW182" s="160">
        <f t="shared" si="3200"/>
        <v>0</v>
      </c>
      <c r="DX182" s="160">
        <f t="shared" si="3200"/>
        <v>0</v>
      </c>
      <c r="DY182" s="160">
        <f t="shared" si="3200"/>
        <v>0</v>
      </c>
      <c r="DZ182" s="160">
        <f t="shared" si="3200"/>
        <v>0</v>
      </c>
      <c r="EA182" s="160">
        <f t="shared" si="3200"/>
        <v>0</v>
      </c>
      <c r="EB182" s="160">
        <f t="shared" si="3200"/>
        <v>0</v>
      </c>
      <c r="EC182" s="160">
        <f t="shared" si="3200"/>
        <v>0</v>
      </c>
      <c r="ED182" s="160">
        <f t="shared" ref="ED182:GO182" si="3201">IF(OR(ED172&lt;=$C174,ED172&gt;$C175),0,IF(AND(ED172&lt;=$C176,$C182=1,MOD(MONTH(ED172)-MONTH($C174),12)=0),1,IF(AND(MOD(MONTH(ED172)-MONTH($C174),$C181)=0,ED172&gt;=$C176),1,0)))</f>
        <v>0</v>
      </c>
      <c r="EE182" s="160">
        <f t="shared" si="3201"/>
        <v>0</v>
      </c>
      <c r="EF182" s="160">
        <f t="shared" si="3201"/>
        <v>0</v>
      </c>
      <c r="EG182" s="160">
        <f t="shared" si="3201"/>
        <v>0</v>
      </c>
      <c r="EH182" s="160">
        <f t="shared" si="3201"/>
        <v>0</v>
      </c>
      <c r="EI182" s="160">
        <f t="shared" si="3201"/>
        <v>0</v>
      </c>
      <c r="EJ182" s="160">
        <f t="shared" si="3201"/>
        <v>0</v>
      </c>
      <c r="EK182" s="160">
        <f t="shared" si="3201"/>
        <v>0</v>
      </c>
      <c r="EL182" s="160">
        <f t="shared" si="3201"/>
        <v>0</v>
      </c>
      <c r="EM182" s="160">
        <f t="shared" si="3201"/>
        <v>0</v>
      </c>
      <c r="EN182" s="160">
        <f t="shared" si="3201"/>
        <v>0</v>
      </c>
      <c r="EO182" s="160">
        <f t="shared" si="3201"/>
        <v>0</v>
      </c>
      <c r="EP182" s="160">
        <f t="shared" si="3201"/>
        <v>0</v>
      </c>
      <c r="EQ182" s="160">
        <f t="shared" si="3201"/>
        <v>0</v>
      </c>
      <c r="ER182" s="160">
        <f t="shared" si="3201"/>
        <v>0</v>
      </c>
      <c r="ES182" s="160">
        <f t="shared" si="3201"/>
        <v>0</v>
      </c>
      <c r="ET182" s="160">
        <f t="shared" si="3201"/>
        <v>0</v>
      </c>
      <c r="EU182" s="160">
        <f t="shared" si="3201"/>
        <v>0</v>
      </c>
      <c r="EV182" s="160">
        <f t="shared" si="3201"/>
        <v>0</v>
      </c>
      <c r="EW182" s="160">
        <f t="shared" si="3201"/>
        <v>0</v>
      </c>
      <c r="EX182" s="160">
        <f t="shared" si="3201"/>
        <v>0</v>
      </c>
      <c r="EY182" s="160">
        <f t="shared" si="3201"/>
        <v>0</v>
      </c>
      <c r="EZ182" s="160">
        <f t="shared" si="3201"/>
        <v>0</v>
      </c>
      <c r="FA182" s="160">
        <f t="shared" si="3201"/>
        <v>0</v>
      </c>
      <c r="FB182" s="160">
        <f t="shared" si="3201"/>
        <v>0</v>
      </c>
      <c r="FC182" s="160">
        <f t="shared" si="3201"/>
        <v>0</v>
      </c>
      <c r="FD182" s="160">
        <f t="shared" si="3201"/>
        <v>0</v>
      </c>
      <c r="FE182" s="160">
        <f t="shared" si="3201"/>
        <v>0</v>
      </c>
      <c r="FF182" s="160">
        <f t="shared" si="3201"/>
        <v>0</v>
      </c>
      <c r="FG182" s="160">
        <f t="shared" si="3201"/>
        <v>0</v>
      </c>
      <c r="FH182" s="160">
        <f t="shared" si="3201"/>
        <v>0</v>
      </c>
      <c r="FI182" s="160">
        <f t="shared" si="3201"/>
        <v>0</v>
      </c>
      <c r="FJ182" s="160">
        <f t="shared" si="3201"/>
        <v>0</v>
      </c>
      <c r="FK182" s="160">
        <f t="shared" si="3201"/>
        <v>0</v>
      </c>
      <c r="FL182" s="160">
        <f t="shared" si="3201"/>
        <v>0</v>
      </c>
      <c r="FM182" s="160">
        <f t="shared" si="3201"/>
        <v>0</v>
      </c>
      <c r="FN182" s="160">
        <f t="shared" si="3201"/>
        <v>0</v>
      </c>
      <c r="FO182" s="160">
        <f t="shared" si="3201"/>
        <v>0</v>
      </c>
      <c r="FP182" s="160">
        <f t="shared" si="3201"/>
        <v>0</v>
      </c>
      <c r="FQ182" s="160">
        <f t="shared" si="3201"/>
        <v>0</v>
      </c>
      <c r="FR182" s="160">
        <f t="shared" si="3201"/>
        <v>0</v>
      </c>
      <c r="FS182" s="160">
        <f t="shared" si="3201"/>
        <v>0</v>
      </c>
      <c r="FT182" s="160">
        <f t="shared" si="3201"/>
        <v>0</v>
      </c>
      <c r="FU182" s="160">
        <f t="shared" si="3201"/>
        <v>0</v>
      </c>
      <c r="FV182" s="160">
        <f t="shared" si="3201"/>
        <v>0</v>
      </c>
      <c r="FW182" s="160">
        <f t="shared" si="3201"/>
        <v>0</v>
      </c>
      <c r="FX182" s="160">
        <f t="shared" si="3201"/>
        <v>0</v>
      </c>
      <c r="FY182" s="160">
        <f t="shared" si="3201"/>
        <v>0</v>
      </c>
      <c r="FZ182" s="160">
        <f t="shared" si="3201"/>
        <v>0</v>
      </c>
      <c r="GA182" s="160">
        <f t="shared" si="3201"/>
        <v>0</v>
      </c>
      <c r="GB182" s="160">
        <f t="shared" si="3201"/>
        <v>0</v>
      </c>
      <c r="GC182" s="160">
        <f t="shared" si="3201"/>
        <v>0</v>
      </c>
      <c r="GD182" s="160">
        <f t="shared" si="3201"/>
        <v>0</v>
      </c>
      <c r="GE182" s="160">
        <f t="shared" si="3201"/>
        <v>0</v>
      </c>
      <c r="GF182" s="160">
        <f t="shared" si="3201"/>
        <v>0</v>
      </c>
      <c r="GG182" s="160">
        <f t="shared" si="3201"/>
        <v>0</v>
      </c>
      <c r="GH182" s="160">
        <f t="shared" si="3201"/>
        <v>0</v>
      </c>
      <c r="GI182" s="160">
        <f t="shared" si="3201"/>
        <v>0</v>
      </c>
      <c r="GJ182" s="160">
        <f t="shared" si="3201"/>
        <v>0</v>
      </c>
      <c r="GK182" s="160">
        <f t="shared" si="3201"/>
        <v>0</v>
      </c>
      <c r="GL182" s="160">
        <f t="shared" si="3201"/>
        <v>0</v>
      </c>
      <c r="GM182" s="160">
        <f t="shared" si="3201"/>
        <v>0</v>
      </c>
      <c r="GN182" s="160">
        <f t="shared" si="3201"/>
        <v>0</v>
      </c>
      <c r="GO182" s="160">
        <f t="shared" si="3201"/>
        <v>0</v>
      </c>
      <c r="GP182" s="160">
        <f t="shared" ref="GP182:GQ182" si="3202">IF(OR(GP172&lt;=$C174,GP172&gt;$C175),0,IF(AND(GP172&lt;=$C176,$C182=1,MOD(MONTH(GP172)-MONTH($C174),12)=0),1,IF(AND(MOD(MONTH(GP172)-MONTH($C174),$C181)=0,GP172&gt;=$C176),1,0)))</f>
        <v>0</v>
      </c>
      <c r="GQ182" s="160">
        <f t="shared" si="3202"/>
        <v>0</v>
      </c>
    </row>
    <row r="183" spans="2:199" s="315" customFormat="1" outlineLevel="1">
      <c r="B183" s="182" t="s">
        <v>412</v>
      </c>
      <c r="C183" s="131">
        <v>0</v>
      </c>
      <c r="D183" s="182" t="s">
        <v>405</v>
      </c>
      <c r="E183" s="160">
        <f>IF(E177&lt;&gt;"",1,0)</f>
        <v>0</v>
      </c>
      <c r="F183" s="160">
        <f t="shared" ref="F183:BQ183" si="3203">IF(F177&lt;&gt;"",1,0)</f>
        <v>0</v>
      </c>
      <c r="G183" s="160">
        <f t="shared" si="3203"/>
        <v>0</v>
      </c>
      <c r="H183" s="160">
        <f t="shared" si="3203"/>
        <v>0</v>
      </c>
      <c r="I183" s="160">
        <f t="shared" si="3203"/>
        <v>0</v>
      </c>
      <c r="J183" s="160">
        <f t="shared" si="3203"/>
        <v>0</v>
      </c>
      <c r="K183" s="160">
        <f t="shared" si="3203"/>
        <v>0</v>
      </c>
      <c r="L183" s="160">
        <f t="shared" si="3203"/>
        <v>0</v>
      </c>
      <c r="M183" s="160">
        <f t="shared" si="3203"/>
        <v>0</v>
      </c>
      <c r="N183" s="160">
        <f t="shared" si="3203"/>
        <v>0</v>
      </c>
      <c r="O183" s="160">
        <f t="shared" si="3203"/>
        <v>0</v>
      </c>
      <c r="P183" s="160">
        <f t="shared" si="3203"/>
        <v>0</v>
      </c>
      <c r="Q183" s="160">
        <f t="shared" si="3203"/>
        <v>0</v>
      </c>
      <c r="R183" s="160">
        <f t="shared" si="3203"/>
        <v>0</v>
      </c>
      <c r="S183" s="160">
        <f t="shared" si="3203"/>
        <v>0</v>
      </c>
      <c r="T183" s="160">
        <f t="shared" si="3203"/>
        <v>0</v>
      </c>
      <c r="U183" s="160">
        <f t="shared" si="3203"/>
        <v>0</v>
      </c>
      <c r="V183" s="160">
        <f t="shared" si="3203"/>
        <v>0</v>
      </c>
      <c r="W183" s="160">
        <f t="shared" si="3203"/>
        <v>0</v>
      </c>
      <c r="X183" s="160">
        <f t="shared" si="3203"/>
        <v>0</v>
      </c>
      <c r="Y183" s="160">
        <f t="shared" si="3203"/>
        <v>0</v>
      </c>
      <c r="Z183" s="160">
        <f t="shared" si="3203"/>
        <v>0</v>
      </c>
      <c r="AA183" s="160">
        <f t="shared" si="3203"/>
        <v>0</v>
      </c>
      <c r="AB183" s="160">
        <f t="shared" si="3203"/>
        <v>0</v>
      </c>
      <c r="AC183" s="160">
        <f t="shared" si="3203"/>
        <v>0</v>
      </c>
      <c r="AD183" s="160">
        <f t="shared" si="3203"/>
        <v>0</v>
      </c>
      <c r="AE183" s="160">
        <f t="shared" si="3203"/>
        <v>0</v>
      </c>
      <c r="AF183" s="160">
        <f t="shared" si="3203"/>
        <v>0</v>
      </c>
      <c r="AG183" s="160">
        <f t="shared" si="3203"/>
        <v>0</v>
      </c>
      <c r="AH183" s="160">
        <f t="shared" si="3203"/>
        <v>0</v>
      </c>
      <c r="AI183" s="160">
        <f t="shared" si="3203"/>
        <v>0</v>
      </c>
      <c r="AJ183" s="160">
        <f t="shared" si="3203"/>
        <v>0</v>
      </c>
      <c r="AK183" s="160">
        <f t="shared" si="3203"/>
        <v>0</v>
      </c>
      <c r="AL183" s="160">
        <f t="shared" si="3203"/>
        <v>0</v>
      </c>
      <c r="AM183" s="160">
        <f t="shared" si="3203"/>
        <v>0</v>
      </c>
      <c r="AN183" s="160">
        <f t="shared" si="3203"/>
        <v>0</v>
      </c>
      <c r="AO183" s="160">
        <f t="shared" si="3203"/>
        <v>0</v>
      </c>
      <c r="AP183" s="160">
        <f t="shared" si="3203"/>
        <v>0</v>
      </c>
      <c r="AQ183" s="160">
        <f t="shared" si="3203"/>
        <v>0</v>
      </c>
      <c r="AR183" s="160">
        <f t="shared" si="3203"/>
        <v>0</v>
      </c>
      <c r="AS183" s="160">
        <f t="shared" si="3203"/>
        <v>0</v>
      </c>
      <c r="AT183" s="160">
        <f t="shared" si="3203"/>
        <v>0</v>
      </c>
      <c r="AU183" s="160">
        <f t="shared" si="3203"/>
        <v>0</v>
      </c>
      <c r="AV183" s="160">
        <f t="shared" si="3203"/>
        <v>0</v>
      </c>
      <c r="AW183" s="160">
        <f t="shared" si="3203"/>
        <v>0</v>
      </c>
      <c r="AX183" s="160">
        <f t="shared" si="3203"/>
        <v>0</v>
      </c>
      <c r="AY183" s="160">
        <f t="shared" si="3203"/>
        <v>0</v>
      </c>
      <c r="AZ183" s="160">
        <f t="shared" si="3203"/>
        <v>0</v>
      </c>
      <c r="BA183" s="160">
        <f t="shared" si="3203"/>
        <v>0</v>
      </c>
      <c r="BB183" s="160">
        <f t="shared" si="3203"/>
        <v>0</v>
      </c>
      <c r="BC183" s="160">
        <f t="shared" si="3203"/>
        <v>0</v>
      </c>
      <c r="BD183" s="160">
        <f t="shared" si="3203"/>
        <v>0</v>
      </c>
      <c r="BE183" s="160">
        <f t="shared" si="3203"/>
        <v>0</v>
      </c>
      <c r="BF183" s="160">
        <f t="shared" si="3203"/>
        <v>0</v>
      </c>
      <c r="BG183" s="160">
        <f t="shared" si="3203"/>
        <v>0</v>
      </c>
      <c r="BH183" s="160">
        <f t="shared" si="3203"/>
        <v>0</v>
      </c>
      <c r="BI183" s="160">
        <f t="shared" si="3203"/>
        <v>0</v>
      </c>
      <c r="BJ183" s="160">
        <f t="shared" si="3203"/>
        <v>0</v>
      </c>
      <c r="BK183" s="160">
        <f t="shared" si="3203"/>
        <v>0</v>
      </c>
      <c r="BL183" s="160">
        <f t="shared" si="3203"/>
        <v>0</v>
      </c>
      <c r="BM183" s="160">
        <f t="shared" si="3203"/>
        <v>0</v>
      </c>
      <c r="BN183" s="160">
        <f t="shared" si="3203"/>
        <v>0</v>
      </c>
      <c r="BO183" s="160">
        <f t="shared" si="3203"/>
        <v>0</v>
      </c>
      <c r="BP183" s="160">
        <f t="shared" si="3203"/>
        <v>0</v>
      </c>
      <c r="BQ183" s="160">
        <f t="shared" si="3203"/>
        <v>0</v>
      </c>
      <c r="BR183" s="160">
        <f t="shared" ref="BR183:EC183" si="3204">IF(BR177&lt;&gt;"",1,0)</f>
        <v>0</v>
      </c>
      <c r="BS183" s="160">
        <f t="shared" si="3204"/>
        <v>0</v>
      </c>
      <c r="BT183" s="160">
        <f t="shared" si="3204"/>
        <v>0</v>
      </c>
      <c r="BU183" s="160">
        <f t="shared" si="3204"/>
        <v>0</v>
      </c>
      <c r="BV183" s="160">
        <f t="shared" si="3204"/>
        <v>0</v>
      </c>
      <c r="BW183" s="160">
        <f t="shared" si="3204"/>
        <v>0</v>
      </c>
      <c r="BX183" s="160">
        <f t="shared" si="3204"/>
        <v>0</v>
      </c>
      <c r="BY183" s="160">
        <f t="shared" si="3204"/>
        <v>0</v>
      </c>
      <c r="BZ183" s="160">
        <f t="shared" si="3204"/>
        <v>0</v>
      </c>
      <c r="CA183" s="160">
        <f t="shared" si="3204"/>
        <v>0</v>
      </c>
      <c r="CB183" s="160">
        <f t="shared" si="3204"/>
        <v>0</v>
      </c>
      <c r="CC183" s="160">
        <f t="shared" si="3204"/>
        <v>0</v>
      </c>
      <c r="CD183" s="160">
        <f t="shared" si="3204"/>
        <v>0</v>
      </c>
      <c r="CE183" s="160">
        <f t="shared" si="3204"/>
        <v>0</v>
      </c>
      <c r="CF183" s="160">
        <f t="shared" si="3204"/>
        <v>0</v>
      </c>
      <c r="CG183" s="160">
        <f t="shared" si="3204"/>
        <v>0</v>
      </c>
      <c r="CH183" s="160">
        <f t="shared" si="3204"/>
        <v>0</v>
      </c>
      <c r="CI183" s="160">
        <f t="shared" si="3204"/>
        <v>0</v>
      </c>
      <c r="CJ183" s="160">
        <f t="shared" si="3204"/>
        <v>0</v>
      </c>
      <c r="CK183" s="160">
        <f t="shared" si="3204"/>
        <v>0</v>
      </c>
      <c r="CL183" s="160">
        <f t="shared" si="3204"/>
        <v>0</v>
      </c>
      <c r="CM183" s="160">
        <f t="shared" si="3204"/>
        <v>0</v>
      </c>
      <c r="CN183" s="160">
        <f t="shared" si="3204"/>
        <v>0</v>
      </c>
      <c r="CO183" s="160">
        <f t="shared" si="3204"/>
        <v>0</v>
      </c>
      <c r="CP183" s="160">
        <f t="shared" si="3204"/>
        <v>0</v>
      </c>
      <c r="CQ183" s="160">
        <f t="shared" si="3204"/>
        <v>0</v>
      </c>
      <c r="CR183" s="160">
        <f t="shared" si="3204"/>
        <v>0</v>
      </c>
      <c r="CS183" s="160">
        <f t="shared" si="3204"/>
        <v>0</v>
      </c>
      <c r="CT183" s="160">
        <f t="shared" si="3204"/>
        <v>0</v>
      </c>
      <c r="CU183" s="160">
        <f t="shared" si="3204"/>
        <v>0</v>
      </c>
      <c r="CV183" s="160">
        <f t="shared" si="3204"/>
        <v>0</v>
      </c>
      <c r="CW183" s="160">
        <f t="shared" si="3204"/>
        <v>1</v>
      </c>
      <c r="CX183" s="160">
        <f t="shared" si="3204"/>
        <v>0</v>
      </c>
      <c r="CY183" s="160">
        <f t="shared" si="3204"/>
        <v>0</v>
      </c>
      <c r="CZ183" s="160">
        <f t="shared" si="3204"/>
        <v>0</v>
      </c>
      <c r="DA183" s="160">
        <f t="shared" si="3204"/>
        <v>0</v>
      </c>
      <c r="DB183" s="160">
        <f t="shared" si="3204"/>
        <v>0</v>
      </c>
      <c r="DC183" s="160">
        <f t="shared" si="3204"/>
        <v>0</v>
      </c>
      <c r="DD183" s="160">
        <f t="shared" si="3204"/>
        <v>0</v>
      </c>
      <c r="DE183" s="160">
        <f t="shared" si="3204"/>
        <v>0</v>
      </c>
      <c r="DF183" s="160">
        <f t="shared" si="3204"/>
        <v>0</v>
      </c>
      <c r="DG183" s="160">
        <f t="shared" si="3204"/>
        <v>0</v>
      </c>
      <c r="DH183" s="160">
        <f t="shared" si="3204"/>
        <v>0</v>
      </c>
      <c r="DI183" s="160">
        <f t="shared" si="3204"/>
        <v>1</v>
      </c>
      <c r="DJ183" s="160">
        <f t="shared" si="3204"/>
        <v>0</v>
      </c>
      <c r="DK183" s="160">
        <f t="shared" si="3204"/>
        <v>0</v>
      </c>
      <c r="DL183" s="160">
        <f t="shared" si="3204"/>
        <v>0</v>
      </c>
      <c r="DM183" s="160">
        <f t="shared" si="3204"/>
        <v>0</v>
      </c>
      <c r="DN183" s="160">
        <f t="shared" si="3204"/>
        <v>0</v>
      </c>
      <c r="DO183" s="160">
        <f t="shared" si="3204"/>
        <v>0</v>
      </c>
      <c r="DP183" s="160">
        <f t="shared" si="3204"/>
        <v>0</v>
      </c>
      <c r="DQ183" s="160">
        <f t="shared" si="3204"/>
        <v>0</v>
      </c>
      <c r="DR183" s="160">
        <f t="shared" si="3204"/>
        <v>0</v>
      </c>
      <c r="DS183" s="160">
        <f t="shared" si="3204"/>
        <v>0</v>
      </c>
      <c r="DT183" s="160">
        <f t="shared" si="3204"/>
        <v>0</v>
      </c>
      <c r="DU183" s="160">
        <f t="shared" si="3204"/>
        <v>1</v>
      </c>
      <c r="DV183" s="160">
        <f t="shared" si="3204"/>
        <v>0</v>
      </c>
      <c r="DW183" s="160">
        <f t="shared" si="3204"/>
        <v>0</v>
      </c>
      <c r="DX183" s="160">
        <f t="shared" si="3204"/>
        <v>0</v>
      </c>
      <c r="DY183" s="160">
        <f t="shared" si="3204"/>
        <v>0</v>
      </c>
      <c r="DZ183" s="160">
        <f t="shared" si="3204"/>
        <v>0</v>
      </c>
      <c r="EA183" s="160">
        <f t="shared" si="3204"/>
        <v>0</v>
      </c>
      <c r="EB183" s="160">
        <f t="shared" si="3204"/>
        <v>0</v>
      </c>
      <c r="EC183" s="160">
        <f t="shared" si="3204"/>
        <v>0</v>
      </c>
      <c r="ED183" s="160">
        <f t="shared" ref="ED183:GO183" si="3205">IF(ED177&lt;&gt;"",1,0)</f>
        <v>0</v>
      </c>
      <c r="EE183" s="160">
        <f t="shared" si="3205"/>
        <v>0</v>
      </c>
      <c r="EF183" s="160">
        <f t="shared" si="3205"/>
        <v>0</v>
      </c>
      <c r="EG183" s="160">
        <f t="shared" si="3205"/>
        <v>0</v>
      </c>
      <c r="EH183" s="160">
        <f t="shared" si="3205"/>
        <v>0</v>
      </c>
      <c r="EI183" s="160">
        <f t="shared" si="3205"/>
        <v>0</v>
      </c>
      <c r="EJ183" s="160">
        <f t="shared" si="3205"/>
        <v>0</v>
      </c>
      <c r="EK183" s="160">
        <f t="shared" si="3205"/>
        <v>0</v>
      </c>
      <c r="EL183" s="160">
        <f t="shared" si="3205"/>
        <v>0</v>
      </c>
      <c r="EM183" s="160">
        <f t="shared" si="3205"/>
        <v>0</v>
      </c>
      <c r="EN183" s="160">
        <f t="shared" si="3205"/>
        <v>0</v>
      </c>
      <c r="EO183" s="160">
        <f t="shared" si="3205"/>
        <v>0</v>
      </c>
      <c r="EP183" s="160">
        <f t="shared" si="3205"/>
        <v>0</v>
      </c>
      <c r="EQ183" s="160">
        <f t="shared" si="3205"/>
        <v>0</v>
      </c>
      <c r="ER183" s="160">
        <f t="shared" si="3205"/>
        <v>0</v>
      </c>
      <c r="ES183" s="160">
        <f t="shared" si="3205"/>
        <v>0</v>
      </c>
      <c r="ET183" s="160">
        <f t="shared" si="3205"/>
        <v>0</v>
      </c>
      <c r="EU183" s="160">
        <f t="shared" si="3205"/>
        <v>0</v>
      </c>
      <c r="EV183" s="160">
        <f t="shared" si="3205"/>
        <v>0</v>
      </c>
      <c r="EW183" s="160">
        <f t="shared" si="3205"/>
        <v>0</v>
      </c>
      <c r="EX183" s="160">
        <f t="shared" si="3205"/>
        <v>0</v>
      </c>
      <c r="EY183" s="160">
        <f t="shared" si="3205"/>
        <v>0</v>
      </c>
      <c r="EZ183" s="160">
        <f t="shared" si="3205"/>
        <v>0</v>
      </c>
      <c r="FA183" s="160">
        <f t="shared" si="3205"/>
        <v>0</v>
      </c>
      <c r="FB183" s="160">
        <f t="shared" si="3205"/>
        <v>0</v>
      </c>
      <c r="FC183" s="160">
        <f t="shared" si="3205"/>
        <v>0</v>
      </c>
      <c r="FD183" s="160">
        <f t="shared" si="3205"/>
        <v>0</v>
      </c>
      <c r="FE183" s="160">
        <f t="shared" si="3205"/>
        <v>0</v>
      </c>
      <c r="FF183" s="160">
        <f t="shared" si="3205"/>
        <v>0</v>
      </c>
      <c r="FG183" s="160">
        <f t="shared" si="3205"/>
        <v>0</v>
      </c>
      <c r="FH183" s="160">
        <f t="shared" si="3205"/>
        <v>0</v>
      </c>
      <c r="FI183" s="160">
        <f t="shared" si="3205"/>
        <v>0</v>
      </c>
      <c r="FJ183" s="160">
        <f t="shared" si="3205"/>
        <v>0</v>
      </c>
      <c r="FK183" s="160">
        <f t="shared" si="3205"/>
        <v>0</v>
      </c>
      <c r="FL183" s="160">
        <f t="shared" si="3205"/>
        <v>0</v>
      </c>
      <c r="FM183" s="160">
        <f t="shared" si="3205"/>
        <v>0</v>
      </c>
      <c r="FN183" s="160">
        <f t="shared" si="3205"/>
        <v>0</v>
      </c>
      <c r="FO183" s="160">
        <f t="shared" si="3205"/>
        <v>0</v>
      </c>
      <c r="FP183" s="160">
        <f t="shared" si="3205"/>
        <v>0</v>
      </c>
      <c r="FQ183" s="160">
        <f t="shared" si="3205"/>
        <v>0</v>
      </c>
      <c r="FR183" s="160">
        <f t="shared" si="3205"/>
        <v>0</v>
      </c>
      <c r="FS183" s="160">
        <f t="shared" si="3205"/>
        <v>0</v>
      </c>
      <c r="FT183" s="160">
        <f t="shared" si="3205"/>
        <v>0</v>
      </c>
      <c r="FU183" s="160">
        <f t="shared" si="3205"/>
        <v>0</v>
      </c>
      <c r="FV183" s="160">
        <f t="shared" si="3205"/>
        <v>0</v>
      </c>
      <c r="FW183" s="160">
        <f t="shared" si="3205"/>
        <v>0</v>
      </c>
      <c r="FX183" s="160">
        <f t="shared" si="3205"/>
        <v>0</v>
      </c>
      <c r="FY183" s="160">
        <f t="shared" si="3205"/>
        <v>0</v>
      </c>
      <c r="FZ183" s="160">
        <f t="shared" si="3205"/>
        <v>0</v>
      </c>
      <c r="GA183" s="160">
        <f t="shared" si="3205"/>
        <v>0</v>
      </c>
      <c r="GB183" s="160">
        <f t="shared" si="3205"/>
        <v>0</v>
      </c>
      <c r="GC183" s="160">
        <f t="shared" si="3205"/>
        <v>0</v>
      </c>
      <c r="GD183" s="160">
        <f t="shared" si="3205"/>
        <v>0</v>
      </c>
      <c r="GE183" s="160">
        <f t="shared" si="3205"/>
        <v>0</v>
      </c>
      <c r="GF183" s="160">
        <f t="shared" si="3205"/>
        <v>0</v>
      </c>
      <c r="GG183" s="160">
        <f t="shared" si="3205"/>
        <v>0</v>
      </c>
      <c r="GH183" s="160">
        <f t="shared" si="3205"/>
        <v>0</v>
      </c>
      <c r="GI183" s="160">
        <f t="shared" si="3205"/>
        <v>0</v>
      </c>
      <c r="GJ183" s="160">
        <f t="shared" si="3205"/>
        <v>0</v>
      </c>
      <c r="GK183" s="160">
        <f t="shared" si="3205"/>
        <v>0</v>
      </c>
      <c r="GL183" s="160">
        <f t="shared" si="3205"/>
        <v>0</v>
      </c>
      <c r="GM183" s="160">
        <f t="shared" si="3205"/>
        <v>0</v>
      </c>
      <c r="GN183" s="160">
        <f t="shared" si="3205"/>
        <v>0</v>
      </c>
      <c r="GO183" s="160">
        <f t="shared" si="3205"/>
        <v>0</v>
      </c>
      <c r="GP183" s="160">
        <f t="shared" ref="GP183:GQ183" si="3206">IF(GP177&lt;&gt;"",1,0)</f>
        <v>0</v>
      </c>
      <c r="GQ183" s="160">
        <f t="shared" si="3206"/>
        <v>0</v>
      </c>
    </row>
    <row r="184" spans="2:199" s="315" customFormat="1" outlineLevel="1">
      <c r="B184" s="182" t="s">
        <v>406</v>
      </c>
      <c r="C184" s="207">
        <v>3</v>
      </c>
      <c r="D184" s="159"/>
      <c r="E184" s="159">
        <f>MAX(C184-E183,0)</f>
        <v>3</v>
      </c>
      <c r="F184" s="159">
        <f>MAX(E184-F183,0)</f>
        <v>3</v>
      </c>
      <c r="G184" s="159">
        <f t="shared" ref="G184:BR184" si="3207">MAX(F184-G183,0)</f>
        <v>3</v>
      </c>
      <c r="H184" s="159">
        <f t="shared" si="3207"/>
        <v>3</v>
      </c>
      <c r="I184" s="159">
        <f t="shared" si="3207"/>
        <v>3</v>
      </c>
      <c r="J184" s="159">
        <f t="shared" si="3207"/>
        <v>3</v>
      </c>
      <c r="K184" s="159">
        <f t="shared" si="3207"/>
        <v>3</v>
      </c>
      <c r="L184" s="159">
        <f t="shared" si="3207"/>
        <v>3</v>
      </c>
      <c r="M184" s="159">
        <f t="shared" si="3207"/>
        <v>3</v>
      </c>
      <c r="N184" s="159">
        <f t="shared" si="3207"/>
        <v>3</v>
      </c>
      <c r="O184" s="159">
        <f t="shared" si="3207"/>
        <v>3</v>
      </c>
      <c r="P184" s="159">
        <f t="shared" si="3207"/>
        <v>3</v>
      </c>
      <c r="Q184" s="159">
        <f t="shared" si="3207"/>
        <v>3</v>
      </c>
      <c r="R184" s="159">
        <f t="shared" si="3207"/>
        <v>3</v>
      </c>
      <c r="S184" s="159">
        <f t="shared" si="3207"/>
        <v>3</v>
      </c>
      <c r="T184" s="159">
        <f t="shared" si="3207"/>
        <v>3</v>
      </c>
      <c r="U184" s="159">
        <f t="shared" si="3207"/>
        <v>3</v>
      </c>
      <c r="V184" s="159">
        <f t="shared" si="3207"/>
        <v>3</v>
      </c>
      <c r="W184" s="159">
        <f t="shared" si="3207"/>
        <v>3</v>
      </c>
      <c r="X184" s="159">
        <f t="shared" si="3207"/>
        <v>3</v>
      </c>
      <c r="Y184" s="159">
        <f t="shared" si="3207"/>
        <v>3</v>
      </c>
      <c r="Z184" s="159">
        <f t="shared" si="3207"/>
        <v>3</v>
      </c>
      <c r="AA184" s="159">
        <f t="shared" si="3207"/>
        <v>3</v>
      </c>
      <c r="AB184" s="159">
        <f t="shared" si="3207"/>
        <v>3</v>
      </c>
      <c r="AC184" s="159">
        <f t="shared" si="3207"/>
        <v>3</v>
      </c>
      <c r="AD184" s="159">
        <f t="shared" si="3207"/>
        <v>3</v>
      </c>
      <c r="AE184" s="159">
        <f t="shared" si="3207"/>
        <v>3</v>
      </c>
      <c r="AF184" s="159">
        <f t="shared" si="3207"/>
        <v>3</v>
      </c>
      <c r="AG184" s="159">
        <f t="shared" si="3207"/>
        <v>3</v>
      </c>
      <c r="AH184" s="159">
        <f t="shared" si="3207"/>
        <v>3</v>
      </c>
      <c r="AI184" s="159">
        <f t="shared" si="3207"/>
        <v>3</v>
      </c>
      <c r="AJ184" s="159">
        <f t="shared" si="3207"/>
        <v>3</v>
      </c>
      <c r="AK184" s="159">
        <f t="shared" si="3207"/>
        <v>3</v>
      </c>
      <c r="AL184" s="159">
        <f t="shared" si="3207"/>
        <v>3</v>
      </c>
      <c r="AM184" s="159">
        <f t="shared" si="3207"/>
        <v>3</v>
      </c>
      <c r="AN184" s="159">
        <f t="shared" si="3207"/>
        <v>3</v>
      </c>
      <c r="AO184" s="159">
        <f t="shared" si="3207"/>
        <v>3</v>
      </c>
      <c r="AP184" s="159">
        <f t="shared" si="3207"/>
        <v>3</v>
      </c>
      <c r="AQ184" s="159">
        <f t="shared" si="3207"/>
        <v>3</v>
      </c>
      <c r="AR184" s="159">
        <f t="shared" si="3207"/>
        <v>3</v>
      </c>
      <c r="AS184" s="159">
        <f t="shared" si="3207"/>
        <v>3</v>
      </c>
      <c r="AT184" s="159">
        <f t="shared" si="3207"/>
        <v>3</v>
      </c>
      <c r="AU184" s="159">
        <f t="shared" si="3207"/>
        <v>3</v>
      </c>
      <c r="AV184" s="159">
        <f t="shared" si="3207"/>
        <v>3</v>
      </c>
      <c r="AW184" s="159">
        <f t="shared" si="3207"/>
        <v>3</v>
      </c>
      <c r="AX184" s="159">
        <f t="shared" si="3207"/>
        <v>3</v>
      </c>
      <c r="AY184" s="159">
        <f t="shared" si="3207"/>
        <v>3</v>
      </c>
      <c r="AZ184" s="159">
        <f t="shared" si="3207"/>
        <v>3</v>
      </c>
      <c r="BA184" s="159">
        <f t="shared" si="3207"/>
        <v>3</v>
      </c>
      <c r="BB184" s="159">
        <f t="shared" si="3207"/>
        <v>3</v>
      </c>
      <c r="BC184" s="159">
        <f t="shared" si="3207"/>
        <v>3</v>
      </c>
      <c r="BD184" s="159">
        <f t="shared" si="3207"/>
        <v>3</v>
      </c>
      <c r="BE184" s="159">
        <f t="shared" si="3207"/>
        <v>3</v>
      </c>
      <c r="BF184" s="159">
        <f t="shared" si="3207"/>
        <v>3</v>
      </c>
      <c r="BG184" s="159">
        <f t="shared" si="3207"/>
        <v>3</v>
      </c>
      <c r="BH184" s="159">
        <f t="shared" si="3207"/>
        <v>3</v>
      </c>
      <c r="BI184" s="159">
        <f t="shared" si="3207"/>
        <v>3</v>
      </c>
      <c r="BJ184" s="159">
        <f t="shared" si="3207"/>
        <v>3</v>
      </c>
      <c r="BK184" s="159">
        <f t="shared" si="3207"/>
        <v>3</v>
      </c>
      <c r="BL184" s="159">
        <f t="shared" si="3207"/>
        <v>3</v>
      </c>
      <c r="BM184" s="159">
        <f t="shared" si="3207"/>
        <v>3</v>
      </c>
      <c r="BN184" s="159">
        <f t="shared" si="3207"/>
        <v>3</v>
      </c>
      <c r="BO184" s="159">
        <f t="shared" si="3207"/>
        <v>3</v>
      </c>
      <c r="BP184" s="159">
        <f t="shared" si="3207"/>
        <v>3</v>
      </c>
      <c r="BQ184" s="159">
        <f t="shared" si="3207"/>
        <v>3</v>
      </c>
      <c r="BR184" s="159">
        <f t="shared" si="3207"/>
        <v>3</v>
      </c>
      <c r="BS184" s="159">
        <f t="shared" ref="BS184:ED184" si="3208">MAX(BR184-BS183,0)</f>
        <v>3</v>
      </c>
      <c r="BT184" s="159">
        <f t="shared" si="3208"/>
        <v>3</v>
      </c>
      <c r="BU184" s="159">
        <f t="shared" si="3208"/>
        <v>3</v>
      </c>
      <c r="BV184" s="159">
        <f t="shared" si="3208"/>
        <v>3</v>
      </c>
      <c r="BW184" s="159">
        <f t="shared" si="3208"/>
        <v>3</v>
      </c>
      <c r="BX184" s="159">
        <f t="shared" si="3208"/>
        <v>3</v>
      </c>
      <c r="BY184" s="159">
        <f t="shared" si="3208"/>
        <v>3</v>
      </c>
      <c r="BZ184" s="159">
        <f t="shared" si="3208"/>
        <v>3</v>
      </c>
      <c r="CA184" s="159">
        <f t="shared" si="3208"/>
        <v>3</v>
      </c>
      <c r="CB184" s="159">
        <f t="shared" si="3208"/>
        <v>3</v>
      </c>
      <c r="CC184" s="159">
        <f t="shared" si="3208"/>
        <v>3</v>
      </c>
      <c r="CD184" s="159">
        <f t="shared" si="3208"/>
        <v>3</v>
      </c>
      <c r="CE184" s="159">
        <f t="shared" si="3208"/>
        <v>3</v>
      </c>
      <c r="CF184" s="159">
        <f t="shared" si="3208"/>
        <v>3</v>
      </c>
      <c r="CG184" s="159">
        <f t="shared" si="3208"/>
        <v>3</v>
      </c>
      <c r="CH184" s="159">
        <f t="shared" si="3208"/>
        <v>3</v>
      </c>
      <c r="CI184" s="159">
        <f t="shared" si="3208"/>
        <v>3</v>
      </c>
      <c r="CJ184" s="159">
        <f t="shared" si="3208"/>
        <v>3</v>
      </c>
      <c r="CK184" s="159">
        <f t="shared" si="3208"/>
        <v>3</v>
      </c>
      <c r="CL184" s="159">
        <f t="shared" si="3208"/>
        <v>3</v>
      </c>
      <c r="CM184" s="159">
        <f t="shared" si="3208"/>
        <v>3</v>
      </c>
      <c r="CN184" s="159">
        <f t="shared" si="3208"/>
        <v>3</v>
      </c>
      <c r="CO184" s="159">
        <f t="shared" si="3208"/>
        <v>3</v>
      </c>
      <c r="CP184" s="159">
        <f t="shared" si="3208"/>
        <v>3</v>
      </c>
      <c r="CQ184" s="159">
        <f t="shared" si="3208"/>
        <v>3</v>
      </c>
      <c r="CR184" s="159">
        <f t="shared" si="3208"/>
        <v>3</v>
      </c>
      <c r="CS184" s="159">
        <f t="shared" si="3208"/>
        <v>3</v>
      </c>
      <c r="CT184" s="159">
        <f t="shared" si="3208"/>
        <v>3</v>
      </c>
      <c r="CU184" s="159">
        <f t="shared" si="3208"/>
        <v>3</v>
      </c>
      <c r="CV184" s="159">
        <f t="shared" si="3208"/>
        <v>3</v>
      </c>
      <c r="CW184" s="159">
        <f t="shared" si="3208"/>
        <v>2</v>
      </c>
      <c r="CX184" s="159">
        <f t="shared" si="3208"/>
        <v>2</v>
      </c>
      <c r="CY184" s="159">
        <f t="shared" si="3208"/>
        <v>2</v>
      </c>
      <c r="CZ184" s="159">
        <f t="shared" si="3208"/>
        <v>2</v>
      </c>
      <c r="DA184" s="159">
        <f t="shared" si="3208"/>
        <v>2</v>
      </c>
      <c r="DB184" s="159">
        <f t="shared" si="3208"/>
        <v>2</v>
      </c>
      <c r="DC184" s="159">
        <f t="shared" si="3208"/>
        <v>2</v>
      </c>
      <c r="DD184" s="159">
        <f t="shared" si="3208"/>
        <v>2</v>
      </c>
      <c r="DE184" s="159">
        <f t="shared" si="3208"/>
        <v>2</v>
      </c>
      <c r="DF184" s="159">
        <f t="shared" si="3208"/>
        <v>2</v>
      </c>
      <c r="DG184" s="159">
        <f t="shared" si="3208"/>
        <v>2</v>
      </c>
      <c r="DH184" s="159">
        <f t="shared" si="3208"/>
        <v>2</v>
      </c>
      <c r="DI184" s="159">
        <f t="shared" si="3208"/>
        <v>1</v>
      </c>
      <c r="DJ184" s="159">
        <f t="shared" si="3208"/>
        <v>1</v>
      </c>
      <c r="DK184" s="159">
        <f t="shared" si="3208"/>
        <v>1</v>
      </c>
      <c r="DL184" s="159">
        <f t="shared" si="3208"/>
        <v>1</v>
      </c>
      <c r="DM184" s="159">
        <f t="shared" si="3208"/>
        <v>1</v>
      </c>
      <c r="DN184" s="159">
        <f t="shared" si="3208"/>
        <v>1</v>
      </c>
      <c r="DO184" s="159">
        <f t="shared" si="3208"/>
        <v>1</v>
      </c>
      <c r="DP184" s="159">
        <f t="shared" si="3208"/>
        <v>1</v>
      </c>
      <c r="DQ184" s="159">
        <f t="shared" si="3208"/>
        <v>1</v>
      </c>
      <c r="DR184" s="159">
        <f t="shared" si="3208"/>
        <v>1</v>
      </c>
      <c r="DS184" s="159">
        <f t="shared" si="3208"/>
        <v>1</v>
      </c>
      <c r="DT184" s="159">
        <f t="shared" si="3208"/>
        <v>1</v>
      </c>
      <c r="DU184" s="159">
        <f t="shared" si="3208"/>
        <v>0</v>
      </c>
      <c r="DV184" s="159">
        <f t="shared" si="3208"/>
        <v>0</v>
      </c>
      <c r="DW184" s="159">
        <f t="shared" si="3208"/>
        <v>0</v>
      </c>
      <c r="DX184" s="159">
        <f t="shared" si="3208"/>
        <v>0</v>
      </c>
      <c r="DY184" s="159">
        <f t="shared" si="3208"/>
        <v>0</v>
      </c>
      <c r="DZ184" s="159">
        <f t="shared" si="3208"/>
        <v>0</v>
      </c>
      <c r="EA184" s="159">
        <f t="shared" si="3208"/>
        <v>0</v>
      </c>
      <c r="EB184" s="159">
        <f t="shared" si="3208"/>
        <v>0</v>
      </c>
      <c r="EC184" s="159">
        <f t="shared" si="3208"/>
        <v>0</v>
      </c>
      <c r="ED184" s="159">
        <f t="shared" si="3208"/>
        <v>0</v>
      </c>
      <c r="EE184" s="159">
        <f t="shared" ref="EE184:GP184" si="3209">MAX(ED184-EE183,0)</f>
        <v>0</v>
      </c>
      <c r="EF184" s="159">
        <f t="shared" si="3209"/>
        <v>0</v>
      </c>
      <c r="EG184" s="159">
        <f t="shared" si="3209"/>
        <v>0</v>
      </c>
      <c r="EH184" s="159">
        <f t="shared" si="3209"/>
        <v>0</v>
      </c>
      <c r="EI184" s="159">
        <f t="shared" si="3209"/>
        <v>0</v>
      </c>
      <c r="EJ184" s="159">
        <f t="shared" si="3209"/>
        <v>0</v>
      </c>
      <c r="EK184" s="159">
        <f t="shared" si="3209"/>
        <v>0</v>
      </c>
      <c r="EL184" s="159">
        <f t="shared" si="3209"/>
        <v>0</v>
      </c>
      <c r="EM184" s="159">
        <f t="shared" si="3209"/>
        <v>0</v>
      </c>
      <c r="EN184" s="159">
        <f t="shared" si="3209"/>
        <v>0</v>
      </c>
      <c r="EO184" s="159">
        <f t="shared" si="3209"/>
        <v>0</v>
      </c>
      <c r="EP184" s="159">
        <f t="shared" si="3209"/>
        <v>0</v>
      </c>
      <c r="EQ184" s="159">
        <f t="shared" si="3209"/>
        <v>0</v>
      </c>
      <c r="ER184" s="159">
        <f t="shared" si="3209"/>
        <v>0</v>
      </c>
      <c r="ES184" s="159">
        <f t="shared" si="3209"/>
        <v>0</v>
      </c>
      <c r="ET184" s="159">
        <f t="shared" si="3209"/>
        <v>0</v>
      </c>
      <c r="EU184" s="159">
        <f t="shared" si="3209"/>
        <v>0</v>
      </c>
      <c r="EV184" s="159">
        <f t="shared" si="3209"/>
        <v>0</v>
      </c>
      <c r="EW184" s="159">
        <f t="shared" si="3209"/>
        <v>0</v>
      </c>
      <c r="EX184" s="159">
        <f t="shared" si="3209"/>
        <v>0</v>
      </c>
      <c r="EY184" s="159">
        <f t="shared" si="3209"/>
        <v>0</v>
      </c>
      <c r="EZ184" s="159">
        <f t="shared" si="3209"/>
        <v>0</v>
      </c>
      <c r="FA184" s="159">
        <f t="shared" si="3209"/>
        <v>0</v>
      </c>
      <c r="FB184" s="159">
        <f t="shared" si="3209"/>
        <v>0</v>
      </c>
      <c r="FC184" s="159">
        <f t="shared" si="3209"/>
        <v>0</v>
      </c>
      <c r="FD184" s="159">
        <f t="shared" si="3209"/>
        <v>0</v>
      </c>
      <c r="FE184" s="159">
        <f t="shared" si="3209"/>
        <v>0</v>
      </c>
      <c r="FF184" s="159">
        <f t="shared" si="3209"/>
        <v>0</v>
      </c>
      <c r="FG184" s="159">
        <f t="shared" si="3209"/>
        <v>0</v>
      </c>
      <c r="FH184" s="159">
        <f t="shared" si="3209"/>
        <v>0</v>
      </c>
      <c r="FI184" s="159">
        <f t="shared" si="3209"/>
        <v>0</v>
      </c>
      <c r="FJ184" s="159">
        <f t="shared" si="3209"/>
        <v>0</v>
      </c>
      <c r="FK184" s="159">
        <f t="shared" si="3209"/>
        <v>0</v>
      </c>
      <c r="FL184" s="159">
        <f t="shared" si="3209"/>
        <v>0</v>
      </c>
      <c r="FM184" s="159">
        <f t="shared" si="3209"/>
        <v>0</v>
      </c>
      <c r="FN184" s="159">
        <f t="shared" si="3209"/>
        <v>0</v>
      </c>
      <c r="FO184" s="159">
        <f t="shared" si="3209"/>
        <v>0</v>
      </c>
      <c r="FP184" s="159">
        <f t="shared" si="3209"/>
        <v>0</v>
      </c>
      <c r="FQ184" s="159">
        <f t="shared" si="3209"/>
        <v>0</v>
      </c>
      <c r="FR184" s="159">
        <f t="shared" si="3209"/>
        <v>0</v>
      </c>
      <c r="FS184" s="159">
        <f t="shared" si="3209"/>
        <v>0</v>
      </c>
      <c r="FT184" s="159">
        <f t="shared" si="3209"/>
        <v>0</v>
      </c>
      <c r="FU184" s="159">
        <f t="shared" si="3209"/>
        <v>0</v>
      </c>
      <c r="FV184" s="159">
        <f t="shared" si="3209"/>
        <v>0</v>
      </c>
      <c r="FW184" s="159">
        <f t="shared" si="3209"/>
        <v>0</v>
      </c>
      <c r="FX184" s="159">
        <f t="shared" si="3209"/>
        <v>0</v>
      </c>
      <c r="FY184" s="159">
        <f t="shared" si="3209"/>
        <v>0</v>
      </c>
      <c r="FZ184" s="159">
        <f t="shared" si="3209"/>
        <v>0</v>
      </c>
      <c r="GA184" s="159">
        <f t="shared" si="3209"/>
        <v>0</v>
      </c>
      <c r="GB184" s="159">
        <f t="shared" si="3209"/>
        <v>0</v>
      </c>
      <c r="GC184" s="159">
        <f t="shared" si="3209"/>
        <v>0</v>
      </c>
      <c r="GD184" s="159">
        <f t="shared" si="3209"/>
        <v>0</v>
      </c>
      <c r="GE184" s="159">
        <f t="shared" si="3209"/>
        <v>0</v>
      </c>
      <c r="GF184" s="159">
        <f t="shared" si="3209"/>
        <v>0</v>
      </c>
      <c r="GG184" s="159">
        <f t="shared" si="3209"/>
        <v>0</v>
      </c>
      <c r="GH184" s="159">
        <f t="shared" si="3209"/>
        <v>0</v>
      </c>
      <c r="GI184" s="159">
        <f t="shared" si="3209"/>
        <v>0</v>
      </c>
      <c r="GJ184" s="159">
        <f t="shared" si="3209"/>
        <v>0</v>
      </c>
      <c r="GK184" s="159">
        <f t="shared" si="3209"/>
        <v>0</v>
      </c>
      <c r="GL184" s="159">
        <f t="shared" si="3209"/>
        <v>0</v>
      </c>
      <c r="GM184" s="159">
        <f t="shared" si="3209"/>
        <v>0</v>
      </c>
      <c r="GN184" s="159">
        <f t="shared" si="3209"/>
        <v>0</v>
      </c>
      <c r="GO184" s="159">
        <f t="shared" si="3209"/>
        <v>0</v>
      </c>
      <c r="GP184" s="159">
        <f t="shared" si="3209"/>
        <v>0</v>
      </c>
      <c r="GQ184" s="159">
        <f t="shared" ref="GQ184" si="3210">MAX(GP184-GQ183,0)</f>
        <v>0</v>
      </c>
    </row>
    <row r="185" spans="2:199" s="156" customFormat="1" outlineLevel="1">
      <c r="B185" s="157"/>
      <c r="C185" s="157"/>
      <c r="D185" s="315"/>
      <c r="E185" s="315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  <c r="AC185" s="148"/>
      <c r="AD185" s="148"/>
      <c r="AE185" s="148"/>
      <c r="AF185" s="148"/>
      <c r="AG185" s="148"/>
      <c r="AH185" s="148"/>
      <c r="AI185" s="148"/>
      <c r="AJ185" s="148"/>
      <c r="AK185" s="148"/>
      <c r="AL185" s="148"/>
      <c r="AM185" s="148"/>
      <c r="AN185" s="148"/>
      <c r="AO185" s="148"/>
      <c r="AP185" s="148"/>
      <c r="AQ185" s="148"/>
      <c r="AR185" s="148"/>
      <c r="AS185" s="148"/>
      <c r="AT185" s="148"/>
      <c r="AU185" s="148"/>
      <c r="AV185" s="148"/>
      <c r="AW185" s="148"/>
      <c r="AX185" s="148"/>
      <c r="AY185" s="148"/>
      <c r="AZ185" s="148"/>
      <c r="BA185" s="148"/>
      <c r="BB185" s="148"/>
      <c r="BC185" s="148"/>
      <c r="BD185" s="148"/>
      <c r="BE185" s="148"/>
      <c r="BF185" s="148"/>
      <c r="BG185" s="148"/>
      <c r="BH185" s="148"/>
      <c r="BI185" s="148"/>
      <c r="BJ185" s="148"/>
      <c r="BK185" s="148"/>
      <c r="BL185" s="148"/>
      <c r="BM185" s="148"/>
      <c r="BN185" s="148"/>
      <c r="BO185" s="148"/>
      <c r="BP185" s="148"/>
      <c r="BQ185" s="148"/>
      <c r="BR185" s="148"/>
      <c r="BS185" s="148"/>
      <c r="BT185" s="148"/>
      <c r="BU185" s="148"/>
      <c r="BV185" s="148"/>
      <c r="BW185" s="148"/>
      <c r="BX185" s="148"/>
      <c r="BY185" s="148"/>
      <c r="BZ185" s="148"/>
      <c r="CA185" s="148"/>
      <c r="CB185" s="148"/>
      <c r="CC185" s="148"/>
      <c r="CD185" s="148"/>
      <c r="CE185" s="148"/>
      <c r="CF185" s="148"/>
      <c r="CG185" s="148"/>
      <c r="CH185" s="148"/>
      <c r="CI185" s="148"/>
      <c r="CJ185" s="148"/>
      <c r="CK185" s="148"/>
      <c r="CL185" s="148"/>
      <c r="CM185" s="148"/>
      <c r="CN185" s="148"/>
      <c r="CO185" s="148"/>
      <c r="CP185" s="148"/>
      <c r="CQ185" s="148"/>
      <c r="CR185" s="148"/>
      <c r="CS185" s="148"/>
      <c r="CT185" s="148"/>
      <c r="CU185" s="148"/>
      <c r="CV185" s="148"/>
      <c r="CW185" s="148"/>
      <c r="CX185" s="148"/>
      <c r="CY185" s="148"/>
      <c r="CZ185" s="148"/>
      <c r="DA185" s="148"/>
      <c r="DB185" s="148"/>
      <c r="DC185" s="148"/>
      <c r="DD185" s="148"/>
      <c r="DE185" s="148"/>
      <c r="DF185" s="148"/>
      <c r="DG185" s="148"/>
      <c r="DH185" s="148"/>
      <c r="DI185" s="148"/>
      <c r="DJ185" s="148"/>
      <c r="DK185" s="148"/>
      <c r="DL185" s="148"/>
      <c r="DM185" s="148"/>
      <c r="DN185" s="148"/>
      <c r="DO185" s="148"/>
      <c r="DP185" s="148"/>
      <c r="DQ185" s="148"/>
      <c r="DR185" s="148"/>
      <c r="DS185" s="148"/>
      <c r="DT185" s="148"/>
      <c r="DU185" s="148"/>
      <c r="DV185" s="148"/>
      <c r="DW185" s="148"/>
      <c r="DX185" s="148"/>
      <c r="DY185" s="148"/>
      <c r="DZ185" s="148"/>
      <c r="EA185" s="148"/>
      <c r="EB185" s="148"/>
      <c r="EC185" s="148"/>
      <c r="ED185" s="148"/>
      <c r="EE185" s="148"/>
      <c r="EF185" s="148"/>
      <c r="EG185" s="148"/>
      <c r="EH185" s="148"/>
      <c r="EI185" s="148"/>
      <c r="EJ185" s="148"/>
      <c r="EK185" s="148"/>
      <c r="EL185" s="148"/>
      <c r="EM185" s="148"/>
      <c r="EN185" s="148"/>
      <c r="EO185" s="148"/>
      <c r="EP185" s="148"/>
      <c r="EQ185" s="148"/>
      <c r="ER185" s="148"/>
      <c r="ES185" s="148"/>
      <c r="ET185" s="148"/>
      <c r="EU185" s="148"/>
      <c r="EV185" s="148"/>
      <c r="EW185" s="148"/>
      <c r="EX185" s="148"/>
      <c r="EY185" s="148"/>
      <c r="EZ185" s="148"/>
      <c r="FA185" s="148"/>
      <c r="FB185" s="148"/>
      <c r="FC185" s="148"/>
      <c r="FD185" s="148"/>
      <c r="FE185" s="148"/>
      <c r="FF185" s="148"/>
      <c r="FG185" s="148"/>
      <c r="FH185" s="148"/>
      <c r="FI185" s="148"/>
      <c r="FJ185" s="148"/>
      <c r="FK185" s="148"/>
      <c r="FL185" s="148"/>
      <c r="FM185" s="148"/>
      <c r="FN185" s="148"/>
      <c r="FO185" s="148"/>
      <c r="FP185" s="148"/>
      <c r="FQ185" s="148"/>
      <c r="FR185" s="148"/>
      <c r="FS185" s="148"/>
      <c r="FT185" s="148"/>
      <c r="FU185" s="148"/>
      <c r="FV185" s="148"/>
      <c r="FW185" s="148"/>
      <c r="FX185" s="148"/>
      <c r="FY185" s="148"/>
      <c r="FZ185" s="148"/>
      <c r="GA185" s="148"/>
      <c r="GB185" s="148"/>
      <c r="GC185" s="148"/>
      <c r="GD185" s="148"/>
      <c r="GE185" s="148"/>
      <c r="GF185" s="148"/>
      <c r="GG185" s="148"/>
      <c r="GH185" s="148"/>
      <c r="GI185" s="148"/>
      <c r="GJ185" s="148"/>
      <c r="GK185" s="148"/>
      <c r="GL185" s="148"/>
      <c r="GM185" s="148"/>
      <c r="GN185" s="148"/>
      <c r="GO185" s="148"/>
      <c r="GP185" s="148"/>
      <c r="GQ185" s="148"/>
    </row>
    <row r="186" spans="2:199" s="315" customFormat="1" outlineLevel="1">
      <c r="B186" s="184" t="s">
        <v>388</v>
      </c>
      <c r="C186" s="185"/>
      <c r="D186" s="186"/>
      <c r="E186" s="186">
        <f t="shared" ref="E186:BP186" si="3211">D192</f>
        <v>0</v>
      </c>
      <c r="F186" s="208">
        <f t="shared" si="3211"/>
        <v>268481.20364259474</v>
      </c>
      <c r="G186" s="208">
        <f t="shared" si="3211"/>
        <v>269957.14337377565</v>
      </c>
      <c r="H186" s="208">
        <f t="shared" si="3211"/>
        <v>272005.0074151</v>
      </c>
      <c r="I186" s="208">
        <f t="shared" si="3211"/>
        <v>274711.02135291125</v>
      </c>
      <c r="J186" s="208">
        <f t="shared" si="3211"/>
        <v>277707.61512094003</v>
      </c>
      <c r="K186" s="208">
        <f t="shared" si="3211"/>
        <v>281082.1222604689</v>
      </c>
      <c r="L186" s="208">
        <f t="shared" si="3211"/>
        <v>284268.87368455116</v>
      </c>
      <c r="M186" s="208">
        <f t="shared" si="3211"/>
        <v>287681.15977670898</v>
      </c>
      <c r="N186" s="208">
        <f t="shared" si="3211"/>
        <v>291313.04859702033</v>
      </c>
      <c r="O186" s="208">
        <f t="shared" si="3211"/>
        <v>294176.17758314463</v>
      </c>
      <c r="P186" s="208">
        <f t="shared" si="3211"/>
        <v>296825.21877079952</v>
      </c>
      <c r="Q186" s="208">
        <f t="shared" si="3211"/>
        <v>299976.67088230344</v>
      </c>
      <c r="R186" s="208">
        <f t="shared" si="3211"/>
        <v>281836.71477998653</v>
      </c>
      <c r="S186" s="208">
        <f t="shared" si="3211"/>
        <v>283669.46073312289</v>
      </c>
      <c r="T186" s="208">
        <f t="shared" si="3211"/>
        <v>285943.74292992172</v>
      </c>
      <c r="U186" s="208">
        <f t="shared" si="3211"/>
        <v>289051.35591173859</v>
      </c>
      <c r="V186" s="208">
        <f t="shared" si="3211"/>
        <v>292527.44920892495</v>
      </c>
      <c r="W186" s="208">
        <f t="shared" si="3211"/>
        <v>296196.27849219774</v>
      </c>
      <c r="X186" s="208">
        <f t="shared" si="3211"/>
        <v>299911.62598829617</v>
      </c>
      <c r="Y186" s="208">
        <f t="shared" si="3211"/>
        <v>302633.22853685118</v>
      </c>
      <c r="Z186" s="208">
        <f t="shared" si="3211"/>
        <v>305373.73535674019</v>
      </c>
      <c r="AA186" s="208">
        <f t="shared" si="3211"/>
        <v>308133.2648600706</v>
      </c>
      <c r="AB186" s="208">
        <f t="shared" si="3211"/>
        <v>310911.93616314651</v>
      </c>
      <c r="AC186" s="208">
        <f t="shared" si="3211"/>
        <v>313709.86909053591</v>
      </c>
      <c r="AD186" s="208">
        <f t="shared" si="3211"/>
        <v>296819.77341313037</v>
      </c>
      <c r="AE186" s="208">
        <f t="shared" si="3211"/>
        <v>299548.25304515159</v>
      </c>
      <c r="AF186" s="208">
        <f t="shared" si="3211"/>
        <v>302295.76248724398</v>
      </c>
      <c r="AG186" s="208">
        <f t="shared" si="3211"/>
        <v>305062.42116404901</v>
      </c>
      <c r="AH186" s="208">
        <f t="shared" si="3211"/>
        <v>307848.34921115602</v>
      </c>
      <c r="AI186" s="208">
        <f t="shared" si="3211"/>
        <v>310653.66747921059</v>
      </c>
      <c r="AJ186" s="208">
        <f t="shared" si="3211"/>
        <v>313478.49753804639</v>
      </c>
      <c r="AK186" s="208">
        <f t="shared" si="3211"/>
        <v>316322.96168083989</v>
      </c>
      <c r="AL186" s="208">
        <f t="shared" si="3211"/>
        <v>319187.18292828958</v>
      </c>
      <c r="AM186" s="208">
        <f t="shared" si="3211"/>
        <v>322071.28503281804</v>
      </c>
      <c r="AN186" s="208">
        <f t="shared" si="3211"/>
        <v>324975.39248279831</v>
      </c>
      <c r="AO186" s="208">
        <f t="shared" si="3211"/>
        <v>327899.63050680415</v>
      </c>
      <c r="AP186" s="208">
        <f t="shared" si="3211"/>
        <v>310176.66321672144</v>
      </c>
      <c r="AQ186" s="208">
        <f t="shared" si="3211"/>
        <v>313027.92443218362</v>
      </c>
      <c r="AR186" s="208">
        <f t="shared" si="3211"/>
        <v>315899.07179917023</v>
      </c>
      <c r="AS186" s="208">
        <f t="shared" si="3211"/>
        <v>318790.23011643154</v>
      </c>
      <c r="AT186" s="208">
        <f t="shared" si="3211"/>
        <v>321701.52492565836</v>
      </c>
      <c r="AU186" s="208">
        <f t="shared" si="3211"/>
        <v>324633.0825157754</v>
      </c>
      <c r="AV186" s="208">
        <f t="shared" si="3211"/>
        <v>327585.02992725879</v>
      </c>
      <c r="AW186" s="208">
        <f t="shared" si="3211"/>
        <v>330557.49495647807</v>
      </c>
      <c r="AX186" s="208">
        <f t="shared" si="3211"/>
        <v>333550.60616006301</v>
      </c>
      <c r="AY186" s="208">
        <f t="shared" si="3211"/>
        <v>336564.49285929528</v>
      </c>
      <c r="AZ186" s="208">
        <f t="shared" si="3211"/>
        <v>339599.28514452471</v>
      </c>
      <c r="BA186" s="208">
        <f t="shared" si="3211"/>
        <v>342655.11387961084</v>
      </c>
      <c r="BB186" s="208">
        <f t="shared" si="3211"/>
        <v>324134.6130614744</v>
      </c>
      <c r="BC186" s="208">
        <f t="shared" si="3211"/>
        <v>327114.18103163235</v>
      </c>
      <c r="BD186" s="208">
        <f t="shared" si="3211"/>
        <v>330114.53003013332</v>
      </c>
      <c r="BE186" s="208">
        <f t="shared" si="3211"/>
        <v>333135.79047167132</v>
      </c>
      <c r="BF186" s="208">
        <f t="shared" si="3211"/>
        <v>336178.09354731336</v>
      </c>
      <c r="BG186" s="208">
        <f t="shared" si="3211"/>
        <v>339241.57122898567</v>
      </c>
      <c r="BH186" s="208">
        <f t="shared" si="3211"/>
        <v>342326.35627398576</v>
      </c>
      <c r="BI186" s="208">
        <f t="shared" si="3211"/>
        <v>345298.95829426422</v>
      </c>
      <c r="BJ186" s="208">
        <f t="shared" si="3211"/>
        <v>348291.47249444568</v>
      </c>
      <c r="BK186" s="208">
        <f t="shared" si="3211"/>
        <v>351304.02002862003</v>
      </c>
      <c r="BL186" s="208">
        <f t="shared" si="3211"/>
        <v>354336.72275517421</v>
      </c>
      <c r="BM186" s="208">
        <f t="shared" si="3211"/>
        <v>357389.70324078918</v>
      </c>
      <c r="BN186" s="208">
        <f t="shared" si="3211"/>
        <v>337909.36248865235</v>
      </c>
      <c r="BO186" s="208">
        <f t="shared" si="3211"/>
        <v>340879.28295530024</v>
      </c>
      <c r="BP186" s="208">
        <f t="shared" si="3211"/>
        <v>343869.17157407093</v>
      </c>
      <c r="BQ186" s="208">
        <f t="shared" ref="BQ186:EB186" si="3212">BP192</f>
        <v>346879.15003825241</v>
      </c>
      <c r="BR186" s="208">
        <f t="shared" si="3212"/>
        <v>349909.34074915183</v>
      </c>
      <c r="BS186" s="208">
        <f t="shared" si="3212"/>
        <v>352959.86682011519</v>
      </c>
      <c r="BT186" s="208">
        <f t="shared" si="3212"/>
        <v>356030.85208057018</v>
      </c>
      <c r="BU186" s="208">
        <f t="shared" si="3212"/>
        <v>359122.4210800911</v>
      </c>
      <c r="BV186" s="208">
        <f t="shared" si="3212"/>
        <v>362234.69909248682</v>
      </c>
      <c r="BW186" s="208">
        <f t="shared" si="3212"/>
        <v>365367.81211991177</v>
      </c>
      <c r="BX186" s="208">
        <f t="shared" si="3212"/>
        <v>368521.88689699973</v>
      </c>
      <c r="BY186" s="208">
        <f t="shared" si="3212"/>
        <v>371697.0508950206</v>
      </c>
      <c r="BZ186" s="208">
        <f t="shared" si="3212"/>
        <v>351425.73698819865</v>
      </c>
      <c r="CA186" s="208">
        <f t="shared" si="3212"/>
        <v>354514.45427351247</v>
      </c>
      <c r="CB186" s="208">
        <f t="shared" si="3212"/>
        <v>357623.93843703397</v>
      </c>
      <c r="CC186" s="208">
        <f t="shared" si="3212"/>
        <v>360754.31603978277</v>
      </c>
      <c r="CD186" s="208">
        <f t="shared" si="3212"/>
        <v>363905.71437911817</v>
      </c>
      <c r="CE186" s="208">
        <f t="shared" si="3212"/>
        <v>367078.26149292011</v>
      </c>
      <c r="CF186" s="208">
        <f t="shared" si="3212"/>
        <v>370272.08616379334</v>
      </c>
      <c r="CG186" s="208">
        <f t="shared" si="3212"/>
        <v>373487.31792329508</v>
      </c>
      <c r="CH186" s="208">
        <f t="shared" si="3212"/>
        <v>376724.08705618663</v>
      </c>
      <c r="CI186" s="208">
        <f t="shared" si="3212"/>
        <v>379982.5246047086</v>
      </c>
      <c r="CJ186" s="208">
        <f t="shared" si="3212"/>
        <v>383262.76237288001</v>
      </c>
      <c r="CK186" s="208">
        <f t="shared" si="3212"/>
        <v>386564.93293082179</v>
      </c>
      <c r="CL186" s="208">
        <f t="shared" si="3212"/>
        <v>365482.76646772691</v>
      </c>
      <c r="CM186" s="208">
        <f t="shared" si="3212"/>
        <v>368695.03244445327</v>
      </c>
      <c r="CN186" s="208">
        <f t="shared" si="3212"/>
        <v>371928.89597451565</v>
      </c>
      <c r="CO186" s="208">
        <f t="shared" si="3212"/>
        <v>375184.48868137435</v>
      </c>
      <c r="CP186" s="208">
        <f t="shared" si="3212"/>
        <v>378461.94295428315</v>
      </c>
      <c r="CQ186" s="208">
        <f t="shared" si="3212"/>
        <v>381761.39195263718</v>
      </c>
      <c r="CR186" s="208">
        <f t="shared" si="3212"/>
        <v>385082.96961034526</v>
      </c>
      <c r="CS186" s="208">
        <f t="shared" si="3212"/>
        <v>388426.81064022705</v>
      </c>
      <c r="CT186" s="208">
        <f t="shared" si="3212"/>
        <v>391793.0505384343</v>
      </c>
      <c r="CU186" s="208">
        <f t="shared" si="3212"/>
        <v>395181.82558889716</v>
      </c>
      <c r="CV186" s="208">
        <f t="shared" si="3212"/>
        <v>398593.27286779549</v>
      </c>
      <c r="CW186" s="208">
        <f t="shared" si="3212"/>
        <v>402027.53024805489</v>
      </c>
      <c r="CX186" s="208">
        <f t="shared" si="3212"/>
        <v>253414.0548201949</v>
      </c>
      <c r="CY186" s="208">
        <f t="shared" si="3212"/>
        <v>255641.33725594572</v>
      </c>
      <c r="CZ186" s="208">
        <f t="shared" si="3212"/>
        <v>257883.59474405801</v>
      </c>
      <c r="DA186" s="208">
        <f t="shared" si="3212"/>
        <v>260140.91854802726</v>
      </c>
      <c r="DB186" s="208">
        <f t="shared" si="3212"/>
        <v>262413.40046232549</v>
      </c>
      <c r="DC186" s="208">
        <f t="shared" si="3212"/>
        <v>264701.13281541626</v>
      </c>
      <c r="DD186" s="208">
        <f t="shared" si="3212"/>
        <v>267004.20847278601</v>
      </c>
      <c r="DE186" s="208">
        <f t="shared" si="3212"/>
        <v>269322.7208399931</v>
      </c>
      <c r="DF186" s="208">
        <f t="shared" si="3212"/>
        <v>271656.76386573323</v>
      </c>
      <c r="DG186" s="208">
        <f t="shared" si="3212"/>
        <v>274006.43204492255</v>
      </c>
      <c r="DH186" s="208">
        <f t="shared" si="3212"/>
        <v>276371.82042179769</v>
      </c>
      <c r="DI186" s="208">
        <f t="shared" si="3212"/>
        <v>278753.02459303336</v>
      </c>
      <c r="DJ186" s="208">
        <f t="shared" si="3212"/>
        <v>131795.07381451185</v>
      </c>
      <c r="DK186" s="208">
        <f t="shared" si="3212"/>
        <v>132953.43440044631</v>
      </c>
      <c r="DL186" s="208">
        <f t="shared" si="3212"/>
        <v>134119.58318160442</v>
      </c>
      <c r="DM186" s="208">
        <f t="shared" si="3212"/>
        <v>135293.56762212201</v>
      </c>
      <c r="DN186" s="208">
        <f t="shared" si="3212"/>
        <v>136475.43546228416</v>
      </c>
      <c r="DO186" s="208">
        <f t="shared" si="3212"/>
        <v>137665.23472009317</v>
      </c>
      <c r="DP186" s="208">
        <f t="shared" si="3212"/>
        <v>138863.01369284518</v>
      </c>
      <c r="DQ186" s="208">
        <f t="shared" si="3212"/>
        <v>140068.82095871575</v>
      </c>
      <c r="DR186" s="208">
        <f t="shared" si="3212"/>
        <v>141282.70537835432</v>
      </c>
      <c r="DS186" s="208">
        <f t="shared" si="3212"/>
        <v>142504.71609648751</v>
      </c>
      <c r="DT186" s="208">
        <f t="shared" si="3212"/>
        <v>143734.90254353141</v>
      </c>
      <c r="DU186" s="208">
        <f t="shared" si="3212"/>
        <v>144973.31443721309</v>
      </c>
      <c r="DV186" s="208">
        <f t="shared" si="3212"/>
        <v>0</v>
      </c>
      <c r="DW186" s="208">
        <f t="shared" si="3212"/>
        <v>0</v>
      </c>
      <c r="DX186" s="208">
        <f t="shared" si="3212"/>
        <v>0</v>
      </c>
      <c r="DY186" s="208">
        <f t="shared" si="3212"/>
        <v>0</v>
      </c>
      <c r="DZ186" s="208">
        <f t="shared" si="3212"/>
        <v>0</v>
      </c>
      <c r="EA186" s="208">
        <f t="shared" si="3212"/>
        <v>0</v>
      </c>
      <c r="EB186" s="208">
        <f t="shared" si="3212"/>
        <v>0</v>
      </c>
      <c r="EC186" s="208">
        <f t="shared" ref="EC186:GN186" si="3213">EB192</f>
        <v>0</v>
      </c>
      <c r="ED186" s="208">
        <f t="shared" si="3213"/>
        <v>0</v>
      </c>
      <c r="EE186" s="208">
        <f t="shared" si="3213"/>
        <v>0</v>
      </c>
      <c r="EF186" s="208">
        <f t="shared" si="3213"/>
        <v>0</v>
      </c>
      <c r="EG186" s="208">
        <f t="shared" si="3213"/>
        <v>0</v>
      </c>
      <c r="EH186" s="208">
        <f t="shared" si="3213"/>
        <v>0</v>
      </c>
      <c r="EI186" s="208">
        <f t="shared" si="3213"/>
        <v>0</v>
      </c>
      <c r="EJ186" s="208">
        <f t="shared" si="3213"/>
        <v>0</v>
      </c>
      <c r="EK186" s="208">
        <f t="shared" si="3213"/>
        <v>0</v>
      </c>
      <c r="EL186" s="208">
        <f t="shared" si="3213"/>
        <v>0</v>
      </c>
      <c r="EM186" s="208">
        <f t="shared" si="3213"/>
        <v>0</v>
      </c>
      <c r="EN186" s="208">
        <f t="shared" si="3213"/>
        <v>0</v>
      </c>
      <c r="EO186" s="208">
        <f t="shared" si="3213"/>
        <v>0</v>
      </c>
      <c r="EP186" s="208">
        <f t="shared" si="3213"/>
        <v>0</v>
      </c>
      <c r="EQ186" s="208">
        <f t="shared" si="3213"/>
        <v>0</v>
      </c>
      <c r="ER186" s="208">
        <f t="shared" si="3213"/>
        <v>0</v>
      </c>
      <c r="ES186" s="208">
        <f t="shared" si="3213"/>
        <v>0</v>
      </c>
      <c r="ET186" s="208">
        <f t="shared" si="3213"/>
        <v>0</v>
      </c>
      <c r="EU186" s="208">
        <f t="shared" si="3213"/>
        <v>0</v>
      </c>
      <c r="EV186" s="208">
        <f t="shared" si="3213"/>
        <v>0</v>
      </c>
      <c r="EW186" s="208">
        <f t="shared" si="3213"/>
        <v>0</v>
      </c>
      <c r="EX186" s="208">
        <f t="shared" si="3213"/>
        <v>0</v>
      </c>
      <c r="EY186" s="208">
        <f t="shared" si="3213"/>
        <v>0</v>
      </c>
      <c r="EZ186" s="208">
        <f t="shared" si="3213"/>
        <v>0</v>
      </c>
      <c r="FA186" s="208">
        <f t="shared" si="3213"/>
        <v>0</v>
      </c>
      <c r="FB186" s="208">
        <f t="shared" si="3213"/>
        <v>0</v>
      </c>
      <c r="FC186" s="208">
        <f t="shared" si="3213"/>
        <v>0</v>
      </c>
      <c r="FD186" s="208">
        <f t="shared" si="3213"/>
        <v>0</v>
      </c>
      <c r="FE186" s="208">
        <f t="shared" si="3213"/>
        <v>0</v>
      </c>
      <c r="FF186" s="208">
        <f t="shared" si="3213"/>
        <v>0</v>
      </c>
      <c r="FG186" s="208">
        <f t="shared" si="3213"/>
        <v>0</v>
      </c>
      <c r="FH186" s="208">
        <f t="shared" si="3213"/>
        <v>0</v>
      </c>
      <c r="FI186" s="208">
        <f t="shared" si="3213"/>
        <v>0</v>
      </c>
      <c r="FJ186" s="208">
        <f t="shared" si="3213"/>
        <v>0</v>
      </c>
      <c r="FK186" s="208">
        <f t="shared" si="3213"/>
        <v>0</v>
      </c>
      <c r="FL186" s="208">
        <f t="shared" si="3213"/>
        <v>0</v>
      </c>
      <c r="FM186" s="208">
        <f t="shared" si="3213"/>
        <v>0</v>
      </c>
      <c r="FN186" s="208">
        <f t="shared" si="3213"/>
        <v>0</v>
      </c>
      <c r="FO186" s="208">
        <f t="shared" si="3213"/>
        <v>0</v>
      </c>
      <c r="FP186" s="208">
        <f t="shared" si="3213"/>
        <v>0</v>
      </c>
      <c r="FQ186" s="208">
        <f t="shared" si="3213"/>
        <v>0</v>
      </c>
      <c r="FR186" s="208">
        <f t="shared" si="3213"/>
        <v>0</v>
      </c>
      <c r="FS186" s="208">
        <f t="shared" si="3213"/>
        <v>0</v>
      </c>
      <c r="FT186" s="208">
        <f t="shared" si="3213"/>
        <v>0</v>
      </c>
      <c r="FU186" s="208">
        <f t="shared" si="3213"/>
        <v>0</v>
      </c>
      <c r="FV186" s="208">
        <f t="shared" si="3213"/>
        <v>0</v>
      </c>
      <c r="FW186" s="208">
        <f t="shared" si="3213"/>
        <v>0</v>
      </c>
      <c r="FX186" s="208">
        <f t="shared" si="3213"/>
        <v>0</v>
      </c>
      <c r="FY186" s="208">
        <f t="shared" si="3213"/>
        <v>0</v>
      </c>
      <c r="FZ186" s="208">
        <f t="shared" si="3213"/>
        <v>0</v>
      </c>
      <c r="GA186" s="208">
        <f t="shared" si="3213"/>
        <v>0</v>
      </c>
      <c r="GB186" s="208">
        <f t="shared" si="3213"/>
        <v>0</v>
      </c>
      <c r="GC186" s="208">
        <f t="shared" si="3213"/>
        <v>0</v>
      </c>
      <c r="GD186" s="208">
        <f t="shared" si="3213"/>
        <v>0</v>
      </c>
      <c r="GE186" s="208">
        <f t="shared" si="3213"/>
        <v>0</v>
      </c>
      <c r="GF186" s="208">
        <f t="shared" si="3213"/>
        <v>0</v>
      </c>
      <c r="GG186" s="208">
        <f t="shared" si="3213"/>
        <v>0</v>
      </c>
      <c r="GH186" s="208">
        <f t="shared" si="3213"/>
        <v>0</v>
      </c>
      <c r="GI186" s="208">
        <f t="shared" si="3213"/>
        <v>0</v>
      </c>
      <c r="GJ186" s="208">
        <f t="shared" si="3213"/>
        <v>0</v>
      </c>
      <c r="GK186" s="208">
        <f t="shared" si="3213"/>
        <v>0</v>
      </c>
      <c r="GL186" s="208">
        <f t="shared" si="3213"/>
        <v>0</v>
      </c>
      <c r="GM186" s="208">
        <f t="shared" si="3213"/>
        <v>0</v>
      </c>
      <c r="GN186" s="208">
        <f t="shared" si="3213"/>
        <v>0</v>
      </c>
      <c r="GO186" s="208">
        <f t="shared" ref="GO186:GQ186" si="3214">GN192</f>
        <v>0</v>
      </c>
      <c r="GP186" s="208">
        <f t="shared" si="3214"/>
        <v>0</v>
      </c>
      <c r="GQ186" s="208">
        <f t="shared" si="3214"/>
        <v>0</v>
      </c>
    </row>
    <row r="187" spans="2:199" s="315" customFormat="1" outlineLevel="1">
      <c r="B187" s="187" t="s">
        <v>411</v>
      </c>
      <c r="C187" s="180">
        <f>800000/3</f>
        <v>266666.66666666669</v>
      </c>
      <c r="D187" s="188"/>
      <c r="E187" s="189">
        <f>(IF(E172&lt;$C174,0,IF(E172=$C174,$C187,0)))</f>
        <v>266666.66666666669</v>
      </c>
      <c r="F187" s="189">
        <f t="shared" ref="F187:BQ187" si="3215">(IF(F172&lt;$C174,0,IF(F172=$C174,$C187,0)))</f>
        <v>0</v>
      </c>
      <c r="G187" s="189">
        <f t="shared" si="3215"/>
        <v>0</v>
      </c>
      <c r="H187" s="189">
        <f t="shared" si="3215"/>
        <v>0</v>
      </c>
      <c r="I187" s="189">
        <f t="shared" si="3215"/>
        <v>0</v>
      </c>
      <c r="J187" s="189">
        <f t="shared" si="3215"/>
        <v>0</v>
      </c>
      <c r="K187" s="189">
        <f t="shared" si="3215"/>
        <v>0</v>
      </c>
      <c r="L187" s="189">
        <f t="shared" si="3215"/>
        <v>0</v>
      </c>
      <c r="M187" s="189">
        <f t="shared" si="3215"/>
        <v>0</v>
      </c>
      <c r="N187" s="189">
        <f t="shared" si="3215"/>
        <v>0</v>
      </c>
      <c r="O187" s="189">
        <f t="shared" si="3215"/>
        <v>0</v>
      </c>
      <c r="P187" s="189">
        <f t="shared" si="3215"/>
        <v>0</v>
      </c>
      <c r="Q187" s="189">
        <f t="shared" si="3215"/>
        <v>0</v>
      </c>
      <c r="R187" s="189">
        <f t="shared" si="3215"/>
        <v>0</v>
      </c>
      <c r="S187" s="189">
        <f t="shared" si="3215"/>
        <v>0</v>
      </c>
      <c r="T187" s="189">
        <f t="shared" si="3215"/>
        <v>0</v>
      </c>
      <c r="U187" s="189">
        <f t="shared" si="3215"/>
        <v>0</v>
      </c>
      <c r="V187" s="189">
        <f t="shared" si="3215"/>
        <v>0</v>
      </c>
      <c r="W187" s="189">
        <f t="shared" si="3215"/>
        <v>0</v>
      </c>
      <c r="X187" s="189">
        <f t="shared" si="3215"/>
        <v>0</v>
      </c>
      <c r="Y187" s="189">
        <f t="shared" si="3215"/>
        <v>0</v>
      </c>
      <c r="Z187" s="189">
        <f t="shared" si="3215"/>
        <v>0</v>
      </c>
      <c r="AA187" s="189">
        <f t="shared" si="3215"/>
        <v>0</v>
      </c>
      <c r="AB187" s="189">
        <f t="shared" si="3215"/>
        <v>0</v>
      </c>
      <c r="AC187" s="189">
        <f t="shared" si="3215"/>
        <v>0</v>
      </c>
      <c r="AD187" s="189">
        <f t="shared" si="3215"/>
        <v>0</v>
      </c>
      <c r="AE187" s="189">
        <f t="shared" si="3215"/>
        <v>0</v>
      </c>
      <c r="AF187" s="189">
        <f t="shared" si="3215"/>
        <v>0</v>
      </c>
      <c r="AG187" s="189">
        <f t="shared" si="3215"/>
        <v>0</v>
      </c>
      <c r="AH187" s="189">
        <f t="shared" si="3215"/>
        <v>0</v>
      </c>
      <c r="AI187" s="189">
        <f t="shared" si="3215"/>
        <v>0</v>
      </c>
      <c r="AJ187" s="189">
        <f t="shared" si="3215"/>
        <v>0</v>
      </c>
      <c r="AK187" s="189">
        <f t="shared" si="3215"/>
        <v>0</v>
      </c>
      <c r="AL187" s="189">
        <f t="shared" si="3215"/>
        <v>0</v>
      </c>
      <c r="AM187" s="189">
        <f t="shared" si="3215"/>
        <v>0</v>
      </c>
      <c r="AN187" s="189">
        <f t="shared" si="3215"/>
        <v>0</v>
      </c>
      <c r="AO187" s="189">
        <f t="shared" si="3215"/>
        <v>0</v>
      </c>
      <c r="AP187" s="189">
        <f t="shared" si="3215"/>
        <v>0</v>
      </c>
      <c r="AQ187" s="189">
        <f t="shared" si="3215"/>
        <v>0</v>
      </c>
      <c r="AR187" s="189">
        <f t="shared" si="3215"/>
        <v>0</v>
      </c>
      <c r="AS187" s="189">
        <f t="shared" si="3215"/>
        <v>0</v>
      </c>
      <c r="AT187" s="189">
        <f t="shared" si="3215"/>
        <v>0</v>
      </c>
      <c r="AU187" s="189">
        <f t="shared" si="3215"/>
        <v>0</v>
      </c>
      <c r="AV187" s="189">
        <f t="shared" si="3215"/>
        <v>0</v>
      </c>
      <c r="AW187" s="189">
        <f t="shared" si="3215"/>
        <v>0</v>
      </c>
      <c r="AX187" s="189">
        <f t="shared" si="3215"/>
        <v>0</v>
      </c>
      <c r="AY187" s="189">
        <f t="shared" si="3215"/>
        <v>0</v>
      </c>
      <c r="AZ187" s="189">
        <f t="shared" si="3215"/>
        <v>0</v>
      </c>
      <c r="BA187" s="189">
        <f t="shared" si="3215"/>
        <v>0</v>
      </c>
      <c r="BB187" s="189">
        <f t="shared" si="3215"/>
        <v>0</v>
      </c>
      <c r="BC187" s="189">
        <f t="shared" si="3215"/>
        <v>0</v>
      </c>
      <c r="BD187" s="189">
        <f t="shared" si="3215"/>
        <v>0</v>
      </c>
      <c r="BE187" s="189">
        <f t="shared" si="3215"/>
        <v>0</v>
      </c>
      <c r="BF187" s="189">
        <f t="shared" si="3215"/>
        <v>0</v>
      </c>
      <c r="BG187" s="189">
        <f t="shared" si="3215"/>
        <v>0</v>
      </c>
      <c r="BH187" s="189">
        <f t="shared" si="3215"/>
        <v>0</v>
      </c>
      <c r="BI187" s="189">
        <f t="shared" si="3215"/>
        <v>0</v>
      </c>
      <c r="BJ187" s="189">
        <f t="shared" si="3215"/>
        <v>0</v>
      </c>
      <c r="BK187" s="189">
        <f t="shared" si="3215"/>
        <v>0</v>
      </c>
      <c r="BL187" s="189">
        <f t="shared" si="3215"/>
        <v>0</v>
      </c>
      <c r="BM187" s="189">
        <f t="shared" si="3215"/>
        <v>0</v>
      </c>
      <c r="BN187" s="189">
        <f t="shared" si="3215"/>
        <v>0</v>
      </c>
      <c r="BO187" s="189">
        <f t="shared" si="3215"/>
        <v>0</v>
      </c>
      <c r="BP187" s="189">
        <f t="shared" si="3215"/>
        <v>0</v>
      </c>
      <c r="BQ187" s="189">
        <f t="shared" si="3215"/>
        <v>0</v>
      </c>
      <c r="BR187" s="189">
        <f t="shared" ref="BR187:EC187" si="3216">(IF(BR172&lt;$C174,0,IF(BR172=$C174,$C187,0)))</f>
        <v>0</v>
      </c>
      <c r="BS187" s="189">
        <f t="shared" si="3216"/>
        <v>0</v>
      </c>
      <c r="BT187" s="189">
        <f t="shared" si="3216"/>
        <v>0</v>
      </c>
      <c r="BU187" s="189">
        <f t="shared" si="3216"/>
        <v>0</v>
      </c>
      <c r="BV187" s="189">
        <f t="shared" si="3216"/>
        <v>0</v>
      </c>
      <c r="BW187" s="189">
        <f t="shared" si="3216"/>
        <v>0</v>
      </c>
      <c r="BX187" s="189">
        <f t="shared" si="3216"/>
        <v>0</v>
      </c>
      <c r="BY187" s="189">
        <f t="shared" si="3216"/>
        <v>0</v>
      </c>
      <c r="BZ187" s="189">
        <f t="shared" si="3216"/>
        <v>0</v>
      </c>
      <c r="CA187" s="189">
        <f t="shared" si="3216"/>
        <v>0</v>
      </c>
      <c r="CB187" s="189">
        <f t="shared" si="3216"/>
        <v>0</v>
      </c>
      <c r="CC187" s="189">
        <f t="shared" si="3216"/>
        <v>0</v>
      </c>
      <c r="CD187" s="189">
        <f t="shared" si="3216"/>
        <v>0</v>
      </c>
      <c r="CE187" s="189">
        <f t="shared" si="3216"/>
        <v>0</v>
      </c>
      <c r="CF187" s="189">
        <f t="shared" si="3216"/>
        <v>0</v>
      </c>
      <c r="CG187" s="189">
        <f t="shared" si="3216"/>
        <v>0</v>
      </c>
      <c r="CH187" s="189">
        <f t="shared" si="3216"/>
        <v>0</v>
      </c>
      <c r="CI187" s="189">
        <f t="shared" si="3216"/>
        <v>0</v>
      </c>
      <c r="CJ187" s="189">
        <f t="shared" si="3216"/>
        <v>0</v>
      </c>
      <c r="CK187" s="189">
        <f t="shared" si="3216"/>
        <v>0</v>
      </c>
      <c r="CL187" s="189">
        <f t="shared" si="3216"/>
        <v>0</v>
      </c>
      <c r="CM187" s="189">
        <f t="shared" si="3216"/>
        <v>0</v>
      </c>
      <c r="CN187" s="189">
        <f t="shared" si="3216"/>
        <v>0</v>
      </c>
      <c r="CO187" s="189">
        <f t="shared" si="3216"/>
        <v>0</v>
      </c>
      <c r="CP187" s="189">
        <f t="shared" si="3216"/>
        <v>0</v>
      </c>
      <c r="CQ187" s="189">
        <f t="shared" si="3216"/>
        <v>0</v>
      </c>
      <c r="CR187" s="189">
        <f t="shared" si="3216"/>
        <v>0</v>
      </c>
      <c r="CS187" s="189">
        <f t="shared" si="3216"/>
        <v>0</v>
      </c>
      <c r="CT187" s="189">
        <f t="shared" si="3216"/>
        <v>0</v>
      </c>
      <c r="CU187" s="189">
        <f t="shared" si="3216"/>
        <v>0</v>
      </c>
      <c r="CV187" s="189">
        <f t="shared" si="3216"/>
        <v>0</v>
      </c>
      <c r="CW187" s="189">
        <f t="shared" si="3216"/>
        <v>0</v>
      </c>
      <c r="CX187" s="189">
        <f t="shared" si="3216"/>
        <v>0</v>
      </c>
      <c r="CY187" s="189">
        <f t="shared" si="3216"/>
        <v>0</v>
      </c>
      <c r="CZ187" s="189">
        <f t="shared" si="3216"/>
        <v>0</v>
      </c>
      <c r="DA187" s="189">
        <f t="shared" si="3216"/>
        <v>0</v>
      </c>
      <c r="DB187" s="189">
        <f t="shared" si="3216"/>
        <v>0</v>
      </c>
      <c r="DC187" s="189">
        <f t="shared" si="3216"/>
        <v>0</v>
      </c>
      <c r="DD187" s="189">
        <f t="shared" si="3216"/>
        <v>0</v>
      </c>
      <c r="DE187" s="189">
        <f t="shared" si="3216"/>
        <v>0</v>
      </c>
      <c r="DF187" s="189">
        <f t="shared" si="3216"/>
        <v>0</v>
      </c>
      <c r="DG187" s="189">
        <f t="shared" si="3216"/>
        <v>0</v>
      </c>
      <c r="DH187" s="189">
        <f t="shared" si="3216"/>
        <v>0</v>
      </c>
      <c r="DI187" s="189">
        <f t="shared" si="3216"/>
        <v>0</v>
      </c>
      <c r="DJ187" s="189">
        <f t="shared" si="3216"/>
        <v>0</v>
      </c>
      <c r="DK187" s="189">
        <f t="shared" si="3216"/>
        <v>0</v>
      </c>
      <c r="DL187" s="189">
        <f t="shared" si="3216"/>
        <v>0</v>
      </c>
      <c r="DM187" s="189">
        <f t="shared" si="3216"/>
        <v>0</v>
      </c>
      <c r="DN187" s="189">
        <f t="shared" si="3216"/>
        <v>0</v>
      </c>
      <c r="DO187" s="189">
        <f t="shared" si="3216"/>
        <v>0</v>
      </c>
      <c r="DP187" s="189">
        <f t="shared" si="3216"/>
        <v>0</v>
      </c>
      <c r="DQ187" s="189">
        <f t="shared" si="3216"/>
        <v>0</v>
      </c>
      <c r="DR187" s="189">
        <f t="shared" si="3216"/>
        <v>0</v>
      </c>
      <c r="DS187" s="189">
        <f t="shared" si="3216"/>
        <v>0</v>
      </c>
      <c r="DT187" s="189">
        <f t="shared" si="3216"/>
        <v>0</v>
      </c>
      <c r="DU187" s="189">
        <f t="shared" si="3216"/>
        <v>0</v>
      </c>
      <c r="DV187" s="189">
        <f t="shared" si="3216"/>
        <v>0</v>
      </c>
      <c r="DW187" s="189">
        <f t="shared" si="3216"/>
        <v>0</v>
      </c>
      <c r="DX187" s="189">
        <f t="shared" si="3216"/>
        <v>0</v>
      </c>
      <c r="DY187" s="189">
        <f t="shared" si="3216"/>
        <v>0</v>
      </c>
      <c r="DZ187" s="189">
        <f t="shared" si="3216"/>
        <v>0</v>
      </c>
      <c r="EA187" s="189">
        <f t="shared" si="3216"/>
        <v>0</v>
      </c>
      <c r="EB187" s="189">
        <f t="shared" si="3216"/>
        <v>0</v>
      </c>
      <c r="EC187" s="189">
        <f t="shared" si="3216"/>
        <v>0</v>
      </c>
      <c r="ED187" s="189">
        <f t="shared" ref="ED187:GO187" si="3217">(IF(ED172&lt;$C174,0,IF(ED172=$C174,$C187,0)))</f>
        <v>0</v>
      </c>
      <c r="EE187" s="189">
        <f t="shared" si="3217"/>
        <v>0</v>
      </c>
      <c r="EF187" s="189">
        <f t="shared" si="3217"/>
        <v>0</v>
      </c>
      <c r="EG187" s="189">
        <f t="shared" si="3217"/>
        <v>0</v>
      </c>
      <c r="EH187" s="189">
        <f t="shared" si="3217"/>
        <v>0</v>
      </c>
      <c r="EI187" s="189">
        <f t="shared" si="3217"/>
        <v>0</v>
      </c>
      <c r="EJ187" s="189">
        <f t="shared" si="3217"/>
        <v>0</v>
      </c>
      <c r="EK187" s="189">
        <f t="shared" si="3217"/>
        <v>0</v>
      </c>
      <c r="EL187" s="189">
        <f t="shared" si="3217"/>
        <v>0</v>
      </c>
      <c r="EM187" s="189">
        <f t="shared" si="3217"/>
        <v>0</v>
      </c>
      <c r="EN187" s="189">
        <f t="shared" si="3217"/>
        <v>0</v>
      </c>
      <c r="EO187" s="189">
        <f t="shared" si="3217"/>
        <v>0</v>
      </c>
      <c r="EP187" s="189">
        <f t="shared" si="3217"/>
        <v>0</v>
      </c>
      <c r="EQ187" s="189">
        <f t="shared" si="3217"/>
        <v>0</v>
      </c>
      <c r="ER187" s="189">
        <f t="shared" si="3217"/>
        <v>0</v>
      </c>
      <c r="ES187" s="189">
        <f t="shared" si="3217"/>
        <v>0</v>
      </c>
      <c r="ET187" s="189">
        <f t="shared" si="3217"/>
        <v>0</v>
      </c>
      <c r="EU187" s="189">
        <f t="shared" si="3217"/>
        <v>0</v>
      </c>
      <c r="EV187" s="189">
        <f t="shared" si="3217"/>
        <v>0</v>
      </c>
      <c r="EW187" s="189">
        <f t="shared" si="3217"/>
        <v>0</v>
      </c>
      <c r="EX187" s="189">
        <f t="shared" si="3217"/>
        <v>0</v>
      </c>
      <c r="EY187" s="189">
        <f t="shared" si="3217"/>
        <v>0</v>
      </c>
      <c r="EZ187" s="189">
        <f t="shared" si="3217"/>
        <v>0</v>
      </c>
      <c r="FA187" s="189">
        <f t="shared" si="3217"/>
        <v>0</v>
      </c>
      <c r="FB187" s="189">
        <f t="shared" si="3217"/>
        <v>0</v>
      </c>
      <c r="FC187" s="189">
        <f t="shared" si="3217"/>
        <v>0</v>
      </c>
      <c r="FD187" s="189">
        <f t="shared" si="3217"/>
        <v>0</v>
      </c>
      <c r="FE187" s="189">
        <f t="shared" si="3217"/>
        <v>0</v>
      </c>
      <c r="FF187" s="189">
        <f t="shared" si="3217"/>
        <v>0</v>
      </c>
      <c r="FG187" s="189">
        <f t="shared" si="3217"/>
        <v>0</v>
      </c>
      <c r="FH187" s="189">
        <f t="shared" si="3217"/>
        <v>0</v>
      </c>
      <c r="FI187" s="189">
        <f t="shared" si="3217"/>
        <v>0</v>
      </c>
      <c r="FJ187" s="189">
        <f t="shared" si="3217"/>
        <v>0</v>
      </c>
      <c r="FK187" s="189">
        <f t="shared" si="3217"/>
        <v>0</v>
      </c>
      <c r="FL187" s="189">
        <f t="shared" si="3217"/>
        <v>0</v>
      </c>
      <c r="FM187" s="189">
        <f t="shared" si="3217"/>
        <v>0</v>
      </c>
      <c r="FN187" s="189">
        <f t="shared" si="3217"/>
        <v>0</v>
      </c>
      <c r="FO187" s="189">
        <f t="shared" si="3217"/>
        <v>0</v>
      </c>
      <c r="FP187" s="189">
        <f t="shared" si="3217"/>
        <v>0</v>
      </c>
      <c r="FQ187" s="189">
        <f t="shared" si="3217"/>
        <v>0</v>
      </c>
      <c r="FR187" s="189">
        <f t="shared" si="3217"/>
        <v>0</v>
      </c>
      <c r="FS187" s="189">
        <f t="shared" si="3217"/>
        <v>0</v>
      </c>
      <c r="FT187" s="189">
        <f t="shared" si="3217"/>
        <v>0</v>
      </c>
      <c r="FU187" s="189">
        <f t="shared" si="3217"/>
        <v>0</v>
      </c>
      <c r="FV187" s="189">
        <f t="shared" si="3217"/>
        <v>0</v>
      </c>
      <c r="FW187" s="189">
        <f t="shared" si="3217"/>
        <v>0</v>
      </c>
      <c r="FX187" s="189">
        <f t="shared" si="3217"/>
        <v>0</v>
      </c>
      <c r="FY187" s="189">
        <f t="shared" si="3217"/>
        <v>0</v>
      </c>
      <c r="FZ187" s="189">
        <f t="shared" si="3217"/>
        <v>0</v>
      </c>
      <c r="GA187" s="189">
        <f t="shared" si="3217"/>
        <v>0</v>
      </c>
      <c r="GB187" s="189">
        <f t="shared" si="3217"/>
        <v>0</v>
      </c>
      <c r="GC187" s="189">
        <f t="shared" si="3217"/>
        <v>0</v>
      </c>
      <c r="GD187" s="189">
        <f t="shared" si="3217"/>
        <v>0</v>
      </c>
      <c r="GE187" s="189">
        <f t="shared" si="3217"/>
        <v>0</v>
      </c>
      <c r="GF187" s="189">
        <f t="shared" si="3217"/>
        <v>0</v>
      </c>
      <c r="GG187" s="189">
        <f t="shared" si="3217"/>
        <v>0</v>
      </c>
      <c r="GH187" s="189">
        <f t="shared" si="3217"/>
        <v>0</v>
      </c>
      <c r="GI187" s="189">
        <f t="shared" si="3217"/>
        <v>0</v>
      </c>
      <c r="GJ187" s="189">
        <f t="shared" si="3217"/>
        <v>0</v>
      </c>
      <c r="GK187" s="189">
        <f t="shared" si="3217"/>
        <v>0</v>
      </c>
      <c r="GL187" s="189">
        <f t="shared" si="3217"/>
        <v>0</v>
      </c>
      <c r="GM187" s="189">
        <f t="shared" si="3217"/>
        <v>0</v>
      </c>
      <c r="GN187" s="189">
        <f t="shared" si="3217"/>
        <v>0</v>
      </c>
      <c r="GO187" s="189">
        <f t="shared" si="3217"/>
        <v>0</v>
      </c>
      <c r="GP187" s="189">
        <f t="shared" ref="GP187:GQ187" si="3218">(IF(GP172&lt;$C174,0,IF(GP172=$C174,$C187,0)))</f>
        <v>0</v>
      </c>
      <c r="GQ187" s="189">
        <f t="shared" si="3218"/>
        <v>0</v>
      </c>
    </row>
    <row r="188" spans="2:199" s="315" customFormat="1" outlineLevel="1">
      <c r="B188" s="190" t="s">
        <v>395</v>
      </c>
      <c r="C188" s="164"/>
      <c r="D188" s="191"/>
      <c r="E188" s="427">
        <f t="shared" ref="E188:BP188" si="3219">SUM(E186:E187,-D193)*(E196-1)</f>
        <v>346.66666666668772</v>
      </c>
      <c r="F188" s="209">
        <f t="shared" si="3219"/>
        <v>0</v>
      </c>
      <c r="G188" s="209">
        <f t="shared" si="3219"/>
        <v>560.72799999999745</v>
      </c>
      <c r="H188" s="209">
        <f t="shared" si="3219"/>
        <v>1204.0832759999862</v>
      </c>
      <c r="I188" s="209">
        <f t="shared" si="3219"/>
        <v>1478.2797953513493</v>
      </c>
      <c r="J188" s="209">
        <f t="shared" si="3219"/>
        <v>1837.7436859518332</v>
      </c>
      <c r="K188" s="209">
        <f t="shared" si="3219"/>
        <v>1632.5650085438201</v>
      </c>
      <c r="L188" s="209">
        <f t="shared" si="3219"/>
        <v>1839.4436464265077</v>
      </c>
      <c r="M188" s="209">
        <f t="shared" si="3219"/>
        <v>2039.1897079175103</v>
      </c>
      <c r="N188" s="209">
        <f t="shared" si="3219"/>
        <v>1254.7762563699519</v>
      </c>
      <c r="O188" s="209">
        <f t="shared" si="3219"/>
        <v>1026.2053251723844</v>
      </c>
      <c r="P188" s="209">
        <f t="shared" si="3219"/>
        <v>1511.3862793893798</v>
      </c>
      <c r="Q188" s="209">
        <f t="shared" si="3219"/>
        <v>438.98046553055298</v>
      </c>
      <c r="R188" s="209">
        <f t="shared" si="3219"/>
        <v>281.83671477995551</v>
      </c>
      <c r="S188" s="209">
        <f t="shared" si="3219"/>
        <v>710.93874976683344</v>
      </c>
      <c r="T188" s="209">
        <f t="shared" si="3219"/>
        <v>1527.2792473205006</v>
      </c>
      <c r="U188" s="209">
        <f t="shared" si="3219"/>
        <v>1876.7546786462185</v>
      </c>
      <c r="V188" s="209">
        <f t="shared" si="3219"/>
        <v>2049.4320330607961</v>
      </c>
      <c r="W188" s="209">
        <f t="shared" si="3219"/>
        <v>2075.6372846656659</v>
      </c>
      <c r="X188" s="209">
        <f t="shared" si="3219"/>
        <v>1067.0124888481573</v>
      </c>
      <c r="Y188" s="209">
        <f t="shared" si="3219"/>
        <v>1070.9335563725601</v>
      </c>
      <c r="Z188" s="209">
        <f t="shared" si="3219"/>
        <v>1074.8690330727613</v>
      </c>
      <c r="AA188" s="209">
        <f t="shared" si="3219"/>
        <v>1078.8189718997355</v>
      </c>
      <c r="AB188" s="209">
        <f t="shared" si="3219"/>
        <v>1082.7834259990423</v>
      </c>
      <c r="AC188" s="209">
        <f t="shared" si="3219"/>
        <v>1086.7624487115406</v>
      </c>
      <c r="AD188" s="209">
        <f t="shared" si="3219"/>
        <v>1090.7560935741078</v>
      </c>
      <c r="AE188" s="209">
        <f t="shared" si="3219"/>
        <v>1094.7644143203577</v>
      </c>
      <c r="AF188" s="209">
        <f t="shared" si="3219"/>
        <v>1098.7874648813656</v>
      </c>
      <c r="AG188" s="209">
        <f t="shared" si="3219"/>
        <v>1102.8252993863939</v>
      </c>
      <c r="AH188" s="209">
        <f t="shared" si="3219"/>
        <v>1106.8779721636186</v>
      </c>
      <c r="AI188" s="209">
        <f t="shared" si="3219"/>
        <v>1110.9455377408619</v>
      </c>
      <c r="AJ188" s="209">
        <f t="shared" si="3219"/>
        <v>1115.0280508463256</v>
      </c>
      <c r="AK188" s="209">
        <f t="shared" si="3219"/>
        <v>1119.1255664093262</v>
      </c>
      <c r="AL188" s="209">
        <f t="shared" si="3219"/>
        <v>1123.2381395610364</v>
      </c>
      <c r="AM188" s="209">
        <f t="shared" si="3219"/>
        <v>1127.3658256352244</v>
      </c>
      <c r="AN188" s="209">
        <f t="shared" si="3219"/>
        <v>1131.5086801689999</v>
      </c>
      <c r="AO188" s="209">
        <f t="shared" si="3219"/>
        <v>1135.6667589035608</v>
      </c>
      <c r="AP188" s="209">
        <f t="shared" si="3219"/>
        <v>1139.8401177849432</v>
      </c>
      <c r="AQ188" s="209">
        <f t="shared" si="3219"/>
        <v>1144.0288129647743</v>
      </c>
      <c r="AR188" s="209">
        <f t="shared" si="3219"/>
        <v>1148.2329008010281</v>
      </c>
      <c r="AS188" s="209">
        <f t="shared" si="3219"/>
        <v>1152.4524378587828</v>
      </c>
      <c r="AT188" s="209">
        <f t="shared" si="3219"/>
        <v>1156.6874809109827</v>
      </c>
      <c r="AU188" s="209">
        <f t="shared" si="3219"/>
        <v>1160.9380869392019</v>
      </c>
      <c r="AV188" s="209">
        <f t="shared" si="3219"/>
        <v>1165.2043131344114</v>
      </c>
      <c r="AW188" s="209">
        <f t="shared" si="3219"/>
        <v>1169.4862168977472</v>
      </c>
      <c r="AX188" s="209">
        <f t="shared" si="3219"/>
        <v>1173.7838558412843</v>
      </c>
      <c r="AY188" s="209">
        <f t="shared" si="3219"/>
        <v>1178.0972877888112</v>
      </c>
      <c r="AZ188" s="209">
        <f t="shared" si="3219"/>
        <v>1182.4265707766067</v>
      </c>
      <c r="BA188" s="209">
        <f t="shared" si="3219"/>
        <v>1186.7717630542229</v>
      </c>
      <c r="BB188" s="209">
        <f t="shared" si="3219"/>
        <v>1191.1329230852675</v>
      </c>
      <c r="BC188" s="209">
        <f t="shared" si="3219"/>
        <v>1195.5101095481912</v>
      </c>
      <c r="BD188" s="209">
        <f t="shared" si="3219"/>
        <v>1199.9033813370759</v>
      </c>
      <c r="BE188" s="209">
        <f t="shared" si="3219"/>
        <v>1204.3127975624293</v>
      </c>
      <c r="BF188" s="209">
        <f t="shared" si="3219"/>
        <v>1208.7384175519783</v>
      </c>
      <c r="BG188" s="209">
        <f t="shared" si="3219"/>
        <v>1213.1803008514673</v>
      </c>
      <c r="BH188" s="209">
        <f t="shared" si="3219"/>
        <v>1084.7451356163995</v>
      </c>
      <c r="BI188" s="209">
        <f t="shared" si="3219"/>
        <v>1088.2963089204136</v>
      </c>
      <c r="BJ188" s="209">
        <f t="shared" si="3219"/>
        <v>1091.8591078417467</v>
      </c>
      <c r="BK188" s="209">
        <f t="shared" si="3219"/>
        <v>1095.4335704396444</v>
      </c>
      <c r="BL188" s="209">
        <f t="shared" si="3219"/>
        <v>1099.0197348979489</v>
      </c>
      <c r="BM188" s="209">
        <f t="shared" si="3219"/>
        <v>1102.6176395255061</v>
      </c>
      <c r="BN188" s="209">
        <f t="shared" si="3219"/>
        <v>1106.2273227565747</v>
      </c>
      <c r="BO188" s="209">
        <f t="shared" si="3219"/>
        <v>1109.8488231512383</v>
      </c>
      <c r="BP188" s="209">
        <f t="shared" si="3219"/>
        <v>1113.4821793958151</v>
      </c>
      <c r="BQ188" s="209">
        <f t="shared" ref="BQ188:EB188" si="3220">SUM(BQ186:BQ187,-BP193)*(BQ196-1)</f>
        <v>1117.1274303032728</v>
      </c>
      <c r="BR188" s="209">
        <f t="shared" si="3220"/>
        <v>1120.7846148136423</v>
      </c>
      <c r="BS188" s="209">
        <f t="shared" si="3220"/>
        <v>1124.453771994434</v>
      </c>
      <c r="BT188" s="209">
        <f t="shared" si="3220"/>
        <v>1128.1349410410558</v>
      </c>
      <c r="BU188" s="209">
        <f t="shared" si="3220"/>
        <v>1131.8281612772307</v>
      </c>
      <c r="BV188" s="209">
        <f t="shared" si="3220"/>
        <v>1135.533472155417</v>
      </c>
      <c r="BW188" s="209">
        <f t="shared" si="3220"/>
        <v>1139.2509132572306</v>
      </c>
      <c r="BX188" s="209">
        <f t="shared" si="3220"/>
        <v>1142.9805242938673</v>
      </c>
      <c r="BY188" s="209">
        <f t="shared" si="3220"/>
        <v>1146.7223451065265</v>
      </c>
      <c r="BZ188" s="209">
        <f t="shared" si="3220"/>
        <v>1150.4764156668384</v>
      </c>
      <c r="CA188" s="209">
        <f t="shared" si="3220"/>
        <v>1154.2427760772885</v>
      </c>
      <c r="CB188" s="209">
        <f t="shared" si="3220"/>
        <v>1158.0214665716485</v>
      </c>
      <c r="CC188" s="209">
        <f t="shared" si="3220"/>
        <v>1161.8125275154046</v>
      </c>
      <c r="CD188" s="209">
        <f t="shared" si="3220"/>
        <v>1165.6159994061886</v>
      </c>
      <c r="CE188" s="209">
        <f t="shared" si="3220"/>
        <v>1169.4319228742124</v>
      </c>
      <c r="CF188" s="209">
        <f t="shared" si="3220"/>
        <v>1173.2603386826991</v>
      </c>
      <c r="CG188" s="209">
        <f t="shared" si="3220"/>
        <v>1177.101287728321</v>
      </c>
      <c r="CH188" s="209">
        <f t="shared" si="3220"/>
        <v>1180.9548110416347</v>
      </c>
      <c r="CI188" s="209">
        <f t="shared" si="3220"/>
        <v>1184.8209497875209</v>
      </c>
      <c r="CJ188" s="209">
        <f t="shared" si="3220"/>
        <v>1188.6997452656228</v>
      </c>
      <c r="CK188" s="209">
        <f t="shared" si="3220"/>
        <v>1192.5912389107889</v>
      </c>
      <c r="CL188" s="209">
        <f t="shared" si="3220"/>
        <v>1196.4954722935131</v>
      </c>
      <c r="CM188" s="209">
        <f t="shared" si="3220"/>
        <v>1200.4124871203812</v>
      </c>
      <c r="CN188" s="209">
        <f t="shared" si="3220"/>
        <v>1204.3423252345156</v>
      </c>
      <c r="CO188" s="209">
        <f t="shared" si="3220"/>
        <v>1208.2850286160217</v>
      </c>
      <c r="CP188" s="209">
        <f t="shared" si="3220"/>
        <v>1212.2406393824369</v>
      </c>
      <c r="CQ188" s="209">
        <f t="shared" si="3220"/>
        <v>1216.2091997891816</v>
      </c>
      <c r="CR188" s="209">
        <f t="shared" si="3220"/>
        <v>1220.1907522300078</v>
      </c>
      <c r="CS188" s="209">
        <f t="shared" si="3220"/>
        <v>1224.1853392374542</v>
      </c>
      <c r="CT188" s="209">
        <f t="shared" si="3220"/>
        <v>1228.1930034833008</v>
      </c>
      <c r="CU188" s="209">
        <f t="shared" si="3220"/>
        <v>1232.2137877790224</v>
      </c>
      <c r="CV188" s="209">
        <f t="shared" si="3220"/>
        <v>1236.2477350762485</v>
      </c>
      <c r="CW188" s="209">
        <f t="shared" si="3220"/>
        <v>1240.294888467221</v>
      </c>
      <c r="CX188" s="209">
        <f t="shared" si="3220"/>
        <v>829.61167263320863</v>
      </c>
      <c r="CY188" s="209">
        <f t="shared" si="3220"/>
        <v>832.32760536968453</v>
      </c>
      <c r="CZ188" s="209">
        <f t="shared" si="3220"/>
        <v>835.05242936320565</v>
      </c>
      <c r="DA188" s="209">
        <f t="shared" si="3220"/>
        <v>837.7861737214339</v>
      </c>
      <c r="DB188" s="209">
        <f t="shared" si="3220"/>
        <v>840.52886764732193</v>
      </c>
      <c r="DC188" s="209">
        <f t="shared" si="3220"/>
        <v>843.28054043942564</v>
      </c>
      <c r="DD188" s="209">
        <f t="shared" si="3220"/>
        <v>846.04122149221644</v>
      </c>
      <c r="DE188" s="209">
        <f t="shared" si="3220"/>
        <v>848.81094029639564</v>
      </c>
      <c r="DF188" s="209">
        <f t="shared" si="3220"/>
        <v>851.58972643920958</v>
      </c>
      <c r="DG188" s="209">
        <f t="shared" si="3220"/>
        <v>854.37760960476544</v>
      </c>
      <c r="DH188" s="209">
        <f t="shared" si="3220"/>
        <v>857.17461957434864</v>
      </c>
      <c r="DI188" s="209">
        <f t="shared" si="3220"/>
        <v>859.98078622674029</v>
      </c>
      <c r="DJ188" s="209">
        <f t="shared" si="3220"/>
        <v>431.46277624440989</v>
      </c>
      <c r="DK188" s="209">
        <f t="shared" si="3220"/>
        <v>432.87527309953924</v>
      </c>
      <c r="DL188" s="209">
        <f t="shared" si="3220"/>
        <v>434.29239410181555</v>
      </c>
      <c r="DM188" s="209">
        <f t="shared" si="3220"/>
        <v>435.71415438949299</v>
      </c>
      <c r="DN188" s="209">
        <f t="shared" si="3220"/>
        <v>437.14056915038498</v>
      </c>
      <c r="DO188" s="209">
        <f t="shared" si="3220"/>
        <v>438.57165362202568</v>
      </c>
      <c r="DP188" s="209">
        <f t="shared" si="3220"/>
        <v>440.00742309183289</v>
      </c>
      <c r="DQ188" s="209">
        <f t="shared" si="3220"/>
        <v>441.4478928972714</v>
      </c>
      <c r="DR188" s="209">
        <f t="shared" si="3220"/>
        <v>442.8930784260171</v>
      </c>
      <c r="DS188" s="209">
        <f t="shared" si="3220"/>
        <v>444.3429951161209</v>
      </c>
      <c r="DT188" s="209">
        <f t="shared" si="3220"/>
        <v>445.79765845617391</v>
      </c>
      <c r="DU188" s="209">
        <f t="shared" si="3220"/>
        <v>447.257083985473</v>
      </c>
      <c r="DV188" s="209">
        <f t="shared" si="3220"/>
        <v>0</v>
      </c>
      <c r="DW188" s="209">
        <f t="shared" si="3220"/>
        <v>0</v>
      </c>
      <c r="DX188" s="209">
        <f t="shared" si="3220"/>
        <v>0</v>
      </c>
      <c r="DY188" s="209">
        <f t="shared" si="3220"/>
        <v>0</v>
      </c>
      <c r="DZ188" s="209">
        <f t="shared" si="3220"/>
        <v>0</v>
      </c>
      <c r="EA188" s="209">
        <f t="shared" si="3220"/>
        <v>0</v>
      </c>
      <c r="EB188" s="209">
        <f t="shared" si="3220"/>
        <v>0</v>
      </c>
      <c r="EC188" s="209">
        <f t="shared" ref="EC188:GN188" si="3221">SUM(EC186:EC187,-EB193)*(EC196-1)</f>
        <v>0</v>
      </c>
      <c r="ED188" s="209">
        <f t="shared" si="3221"/>
        <v>0</v>
      </c>
      <c r="EE188" s="209">
        <f t="shared" si="3221"/>
        <v>0</v>
      </c>
      <c r="EF188" s="209">
        <f t="shared" si="3221"/>
        <v>0</v>
      </c>
      <c r="EG188" s="209">
        <f t="shared" si="3221"/>
        <v>0</v>
      </c>
      <c r="EH188" s="209">
        <f t="shared" si="3221"/>
        <v>0</v>
      </c>
      <c r="EI188" s="209">
        <f t="shared" si="3221"/>
        <v>0</v>
      </c>
      <c r="EJ188" s="209">
        <f t="shared" si="3221"/>
        <v>0</v>
      </c>
      <c r="EK188" s="209">
        <f t="shared" si="3221"/>
        <v>0</v>
      </c>
      <c r="EL188" s="209">
        <f t="shared" si="3221"/>
        <v>0</v>
      </c>
      <c r="EM188" s="209">
        <f t="shared" si="3221"/>
        <v>0</v>
      </c>
      <c r="EN188" s="209">
        <f t="shared" si="3221"/>
        <v>0</v>
      </c>
      <c r="EO188" s="209">
        <f t="shared" si="3221"/>
        <v>0</v>
      </c>
      <c r="EP188" s="209">
        <f t="shared" si="3221"/>
        <v>0</v>
      </c>
      <c r="EQ188" s="209">
        <f t="shared" si="3221"/>
        <v>0</v>
      </c>
      <c r="ER188" s="209">
        <f t="shared" si="3221"/>
        <v>0</v>
      </c>
      <c r="ES188" s="209">
        <f t="shared" si="3221"/>
        <v>0</v>
      </c>
      <c r="ET188" s="209">
        <f t="shared" si="3221"/>
        <v>0</v>
      </c>
      <c r="EU188" s="209">
        <f t="shared" si="3221"/>
        <v>0</v>
      </c>
      <c r="EV188" s="209">
        <f t="shared" si="3221"/>
        <v>0</v>
      </c>
      <c r="EW188" s="209">
        <f t="shared" si="3221"/>
        <v>0</v>
      </c>
      <c r="EX188" s="209">
        <f t="shared" si="3221"/>
        <v>0</v>
      </c>
      <c r="EY188" s="209">
        <f t="shared" si="3221"/>
        <v>0</v>
      </c>
      <c r="EZ188" s="209">
        <f t="shared" si="3221"/>
        <v>0</v>
      </c>
      <c r="FA188" s="209">
        <f t="shared" si="3221"/>
        <v>0</v>
      </c>
      <c r="FB188" s="209">
        <f t="shared" si="3221"/>
        <v>0</v>
      </c>
      <c r="FC188" s="209">
        <f t="shared" si="3221"/>
        <v>0</v>
      </c>
      <c r="FD188" s="209">
        <f t="shared" si="3221"/>
        <v>0</v>
      </c>
      <c r="FE188" s="209">
        <f t="shared" si="3221"/>
        <v>0</v>
      </c>
      <c r="FF188" s="209">
        <f t="shared" si="3221"/>
        <v>0</v>
      </c>
      <c r="FG188" s="209">
        <f t="shared" si="3221"/>
        <v>0</v>
      </c>
      <c r="FH188" s="209">
        <f t="shared" si="3221"/>
        <v>0</v>
      </c>
      <c r="FI188" s="209">
        <f t="shared" si="3221"/>
        <v>0</v>
      </c>
      <c r="FJ188" s="209">
        <f t="shared" si="3221"/>
        <v>0</v>
      </c>
      <c r="FK188" s="209">
        <f t="shared" si="3221"/>
        <v>0</v>
      </c>
      <c r="FL188" s="209">
        <f t="shared" si="3221"/>
        <v>0</v>
      </c>
      <c r="FM188" s="209">
        <f t="shared" si="3221"/>
        <v>0</v>
      </c>
      <c r="FN188" s="209">
        <f t="shared" si="3221"/>
        <v>0</v>
      </c>
      <c r="FO188" s="209">
        <f t="shared" si="3221"/>
        <v>0</v>
      </c>
      <c r="FP188" s="209">
        <f t="shared" si="3221"/>
        <v>0</v>
      </c>
      <c r="FQ188" s="209">
        <f t="shared" si="3221"/>
        <v>0</v>
      </c>
      <c r="FR188" s="209">
        <f t="shared" si="3221"/>
        <v>0</v>
      </c>
      <c r="FS188" s="209">
        <f t="shared" si="3221"/>
        <v>0</v>
      </c>
      <c r="FT188" s="209">
        <f t="shared" si="3221"/>
        <v>0</v>
      </c>
      <c r="FU188" s="209">
        <f t="shared" si="3221"/>
        <v>0</v>
      </c>
      <c r="FV188" s="209">
        <f t="shared" si="3221"/>
        <v>0</v>
      </c>
      <c r="FW188" s="209">
        <f t="shared" si="3221"/>
        <v>0</v>
      </c>
      <c r="FX188" s="209">
        <f t="shared" si="3221"/>
        <v>0</v>
      </c>
      <c r="FY188" s="209">
        <f t="shared" si="3221"/>
        <v>0</v>
      </c>
      <c r="FZ188" s="209">
        <f t="shared" si="3221"/>
        <v>0</v>
      </c>
      <c r="GA188" s="209">
        <f t="shared" si="3221"/>
        <v>0</v>
      </c>
      <c r="GB188" s="209">
        <f t="shared" si="3221"/>
        <v>0</v>
      </c>
      <c r="GC188" s="209">
        <f t="shared" si="3221"/>
        <v>0</v>
      </c>
      <c r="GD188" s="209">
        <f t="shared" si="3221"/>
        <v>0</v>
      </c>
      <c r="GE188" s="209">
        <f t="shared" si="3221"/>
        <v>0</v>
      </c>
      <c r="GF188" s="209">
        <f t="shared" si="3221"/>
        <v>0</v>
      </c>
      <c r="GG188" s="209">
        <f t="shared" si="3221"/>
        <v>0</v>
      </c>
      <c r="GH188" s="209">
        <f t="shared" si="3221"/>
        <v>0</v>
      </c>
      <c r="GI188" s="209">
        <f t="shared" si="3221"/>
        <v>0</v>
      </c>
      <c r="GJ188" s="209">
        <f t="shared" si="3221"/>
        <v>0</v>
      </c>
      <c r="GK188" s="209">
        <f t="shared" si="3221"/>
        <v>0</v>
      </c>
      <c r="GL188" s="209">
        <f t="shared" si="3221"/>
        <v>0</v>
      </c>
      <c r="GM188" s="209">
        <f t="shared" si="3221"/>
        <v>0</v>
      </c>
      <c r="GN188" s="209">
        <f t="shared" si="3221"/>
        <v>0</v>
      </c>
      <c r="GO188" s="209">
        <f t="shared" ref="GO188:GQ188" si="3222">SUM(GO186:GO187,-GN193)*(GO196-1)</f>
        <v>0</v>
      </c>
      <c r="GP188" s="209">
        <f t="shared" si="3222"/>
        <v>0</v>
      </c>
      <c r="GQ188" s="209">
        <f t="shared" si="3222"/>
        <v>0</v>
      </c>
    </row>
    <row r="189" spans="2:199" s="315" customFormat="1" outlineLevel="1">
      <c r="B189" s="190" t="s">
        <v>390</v>
      </c>
      <c r="C189" s="192"/>
      <c r="D189" s="193"/>
      <c r="E189" s="193">
        <f>SUM(E186:E188)*E180</f>
        <v>1467.8703092613837</v>
      </c>
      <c r="F189" s="200">
        <f t="shared" ref="F189" si="3223">SUM(F186:F188)*F180</f>
        <v>1475.9397311809298</v>
      </c>
      <c r="G189" s="200">
        <f t="shared" ref="G189" si="3224">SUM(G186:G188)*G180</f>
        <v>1487.1360413243603</v>
      </c>
      <c r="H189" s="200">
        <f t="shared" ref="H189:BS189" si="3225">SUM(H186:H188)*H180</f>
        <v>1501.9306618112689</v>
      </c>
      <c r="I189" s="200">
        <f t="shared" si="3225"/>
        <v>1518.313972677465</v>
      </c>
      <c r="J189" s="200">
        <f t="shared" si="3225"/>
        <v>1536.7634535770626</v>
      </c>
      <c r="K189" s="200">
        <f t="shared" si="3225"/>
        <v>1554.1864155384289</v>
      </c>
      <c r="L189" s="200">
        <f t="shared" si="3225"/>
        <v>1572.8424457313349</v>
      </c>
      <c r="M189" s="200">
        <f t="shared" si="3225"/>
        <v>1592.6991123938185</v>
      </c>
      <c r="N189" s="200">
        <f t="shared" si="3225"/>
        <v>1608.3527297543553</v>
      </c>
      <c r="O189" s="200">
        <f t="shared" si="3225"/>
        <v>1622.8358624825053</v>
      </c>
      <c r="P189" s="200">
        <f t="shared" si="3225"/>
        <v>1640.0658321145461</v>
      </c>
      <c r="Q189" s="200">
        <f t="shared" si="3225"/>
        <v>1651.4951127942613</v>
      </c>
      <c r="R189" s="200">
        <f t="shared" si="3225"/>
        <v>1550.9092383563734</v>
      </c>
      <c r="S189" s="200">
        <f t="shared" si="3225"/>
        <v>1563.3434470319528</v>
      </c>
      <c r="T189" s="200">
        <f t="shared" si="3225"/>
        <v>1580.3337344963843</v>
      </c>
      <c r="U189" s="200">
        <f t="shared" si="3225"/>
        <v>1599.3386185401657</v>
      </c>
      <c r="V189" s="200">
        <f t="shared" si="3225"/>
        <v>1619.3972502119525</v>
      </c>
      <c r="W189" s="200">
        <f t="shared" si="3225"/>
        <v>1639.7102114327743</v>
      </c>
      <c r="X189" s="200">
        <f t="shared" si="3225"/>
        <v>1654.5900597068162</v>
      </c>
      <c r="Y189" s="200">
        <f t="shared" si="3225"/>
        <v>1669.5732635164895</v>
      </c>
      <c r="Z189" s="200">
        <f t="shared" si="3225"/>
        <v>1684.6604702576431</v>
      </c>
      <c r="AA189" s="200">
        <f t="shared" si="3225"/>
        <v>1699.8523311761878</v>
      </c>
      <c r="AB189" s="200">
        <f t="shared" si="3225"/>
        <v>1715.1495013903341</v>
      </c>
      <c r="AC189" s="200">
        <f t="shared" si="3225"/>
        <v>1730.5526399129517</v>
      </c>
      <c r="AD189" s="200">
        <f t="shared" si="3225"/>
        <v>1637.7235384471267</v>
      </c>
      <c r="AE189" s="200">
        <f t="shared" si="3225"/>
        <v>1652.7450277720611</v>
      </c>
      <c r="AF189" s="200">
        <f t="shared" si="3225"/>
        <v>1667.8712119236661</v>
      </c>
      <c r="AG189" s="200">
        <f t="shared" si="3225"/>
        <v>1683.102747720603</v>
      </c>
      <c r="AH189" s="200">
        <f t="shared" si="3225"/>
        <v>1698.4402958909682</v>
      </c>
      <c r="AI189" s="200">
        <f t="shared" si="3225"/>
        <v>1713.8845210948821</v>
      </c>
      <c r="AJ189" s="200">
        <f t="shared" si="3225"/>
        <v>1729.4360919472069</v>
      </c>
      <c r="AK189" s="200">
        <f t="shared" si="3225"/>
        <v>1745.0956810403929</v>
      </c>
      <c r="AL189" s="200">
        <f t="shared" si="3225"/>
        <v>1760.8639649674542</v>
      </c>
      <c r="AM189" s="200">
        <f t="shared" si="3225"/>
        <v>1776.741624345075</v>
      </c>
      <c r="AN189" s="200">
        <f t="shared" si="3225"/>
        <v>1792.7293438368481</v>
      </c>
      <c r="AO189" s="200">
        <f t="shared" si="3225"/>
        <v>1808.8278121766414</v>
      </c>
      <c r="AP189" s="200">
        <f t="shared" si="3225"/>
        <v>1711.4210976772483</v>
      </c>
      <c r="AQ189" s="200">
        <f t="shared" si="3225"/>
        <v>1727.118554021805</v>
      </c>
      <c r="AR189" s="200">
        <f t="shared" si="3225"/>
        <v>1742.9254164602326</v>
      </c>
      <c r="AS189" s="200">
        <f t="shared" si="3225"/>
        <v>1758.842371368032</v>
      </c>
      <c r="AT189" s="200">
        <f t="shared" si="3225"/>
        <v>1774.8701092060635</v>
      </c>
      <c r="AU189" s="200">
        <f t="shared" si="3225"/>
        <v>1791.0093245441535</v>
      </c>
      <c r="AV189" s="200">
        <f t="shared" si="3225"/>
        <v>1807.2607160848331</v>
      </c>
      <c r="AW189" s="200">
        <f t="shared" si="3225"/>
        <v>1823.6249866872126</v>
      </c>
      <c r="AX189" s="200">
        <f t="shared" si="3225"/>
        <v>1840.1028433909917</v>
      </c>
      <c r="AY189" s="200">
        <f t="shared" si="3225"/>
        <v>1856.6949974406059</v>
      </c>
      <c r="AZ189" s="200">
        <f t="shared" si="3225"/>
        <v>1873.4021643095089</v>
      </c>
      <c r="BA189" s="200">
        <f t="shared" si="3225"/>
        <v>1890.2250637245932</v>
      </c>
      <c r="BB189" s="200">
        <f t="shared" si="3225"/>
        <v>1788.4350470727275</v>
      </c>
      <c r="BC189" s="200">
        <f t="shared" si="3225"/>
        <v>1804.8388889527887</v>
      </c>
      <c r="BD189" s="200">
        <f t="shared" si="3225"/>
        <v>1821.3570602009452</v>
      </c>
      <c r="BE189" s="200">
        <f t="shared" si="3225"/>
        <v>1837.9902780795956</v>
      </c>
      <c r="BF189" s="200">
        <f t="shared" si="3225"/>
        <v>1854.7392641203382</v>
      </c>
      <c r="BG189" s="200">
        <f t="shared" si="3225"/>
        <v>1871.6047441486423</v>
      </c>
      <c r="BH189" s="200">
        <f t="shared" si="3225"/>
        <v>1887.8568846620831</v>
      </c>
      <c r="BI189" s="200">
        <f t="shared" si="3225"/>
        <v>1904.2178912610289</v>
      </c>
      <c r="BJ189" s="200">
        <f t="shared" si="3225"/>
        <v>1920.6884263326006</v>
      </c>
      <c r="BK189" s="200">
        <f t="shared" si="3225"/>
        <v>1937.2691561145296</v>
      </c>
      <c r="BL189" s="200">
        <f t="shared" si="3225"/>
        <v>1953.9607507170117</v>
      </c>
      <c r="BM189" s="200">
        <f t="shared" si="3225"/>
        <v>1970.7638841446817</v>
      </c>
      <c r="BN189" s="200">
        <f t="shared" si="3225"/>
        <v>1863.693143891328</v>
      </c>
      <c r="BO189" s="200">
        <f t="shared" si="3225"/>
        <v>1880.0397956194483</v>
      </c>
      <c r="BP189" s="200">
        <f t="shared" si="3225"/>
        <v>1896.4962847857059</v>
      </c>
      <c r="BQ189" s="200">
        <f t="shared" si="3225"/>
        <v>1913.0632805961463</v>
      </c>
      <c r="BR189" s="200">
        <f t="shared" si="3225"/>
        <v>1929.7414561497535</v>
      </c>
      <c r="BS189" s="200">
        <f t="shared" si="3225"/>
        <v>1946.5314884605518</v>
      </c>
      <c r="BT189" s="200">
        <f t="shared" ref="BT189:EE189" si="3226">SUM(BT186:BT188)*BT180</f>
        <v>1963.4340584798322</v>
      </c>
      <c r="BU189" s="200">
        <f t="shared" si="3226"/>
        <v>1980.4498511185016</v>
      </c>
      <c r="BV189" s="200">
        <f t="shared" si="3226"/>
        <v>1997.5795552695579</v>
      </c>
      <c r="BW189" s="200">
        <f t="shared" si="3226"/>
        <v>2014.8238638306921</v>
      </c>
      <c r="BX189" s="200">
        <f t="shared" si="3226"/>
        <v>2032.1834737270142</v>
      </c>
      <c r="BY189" s="200">
        <f t="shared" si="3226"/>
        <v>2049.6590859339103</v>
      </c>
      <c r="BZ189" s="200">
        <f t="shared" si="3226"/>
        <v>1938.2408696469822</v>
      </c>
      <c r="CA189" s="200">
        <f t="shared" si="3226"/>
        <v>1955.2413874442275</v>
      </c>
      <c r="CB189" s="200">
        <f t="shared" si="3226"/>
        <v>1972.3561361771356</v>
      </c>
      <c r="CC189" s="200">
        <f t="shared" si="3226"/>
        <v>1989.5858118199938</v>
      </c>
      <c r="CD189" s="200">
        <f t="shared" si="3226"/>
        <v>2006.9311143957452</v>
      </c>
      <c r="CE189" s="200">
        <f t="shared" si="3226"/>
        <v>2024.3927479989757</v>
      </c>
      <c r="CF189" s="200">
        <f t="shared" si="3226"/>
        <v>2041.9714208190273</v>
      </c>
      <c r="CG189" s="200">
        <f t="shared" si="3226"/>
        <v>2059.6678451632433</v>
      </c>
      <c r="CH189" s="200">
        <f t="shared" si="3226"/>
        <v>2077.4827374803422</v>
      </c>
      <c r="CI189" s="200">
        <f t="shared" si="3226"/>
        <v>2095.4168183839215</v>
      </c>
      <c r="CJ189" s="200">
        <f t="shared" si="3226"/>
        <v>2113.4708126760966</v>
      </c>
      <c r="CK189" s="200">
        <f t="shared" si="3226"/>
        <v>2131.645449371269</v>
      </c>
      <c r="CL189" s="200">
        <f t="shared" si="3226"/>
        <v>2015.7705044328634</v>
      </c>
      <c r="CM189" s="200">
        <f t="shared" si="3226"/>
        <v>2033.4510429419981</v>
      </c>
      <c r="CN189" s="200">
        <f t="shared" si="3226"/>
        <v>2051.2503816242224</v>
      </c>
      <c r="CO189" s="200">
        <f t="shared" si="3226"/>
        <v>2069.1692442927952</v>
      </c>
      <c r="CP189" s="200">
        <f t="shared" si="3226"/>
        <v>2087.2083589715767</v>
      </c>
      <c r="CQ189" s="200">
        <f t="shared" si="3226"/>
        <v>2105.3684579189357</v>
      </c>
      <c r="CR189" s="200">
        <f t="shared" si="3226"/>
        <v>2123.6502776517896</v>
      </c>
      <c r="CS189" s="200">
        <f t="shared" si="3226"/>
        <v>2142.054558969774</v>
      </c>
      <c r="CT189" s="200">
        <f t="shared" si="3226"/>
        <v>2160.5820469795567</v>
      </c>
      <c r="CU189" s="200">
        <f t="shared" si="3226"/>
        <v>2179.2334911192797</v>
      </c>
      <c r="CV189" s="200">
        <f t="shared" si="3226"/>
        <v>2198.0096451831419</v>
      </c>
      <c r="CW189" s="200">
        <f t="shared" si="3226"/>
        <v>2216.9112673461209</v>
      </c>
      <c r="CX189" s="200">
        <f t="shared" si="3226"/>
        <v>1397.6707631176057</v>
      </c>
      <c r="CY189" s="200">
        <f t="shared" si="3226"/>
        <v>1409.9298827426076</v>
      </c>
      <c r="CZ189" s="200">
        <f t="shared" si="3226"/>
        <v>1422.2713746060242</v>
      </c>
      <c r="DA189" s="200">
        <f t="shared" si="3226"/>
        <v>1434.6957405768071</v>
      </c>
      <c r="DB189" s="200">
        <f t="shared" si="3226"/>
        <v>1447.2034854434046</v>
      </c>
      <c r="DC189" s="200">
        <f t="shared" si="3226"/>
        <v>1459.7951169303376</v>
      </c>
      <c r="DD189" s="200">
        <f t="shared" si="3226"/>
        <v>1472.4711457148669</v>
      </c>
      <c r="DE189" s="200">
        <f t="shared" si="3226"/>
        <v>1485.2320854437551</v>
      </c>
      <c r="DF189" s="200">
        <f t="shared" si="3226"/>
        <v>1498.0784527501221</v>
      </c>
      <c r="DG189" s="200">
        <f t="shared" si="3226"/>
        <v>1511.010767270393</v>
      </c>
      <c r="DH189" s="200">
        <f t="shared" si="3226"/>
        <v>1524.0295516613451</v>
      </c>
      <c r="DI189" s="200">
        <f t="shared" si="3226"/>
        <v>1537.1353316172454</v>
      </c>
      <c r="DJ189" s="200">
        <f t="shared" si="3226"/>
        <v>726.89780969003436</v>
      </c>
      <c r="DK189" s="200">
        <f t="shared" si="3226"/>
        <v>733.27350805855792</v>
      </c>
      <c r="DL189" s="200">
        <f t="shared" si="3226"/>
        <v>739.69204641577062</v>
      </c>
      <c r="DM189" s="200">
        <f t="shared" si="3226"/>
        <v>746.15368577267066</v>
      </c>
      <c r="DN189" s="200">
        <f t="shared" si="3226"/>
        <v>752.65868865862319</v>
      </c>
      <c r="DO189" s="200">
        <f t="shared" si="3226"/>
        <v>759.20731912997928</v>
      </c>
      <c r="DP189" s="200">
        <f t="shared" si="3226"/>
        <v>765.79984277874576</v>
      </c>
      <c r="DQ189" s="200">
        <f t="shared" si="3226"/>
        <v>772.43652674130135</v>
      </c>
      <c r="DR189" s="200">
        <f t="shared" si="3226"/>
        <v>779.11763970716368</v>
      </c>
      <c r="DS189" s="200">
        <f t="shared" si="3226"/>
        <v>785.84345192780381</v>
      </c>
      <c r="DT189" s="200">
        <f t="shared" si="3226"/>
        <v>792.61423522551058</v>
      </c>
      <c r="DU189" s="200">
        <f t="shared" si="3226"/>
        <v>799.4302630023052</v>
      </c>
      <c r="DV189" s="200">
        <f t="shared" si="3226"/>
        <v>0</v>
      </c>
      <c r="DW189" s="200">
        <f t="shared" si="3226"/>
        <v>0</v>
      </c>
      <c r="DX189" s="200">
        <f t="shared" si="3226"/>
        <v>0</v>
      </c>
      <c r="DY189" s="200">
        <f t="shared" si="3226"/>
        <v>0</v>
      </c>
      <c r="DZ189" s="200">
        <f t="shared" si="3226"/>
        <v>0</v>
      </c>
      <c r="EA189" s="200">
        <f t="shared" si="3226"/>
        <v>0</v>
      </c>
      <c r="EB189" s="200">
        <f t="shared" si="3226"/>
        <v>0</v>
      </c>
      <c r="EC189" s="200">
        <f t="shared" si="3226"/>
        <v>0</v>
      </c>
      <c r="ED189" s="200">
        <f t="shared" si="3226"/>
        <v>0</v>
      </c>
      <c r="EE189" s="200">
        <f t="shared" si="3226"/>
        <v>0</v>
      </c>
      <c r="EF189" s="200">
        <f t="shared" ref="EF189:GQ189" si="3227">SUM(EF186:EF188)*EF180</f>
        <v>0</v>
      </c>
      <c r="EG189" s="200">
        <f t="shared" si="3227"/>
        <v>0</v>
      </c>
      <c r="EH189" s="200">
        <f t="shared" si="3227"/>
        <v>0</v>
      </c>
      <c r="EI189" s="200">
        <f t="shared" si="3227"/>
        <v>0</v>
      </c>
      <c r="EJ189" s="200">
        <f t="shared" si="3227"/>
        <v>0</v>
      </c>
      <c r="EK189" s="200">
        <f t="shared" si="3227"/>
        <v>0</v>
      </c>
      <c r="EL189" s="200">
        <f t="shared" si="3227"/>
        <v>0</v>
      </c>
      <c r="EM189" s="200">
        <f t="shared" si="3227"/>
        <v>0</v>
      </c>
      <c r="EN189" s="200">
        <f t="shared" si="3227"/>
        <v>0</v>
      </c>
      <c r="EO189" s="200">
        <f t="shared" si="3227"/>
        <v>0</v>
      </c>
      <c r="EP189" s="200">
        <f t="shared" si="3227"/>
        <v>0</v>
      </c>
      <c r="EQ189" s="200">
        <f t="shared" si="3227"/>
        <v>0</v>
      </c>
      <c r="ER189" s="200">
        <f t="shared" si="3227"/>
        <v>0</v>
      </c>
      <c r="ES189" s="200">
        <f t="shared" si="3227"/>
        <v>0</v>
      </c>
      <c r="ET189" s="200">
        <f t="shared" si="3227"/>
        <v>0</v>
      </c>
      <c r="EU189" s="200">
        <f t="shared" si="3227"/>
        <v>0</v>
      </c>
      <c r="EV189" s="200">
        <f t="shared" si="3227"/>
        <v>0</v>
      </c>
      <c r="EW189" s="200">
        <f t="shared" si="3227"/>
        <v>0</v>
      </c>
      <c r="EX189" s="200">
        <f t="shared" si="3227"/>
        <v>0</v>
      </c>
      <c r="EY189" s="200">
        <f t="shared" si="3227"/>
        <v>0</v>
      </c>
      <c r="EZ189" s="200">
        <f t="shared" si="3227"/>
        <v>0</v>
      </c>
      <c r="FA189" s="200">
        <f t="shared" si="3227"/>
        <v>0</v>
      </c>
      <c r="FB189" s="200">
        <f t="shared" si="3227"/>
        <v>0</v>
      </c>
      <c r="FC189" s="200">
        <f t="shared" si="3227"/>
        <v>0</v>
      </c>
      <c r="FD189" s="200">
        <f t="shared" si="3227"/>
        <v>0</v>
      </c>
      <c r="FE189" s="200">
        <f t="shared" si="3227"/>
        <v>0</v>
      </c>
      <c r="FF189" s="200">
        <f t="shared" si="3227"/>
        <v>0</v>
      </c>
      <c r="FG189" s="200">
        <f t="shared" si="3227"/>
        <v>0</v>
      </c>
      <c r="FH189" s="200">
        <f t="shared" si="3227"/>
        <v>0</v>
      </c>
      <c r="FI189" s="200">
        <f t="shared" si="3227"/>
        <v>0</v>
      </c>
      <c r="FJ189" s="200">
        <f t="shared" si="3227"/>
        <v>0</v>
      </c>
      <c r="FK189" s="200">
        <f t="shared" si="3227"/>
        <v>0</v>
      </c>
      <c r="FL189" s="200">
        <f t="shared" si="3227"/>
        <v>0</v>
      </c>
      <c r="FM189" s="200">
        <f t="shared" si="3227"/>
        <v>0</v>
      </c>
      <c r="FN189" s="200">
        <f t="shared" si="3227"/>
        <v>0</v>
      </c>
      <c r="FO189" s="200">
        <f t="shared" si="3227"/>
        <v>0</v>
      </c>
      <c r="FP189" s="200">
        <f t="shared" si="3227"/>
        <v>0</v>
      </c>
      <c r="FQ189" s="200">
        <f t="shared" si="3227"/>
        <v>0</v>
      </c>
      <c r="FR189" s="200">
        <f t="shared" si="3227"/>
        <v>0</v>
      </c>
      <c r="FS189" s="200">
        <f t="shared" si="3227"/>
        <v>0</v>
      </c>
      <c r="FT189" s="200">
        <f t="shared" si="3227"/>
        <v>0</v>
      </c>
      <c r="FU189" s="200">
        <f t="shared" si="3227"/>
        <v>0</v>
      </c>
      <c r="FV189" s="200">
        <f t="shared" si="3227"/>
        <v>0</v>
      </c>
      <c r="FW189" s="200">
        <f t="shared" si="3227"/>
        <v>0</v>
      </c>
      <c r="FX189" s="200">
        <f t="shared" si="3227"/>
        <v>0</v>
      </c>
      <c r="FY189" s="200">
        <f t="shared" si="3227"/>
        <v>0</v>
      </c>
      <c r="FZ189" s="200">
        <f t="shared" si="3227"/>
        <v>0</v>
      </c>
      <c r="GA189" s="200">
        <f t="shared" si="3227"/>
        <v>0</v>
      </c>
      <c r="GB189" s="200">
        <f t="shared" si="3227"/>
        <v>0</v>
      </c>
      <c r="GC189" s="200">
        <f t="shared" si="3227"/>
        <v>0</v>
      </c>
      <c r="GD189" s="200">
        <f t="shared" si="3227"/>
        <v>0</v>
      </c>
      <c r="GE189" s="200">
        <f t="shared" si="3227"/>
        <v>0</v>
      </c>
      <c r="GF189" s="200">
        <f t="shared" si="3227"/>
        <v>0</v>
      </c>
      <c r="GG189" s="200">
        <f t="shared" si="3227"/>
        <v>0</v>
      </c>
      <c r="GH189" s="200">
        <f t="shared" si="3227"/>
        <v>0</v>
      </c>
      <c r="GI189" s="200">
        <f t="shared" si="3227"/>
        <v>0</v>
      </c>
      <c r="GJ189" s="200">
        <f t="shared" si="3227"/>
        <v>0</v>
      </c>
      <c r="GK189" s="200">
        <f t="shared" si="3227"/>
        <v>0</v>
      </c>
      <c r="GL189" s="200">
        <f t="shared" si="3227"/>
        <v>0</v>
      </c>
      <c r="GM189" s="200">
        <f t="shared" si="3227"/>
        <v>0</v>
      </c>
      <c r="GN189" s="200">
        <f t="shared" si="3227"/>
        <v>0</v>
      </c>
      <c r="GO189" s="200">
        <f t="shared" si="3227"/>
        <v>0</v>
      </c>
      <c r="GP189" s="200">
        <f t="shared" si="3227"/>
        <v>0</v>
      </c>
      <c r="GQ189" s="200">
        <f t="shared" si="3227"/>
        <v>0</v>
      </c>
    </row>
    <row r="190" spans="2:199" s="315" customFormat="1" outlineLevel="1">
      <c r="B190" s="190" t="s">
        <v>391</v>
      </c>
      <c r="C190" s="192"/>
      <c r="D190" s="193"/>
      <c r="E190" s="200">
        <f>IF(E182=1,-D193-E189,0)*IF(AND(E172=$C177,$C183=1,$C182=0),0,1)</f>
        <v>0</v>
      </c>
      <c r="F190" s="200">
        <f t="shared" ref="F190:BQ190" si="3228">IF(F182=1,-E193-F189,0)*IF(AND(F172=$C177,$C183=1,$C182=0),0,1)</f>
        <v>0</v>
      </c>
      <c r="G190" s="200">
        <f t="shared" si="3228"/>
        <v>0</v>
      </c>
      <c r="H190" s="200">
        <f t="shared" si="3228"/>
        <v>0</v>
      </c>
      <c r="I190" s="200">
        <f t="shared" si="3228"/>
        <v>0</v>
      </c>
      <c r="J190" s="200">
        <f t="shared" si="3228"/>
        <v>0</v>
      </c>
      <c r="K190" s="200">
        <f t="shared" si="3228"/>
        <v>0</v>
      </c>
      <c r="L190" s="200">
        <f t="shared" si="3228"/>
        <v>0</v>
      </c>
      <c r="M190" s="200">
        <f t="shared" si="3228"/>
        <v>0</v>
      </c>
      <c r="N190" s="200">
        <f t="shared" si="3228"/>
        <v>0</v>
      </c>
      <c r="O190" s="200">
        <f t="shared" si="3228"/>
        <v>0</v>
      </c>
      <c r="P190" s="200">
        <f t="shared" si="3228"/>
        <v>0</v>
      </c>
      <c r="Q190" s="200">
        <f t="shared" si="3228"/>
        <v>-20230.431680641723</v>
      </c>
      <c r="R190" s="200">
        <f t="shared" si="3228"/>
        <v>0</v>
      </c>
      <c r="S190" s="200">
        <f t="shared" si="3228"/>
        <v>0</v>
      </c>
      <c r="T190" s="200">
        <f t="shared" si="3228"/>
        <v>0</v>
      </c>
      <c r="U190" s="200">
        <f t="shared" si="3228"/>
        <v>0</v>
      </c>
      <c r="V190" s="200">
        <f t="shared" si="3228"/>
        <v>0</v>
      </c>
      <c r="W190" s="200">
        <f t="shared" si="3228"/>
        <v>0</v>
      </c>
      <c r="X190" s="200">
        <f t="shared" si="3228"/>
        <v>0</v>
      </c>
      <c r="Y190" s="200">
        <f t="shared" si="3228"/>
        <v>0</v>
      </c>
      <c r="Z190" s="200">
        <f t="shared" si="3228"/>
        <v>0</v>
      </c>
      <c r="AA190" s="200">
        <f t="shared" si="3228"/>
        <v>0</v>
      </c>
      <c r="AB190" s="200">
        <f t="shared" si="3228"/>
        <v>0</v>
      </c>
      <c r="AC190" s="200">
        <f t="shared" si="3228"/>
        <v>-19707.410766030025</v>
      </c>
      <c r="AD190" s="200">
        <f t="shared" si="3228"/>
        <v>0</v>
      </c>
      <c r="AE190" s="200">
        <f t="shared" si="3228"/>
        <v>0</v>
      </c>
      <c r="AF190" s="200">
        <f t="shared" si="3228"/>
        <v>0</v>
      </c>
      <c r="AG190" s="200">
        <f t="shared" si="3228"/>
        <v>0</v>
      </c>
      <c r="AH190" s="200">
        <f t="shared" si="3228"/>
        <v>0</v>
      </c>
      <c r="AI190" s="200">
        <f t="shared" si="3228"/>
        <v>0</v>
      </c>
      <c r="AJ190" s="200">
        <f t="shared" si="3228"/>
        <v>0</v>
      </c>
      <c r="AK190" s="200">
        <f t="shared" si="3228"/>
        <v>0</v>
      </c>
      <c r="AL190" s="200">
        <f t="shared" si="3228"/>
        <v>0</v>
      </c>
      <c r="AM190" s="200">
        <f t="shared" si="3228"/>
        <v>0</v>
      </c>
      <c r="AN190" s="200">
        <f t="shared" si="3228"/>
        <v>0</v>
      </c>
      <c r="AO190" s="200">
        <f t="shared" si="3228"/>
        <v>-20667.461861162927</v>
      </c>
      <c r="AP190" s="200">
        <f t="shared" si="3228"/>
        <v>0</v>
      </c>
      <c r="AQ190" s="200">
        <f t="shared" si="3228"/>
        <v>0</v>
      </c>
      <c r="AR190" s="200">
        <f t="shared" si="3228"/>
        <v>0</v>
      </c>
      <c r="AS190" s="200">
        <f t="shared" si="3228"/>
        <v>0</v>
      </c>
      <c r="AT190" s="200">
        <f t="shared" si="3228"/>
        <v>0</v>
      </c>
      <c r="AU190" s="200">
        <f t="shared" si="3228"/>
        <v>0</v>
      </c>
      <c r="AV190" s="200">
        <f t="shared" si="3228"/>
        <v>0</v>
      </c>
      <c r="AW190" s="200">
        <f t="shared" si="3228"/>
        <v>0</v>
      </c>
      <c r="AX190" s="200">
        <f t="shared" si="3228"/>
        <v>0</v>
      </c>
      <c r="AY190" s="200">
        <f t="shared" si="3228"/>
        <v>0</v>
      </c>
      <c r="AZ190" s="200">
        <f t="shared" si="3228"/>
        <v>0</v>
      </c>
      <c r="BA190" s="200">
        <f t="shared" si="3228"/>
        <v>-21597.497644915278</v>
      </c>
      <c r="BB190" s="200">
        <f t="shared" si="3228"/>
        <v>0</v>
      </c>
      <c r="BC190" s="200">
        <f t="shared" si="3228"/>
        <v>0</v>
      </c>
      <c r="BD190" s="200">
        <f t="shared" si="3228"/>
        <v>0</v>
      </c>
      <c r="BE190" s="200">
        <f t="shared" si="3228"/>
        <v>0</v>
      </c>
      <c r="BF190" s="200">
        <f t="shared" si="3228"/>
        <v>0</v>
      </c>
      <c r="BG190" s="200">
        <f t="shared" si="3228"/>
        <v>0</v>
      </c>
      <c r="BH190" s="200">
        <f t="shared" si="3228"/>
        <v>0</v>
      </c>
      <c r="BI190" s="200">
        <f t="shared" si="3228"/>
        <v>0</v>
      </c>
      <c r="BJ190" s="200">
        <f t="shared" si="3228"/>
        <v>0</v>
      </c>
      <c r="BK190" s="200">
        <f t="shared" si="3228"/>
        <v>0</v>
      </c>
      <c r="BL190" s="200">
        <f t="shared" si="3228"/>
        <v>0</v>
      </c>
      <c r="BM190" s="200">
        <f t="shared" si="3228"/>
        <v>-22553.722275806973</v>
      </c>
      <c r="BN190" s="200">
        <f t="shared" si="3228"/>
        <v>0</v>
      </c>
      <c r="BO190" s="200">
        <f t="shared" si="3228"/>
        <v>0</v>
      </c>
      <c r="BP190" s="200">
        <f t="shared" si="3228"/>
        <v>0</v>
      </c>
      <c r="BQ190" s="200">
        <f t="shared" si="3228"/>
        <v>0</v>
      </c>
      <c r="BR190" s="200">
        <f t="shared" ref="BR190:EC190" si="3229">IF(BR182=1,-BQ193-BR189,0)*IF(AND(BR172=$C177,$C183=1,$C182=0),0,1)</f>
        <v>0</v>
      </c>
      <c r="BS190" s="200">
        <f t="shared" si="3229"/>
        <v>0</v>
      </c>
      <c r="BT190" s="200">
        <f t="shared" si="3229"/>
        <v>0</v>
      </c>
      <c r="BU190" s="200">
        <f t="shared" si="3229"/>
        <v>0</v>
      </c>
      <c r="BV190" s="200">
        <f t="shared" si="3229"/>
        <v>0</v>
      </c>
      <c r="BW190" s="200">
        <f t="shared" si="3229"/>
        <v>0</v>
      </c>
      <c r="BX190" s="200">
        <f t="shared" si="3229"/>
        <v>0</v>
      </c>
      <c r="BY190" s="200">
        <f t="shared" si="3229"/>
        <v>-23467.695337862438</v>
      </c>
      <c r="BZ190" s="200">
        <f t="shared" si="3229"/>
        <v>0</v>
      </c>
      <c r="CA190" s="200">
        <f t="shared" si="3229"/>
        <v>0</v>
      </c>
      <c r="CB190" s="200">
        <f t="shared" si="3229"/>
        <v>0</v>
      </c>
      <c r="CC190" s="200">
        <f t="shared" si="3229"/>
        <v>0</v>
      </c>
      <c r="CD190" s="200">
        <f t="shared" si="3229"/>
        <v>0</v>
      </c>
      <c r="CE190" s="200">
        <f t="shared" si="3229"/>
        <v>0</v>
      </c>
      <c r="CF190" s="200">
        <f t="shared" si="3229"/>
        <v>0</v>
      </c>
      <c r="CG190" s="200">
        <f t="shared" si="3229"/>
        <v>0</v>
      </c>
      <c r="CH190" s="200">
        <f t="shared" si="3229"/>
        <v>0</v>
      </c>
      <c r="CI190" s="200">
        <f t="shared" si="3229"/>
        <v>0</v>
      </c>
      <c r="CJ190" s="200">
        <f t="shared" si="3229"/>
        <v>0</v>
      </c>
      <c r="CK190" s="200">
        <f t="shared" si="3229"/>
        <v>-24406.403151376959</v>
      </c>
      <c r="CL190" s="200">
        <f t="shared" si="3229"/>
        <v>0</v>
      </c>
      <c r="CM190" s="200">
        <f t="shared" si="3229"/>
        <v>0</v>
      </c>
      <c r="CN190" s="200">
        <f t="shared" si="3229"/>
        <v>0</v>
      </c>
      <c r="CO190" s="200">
        <f t="shared" si="3229"/>
        <v>0</v>
      </c>
      <c r="CP190" s="200">
        <f t="shared" si="3229"/>
        <v>0</v>
      </c>
      <c r="CQ190" s="200">
        <f t="shared" si="3229"/>
        <v>0</v>
      </c>
      <c r="CR190" s="200">
        <f t="shared" si="3229"/>
        <v>0</v>
      </c>
      <c r="CS190" s="200">
        <f t="shared" si="3229"/>
        <v>0</v>
      </c>
      <c r="CT190" s="200">
        <f t="shared" si="3229"/>
        <v>0</v>
      </c>
      <c r="CU190" s="200">
        <f t="shared" si="3229"/>
        <v>0</v>
      </c>
      <c r="CV190" s="200">
        <f t="shared" si="3229"/>
        <v>0</v>
      </c>
      <c r="CW190" s="200">
        <f t="shared" si="3229"/>
        <v>-25382.659277432056</v>
      </c>
      <c r="CX190" s="200">
        <f t="shared" si="3229"/>
        <v>0</v>
      </c>
      <c r="CY190" s="200">
        <f t="shared" si="3229"/>
        <v>0</v>
      </c>
      <c r="CZ190" s="200">
        <f t="shared" si="3229"/>
        <v>0</v>
      </c>
      <c r="DA190" s="200">
        <f t="shared" si="3229"/>
        <v>0</v>
      </c>
      <c r="DB190" s="200">
        <f t="shared" si="3229"/>
        <v>0</v>
      </c>
      <c r="DC190" s="200">
        <f t="shared" si="3229"/>
        <v>0</v>
      </c>
      <c r="DD190" s="200">
        <f t="shared" si="3229"/>
        <v>0</v>
      </c>
      <c r="DE190" s="200">
        <f t="shared" si="3229"/>
        <v>0</v>
      </c>
      <c r="DF190" s="200">
        <f t="shared" si="3229"/>
        <v>0</v>
      </c>
      <c r="DG190" s="200">
        <f t="shared" si="3229"/>
        <v>0</v>
      </c>
      <c r="DH190" s="200">
        <f t="shared" si="3229"/>
        <v>0</v>
      </c>
      <c r="DI190" s="200">
        <f t="shared" si="3229"/>
        <v>-17599.523697874512</v>
      </c>
      <c r="DJ190" s="200">
        <f t="shared" si="3229"/>
        <v>0</v>
      </c>
      <c r="DK190" s="200">
        <f t="shared" si="3229"/>
        <v>0</v>
      </c>
      <c r="DL190" s="200">
        <f t="shared" si="3229"/>
        <v>0</v>
      </c>
      <c r="DM190" s="200">
        <f t="shared" si="3229"/>
        <v>0</v>
      </c>
      <c r="DN190" s="200">
        <f t="shared" si="3229"/>
        <v>0</v>
      </c>
      <c r="DO190" s="200">
        <f t="shared" si="3229"/>
        <v>0</v>
      </c>
      <c r="DP190" s="200">
        <f t="shared" si="3229"/>
        <v>0</v>
      </c>
      <c r="DQ190" s="200">
        <f t="shared" si="3229"/>
        <v>0</v>
      </c>
      <c r="DR190" s="200">
        <f t="shared" si="3229"/>
        <v>0</v>
      </c>
      <c r="DS190" s="200">
        <f t="shared" si="3229"/>
        <v>0</v>
      </c>
      <c r="DT190" s="200">
        <f t="shared" si="3229"/>
        <v>0</v>
      </c>
      <c r="DU190" s="200">
        <f t="shared" si="3229"/>
        <v>-9153.1250171084666</v>
      </c>
      <c r="DV190" s="200">
        <f t="shared" si="3229"/>
        <v>0</v>
      </c>
      <c r="DW190" s="200">
        <f t="shared" si="3229"/>
        <v>0</v>
      </c>
      <c r="DX190" s="200">
        <f t="shared" si="3229"/>
        <v>0</v>
      </c>
      <c r="DY190" s="200">
        <f t="shared" si="3229"/>
        <v>0</v>
      </c>
      <c r="DZ190" s="200">
        <f t="shared" si="3229"/>
        <v>0</v>
      </c>
      <c r="EA190" s="200">
        <f t="shared" si="3229"/>
        <v>0</v>
      </c>
      <c r="EB190" s="200">
        <f t="shared" si="3229"/>
        <v>0</v>
      </c>
      <c r="EC190" s="200">
        <f t="shared" si="3229"/>
        <v>0</v>
      </c>
      <c r="ED190" s="200">
        <f t="shared" ref="ED190:GO190" si="3230">IF(ED182=1,-EC193-ED189,0)*IF(AND(ED172=$C177,$C183=1,$C182=0),0,1)</f>
        <v>0</v>
      </c>
      <c r="EE190" s="200">
        <f t="shared" si="3230"/>
        <v>0</v>
      </c>
      <c r="EF190" s="200">
        <f t="shared" si="3230"/>
        <v>0</v>
      </c>
      <c r="EG190" s="200">
        <f t="shared" si="3230"/>
        <v>0</v>
      </c>
      <c r="EH190" s="200">
        <f t="shared" si="3230"/>
        <v>0</v>
      </c>
      <c r="EI190" s="200">
        <f t="shared" si="3230"/>
        <v>0</v>
      </c>
      <c r="EJ190" s="200">
        <f t="shared" si="3230"/>
        <v>0</v>
      </c>
      <c r="EK190" s="200">
        <f t="shared" si="3230"/>
        <v>0</v>
      </c>
      <c r="EL190" s="200">
        <f t="shared" si="3230"/>
        <v>0</v>
      </c>
      <c r="EM190" s="200">
        <f t="shared" si="3230"/>
        <v>0</v>
      </c>
      <c r="EN190" s="200">
        <f t="shared" si="3230"/>
        <v>0</v>
      </c>
      <c r="EO190" s="200">
        <f t="shared" si="3230"/>
        <v>0</v>
      </c>
      <c r="EP190" s="200">
        <f t="shared" si="3230"/>
        <v>0</v>
      </c>
      <c r="EQ190" s="200">
        <f t="shared" si="3230"/>
        <v>0</v>
      </c>
      <c r="ER190" s="200">
        <f t="shared" si="3230"/>
        <v>0</v>
      </c>
      <c r="ES190" s="200">
        <f t="shared" si="3230"/>
        <v>0</v>
      </c>
      <c r="ET190" s="200">
        <f t="shared" si="3230"/>
        <v>0</v>
      </c>
      <c r="EU190" s="200">
        <f t="shared" si="3230"/>
        <v>0</v>
      </c>
      <c r="EV190" s="200">
        <f t="shared" si="3230"/>
        <v>0</v>
      </c>
      <c r="EW190" s="200">
        <f t="shared" si="3230"/>
        <v>0</v>
      </c>
      <c r="EX190" s="200">
        <f t="shared" si="3230"/>
        <v>0</v>
      </c>
      <c r="EY190" s="200">
        <f t="shared" si="3230"/>
        <v>0</v>
      </c>
      <c r="EZ190" s="200">
        <f t="shared" si="3230"/>
        <v>0</v>
      </c>
      <c r="FA190" s="200">
        <f t="shared" si="3230"/>
        <v>0</v>
      </c>
      <c r="FB190" s="200">
        <f t="shared" si="3230"/>
        <v>0</v>
      </c>
      <c r="FC190" s="200">
        <f t="shared" si="3230"/>
        <v>0</v>
      </c>
      <c r="FD190" s="200">
        <f t="shared" si="3230"/>
        <v>0</v>
      </c>
      <c r="FE190" s="200">
        <f t="shared" si="3230"/>
        <v>0</v>
      </c>
      <c r="FF190" s="200">
        <f t="shared" si="3230"/>
        <v>0</v>
      </c>
      <c r="FG190" s="200">
        <f t="shared" si="3230"/>
        <v>0</v>
      </c>
      <c r="FH190" s="200">
        <f t="shared" si="3230"/>
        <v>0</v>
      </c>
      <c r="FI190" s="200">
        <f t="shared" si="3230"/>
        <v>0</v>
      </c>
      <c r="FJ190" s="200">
        <f t="shared" si="3230"/>
        <v>0</v>
      </c>
      <c r="FK190" s="200">
        <f t="shared" si="3230"/>
        <v>0</v>
      </c>
      <c r="FL190" s="200">
        <f t="shared" si="3230"/>
        <v>0</v>
      </c>
      <c r="FM190" s="200">
        <f t="shared" si="3230"/>
        <v>0</v>
      </c>
      <c r="FN190" s="200">
        <f t="shared" si="3230"/>
        <v>0</v>
      </c>
      <c r="FO190" s="200">
        <f t="shared" si="3230"/>
        <v>0</v>
      </c>
      <c r="FP190" s="200">
        <f t="shared" si="3230"/>
        <v>0</v>
      </c>
      <c r="FQ190" s="200">
        <f t="shared" si="3230"/>
        <v>0</v>
      </c>
      <c r="FR190" s="200">
        <f t="shared" si="3230"/>
        <v>0</v>
      </c>
      <c r="FS190" s="200">
        <f t="shared" si="3230"/>
        <v>0</v>
      </c>
      <c r="FT190" s="200">
        <f t="shared" si="3230"/>
        <v>0</v>
      </c>
      <c r="FU190" s="200">
        <f t="shared" si="3230"/>
        <v>0</v>
      </c>
      <c r="FV190" s="200">
        <f t="shared" si="3230"/>
        <v>0</v>
      </c>
      <c r="FW190" s="200">
        <f t="shared" si="3230"/>
        <v>0</v>
      </c>
      <c r="FX190" s="200">
        <f t="shared" si="3230"/>
        <v>0</v>
      </c>
      <c r="FY190" s="200">
        <f t="shared" si="3230"/>
        <v>0</v>
      </c>
      <c r="FZ190" s="200">
        <f t="shared" si="3230"/>
        <v>0</v>
      </c>
      <c r="GA190" s="200">
        <f t="shared" si="3230"/>
        <v>0</v>
      </c>
      <c r="GB190" s="200">
        <f t="shared" si="3230"/>
        <v>0</v>
      </c>
      <c r="GC190" s="200">
        <f t="shared" si="3230"/>
        <v>0</v>
      </c>
      <c r="GD190" s="200">
        <f t="shared" si="3230"/>
        <v>0</v>
      </c>
      <c r="GE190" s="200">
        <f t="shared" si="3230"/>
        <v>0</v>
      </c>
      <c r="GF190" s="200">
        <f t="shared" si="3230"/>
        <v>0</v>
      </c>
      <c r="GG190" s="200">
        <f t="shared" si="3230"/>
        <v>0</v>
      </c>
      <c r="GH190" s="200">
        <f t="shared" si="3230"/>
        <v>0</v>
      </c>
      <c r="GI190" s="200">
        <f t="shared" si="3230"/>
        <v>0</v>
      </c>
      <c r="GJ190" s="200">
        <f t="shared" si="3230"/>
        <v>0</v>
      </c>
      <c r="GK190" s="200">
        <f t="shared" si="3230"/>
        <v>0</v>
      </c>
      <c r="GL190" s="200">
        <f t="shared" si="3230"/>
        <v>0</v>
      </c>
      <c r="GM190" s="200">
        <f t="shared" si="3230"/>
        <v>0</v>
      </c>
      <c r="GN190" s="200">
        <f t="shared" si="3230"/>
        <v>0</v>
      </c>
      <c r="GO190" s="200">
        <f t="shared" si="3230"/>
        <v>0</v>
      </c>
      <c r="GP190" s="200">
        <f t="shared" ref="GP190:GQ190" si="3231">IF(GP182=1,-GO193-GP189,0)*IF(AND(GP172=$C177,$C183=1,$C182=0),0,1)</f>
        <v>0</v>
      </c>
      <c r="GQ190" s="200">
        <f t="shared" si="3231"/>
        <v>0</v>
      </c>
    </row>
    <row r="191" spans="2:199" s="315" customFormat="1" outlineLevel="1">
      <c r="B191" s="190" t="s">
        <v>392</v>
      </c>
      <c r="C191" s="192"/>
      <c r="D191" s="194"/>
      <c r="E191" s="201">
        <f t="shared" ref="E191:BP191" si="3232">-E177*LOOKUP($C174,$E172:$GQ172,$E187:$GQ187)*E197</f>
        <v>0</v>
      </c>
      <c r="F191" s="201">
        <f t="shared" si="3232"/>
        <v>0</v>
      </c>
      <c r="G191" s="201">
        <f t="shared" si="3232"/>
        <v>0</v>
      </c>
      <c r="H191" s="201">
        <f t="shared" si="3232"/>
        <v>0</v>
      </c>
      <c r="I191" s="201">
        <f t="shared" si="3232"/>
        <v>0</v>
      </c>
      <c r="J191" s="201">
        <f t="shared" si="3232"/>
        <v>0</v>
      </c>
      <c r="K191" s="201">
        <f t="shared" si="3232"/>
        <v>0</v>
      </c>
      <c r="L191" s="201">
        <f t="shared" si="3232"/>
        <v>0</v>
      </c>
      <c r="M191" s="201">
        <f t="shared" si="3232"/>
        <v>0</v>
      </c>
      <c r="N191" s="201">
        <f t="shared" si="3232"/>
        <v>0</v>
      </c>
      <c r="O191" s="201">
        <f t="shared" si="3232"/>
        <v>0</v>
      </c>
      <c r="P191" s="201">
        <f t="shared" si="3232"/>
        <v>0</v>
      </c>
      <c r="Q191" s="201">
        <f t="shared" si="3232"/>
        <v>0</v>
      </c>
      <c r="R191" s="201">
        <f t="shared" si="3232"/>
        <v>0</v>
      </c>
      <c r="S191" s="201">
        <f t="shared" si="3232"/>
        <v>0</v>
      </c>
      <c r="T191" s="201">
        <f t="shared" si="3232"/>
        <v>0</v>
      </c>
      <c r="U191" s="201">
        <f t="shared" si="3232"/>
        <v>0</v>
      </c>
      <c r="V191" s="201">
        <f t="shared" si="3232"/>
        <v>0</v>
      </c>
      <c r="W191" s="201">
        <f t="shared" si="3232"/>
        <v>0</v>
      </c>
      <c r="X191" s="201">
        <f t="shared" si="3232"/>
        <v>0</v>
      </c>
      <c r="Y191" s="201">
        <f t="shared" si="3232"/>
        <v>0</v>
      </c>
      <c r="Z191" s="201">
        <f t="shared" si="3232"/>
        <v>0</v>
      </c>
      <c r="AA191" s="201">
        <f t="shared" si="3232"/>
        <v>0</v>
      </c>
      <c r="AB191" s="201">
        <f t="shared" si="3232"/>
        <v>0</v>
      </c>
      <c r="AC191" s="201">
        <f t="shared" si="3232"/>
        <v>0</v>
      </c>
      <c r="AD191" s="201">
        <f t="shared" si="3232"/>
        <v>0</v>
      </c>
      <c r="AE191" s="201">
        <f t="shared" si="3232"/>
        <v>0</v>
      </c>
      <c r="AF191" s="201">
        <f t="shared" si="3232"/>
        <v>0</v>
      </c>
      <c r="AG191" s="201">
        <f t="shared" si="3232"/>
        <v>0</v>
      </c>
      <c r="AH191" s="201">
        <f t="shared" si="3232"/>
        <v>0</v>
      </c>
      <c r="AI191" s="201">
        <f t="shared" si="3232"/>
        <v>0</v>
      </c>
      <c r="AJ191" s="201">
        <f t="shared" si="3232"/>
        <v>0</v>
      </c>
      <c r="AK191" s="201">
        <f t="shared" si="3232"/>
        <v>0</v>
      </c>
      <c r="AL191" s="201">
        <f t="shared" si="3232"/>
        <v>0</v>
      </c>
      <c r="AM191" s="201">
        <f t="shared" si="3232"/>
        <v>0</v>
      </c>
      <c r="AN191" s="201">
        <f t="shared" si="3232"/>
        <v>0</v>
      </c>
      <c r="AO191" s="201">
        <f t="shared" si="3232"/>
        <v>0</v>
      </c>
      <c r="AP191" s="201">
        <f t="shared" si="3232"/>
        <v>0</v>
      </c>
      <c r="AQ191" s="201">
        <f t="shared" si="3232"/>
        <v>0</v>
      </c>
      <c r="AR191" s="201">
        <f t="shared" si="3232"/>
        <v>0</v>
      </c>
      <c r="AS191" s="201">
        <f t="shared" si="3232"/>
        <v>0</v>
      </c>
      <c r="AT191" s="201">
        <f t="shared" si="3232"/>
        <v>0</v>
      </c>
      <c r="AU191" s="201">
        <f t="shared" si="3232"/>
        <v>0</v>
      </c>
      <c r="AV191" s="201">
        <f t="shared" si="3232"/>
        <v>0</v>
      </c>
      <c r="AW191" s="201">
        <f t="shared" si="3232"/>
        <v>0</v>
      </c>
      <c r="AX191" s="201">
        <f t="shared" si="3232"/>
        <v>0</v>
      </c>
      <c r="AY191" s="201">
        <f t="shared" si="3232"/>
        <v>0</v>
      </c>
      <c r="AZ191" s="201">
        <f t="shared" si="3232"/>
        <v>0</v>
      </c>
      <c r="BA191" s="201">
        <f t="shared" si="3232"/>
        <v>0</v>
      </c>
      <c r="BB191" s="201">
        <f t="shared" si="3232"/>
        <v>0</v>
      </c>
      <c r="BC191" s="201">
        <f t="shared" si="3232"/>
        <v>0</v>
      </c>
      <c r="BD191" s="201">
        <f t="shared" si="3232"/>
        <v>0</v>
      </c>
      <c r="BE191" s="201">
        <f t="shared" si="3232"/>
        <v>0</v>
      </c>
      <c r="BF191" s="201">
        <f t="shared" si="3232"/>
        <v>0</v>
      </c>
      <c r="BG191" s="201">
        <f t="shared" si="3232"/>
        <v>0</v>
      </c>
      <c r="BH191" s="201">
        <f t="shared" si="3232"/>
        <v>0</v>
      </c>
      <c r="BI191" s="201">
        <f t="shared" si="3232"/>
        <v>0</v>
      </c>
      <c r="BJ191" s="201">
        <f t="shared" si="3232"/>
        <v>0</v>
      </c>
      <c r="BK191" s="201">
        <f t="shared" si="3232"/>
        <v>0</v>
      </c>
      <c r="BL191" s="201">
        <f t="shared" si="3232"/>
        <v>0</v>
      </c>
      <c r="BM191" s="201">
        <f t="shared" si="3232"/>
        <v>0</v>
      </c>
      <c r="BN191" s="201">
        <f t="shared" si="3232"/>
        <v>0</v>
      </c>
      <c r="BO191" s="201">
        <f t="shared" si="3232"/>
        <v>0</v>
      </c>
      <c r="BP191" s="201">
        <f t="shared" si="3232"/>
        <v>0</v>
      </c>
      <c r="BQ191" s="201">
        <f t="shared" ref="BQ191:DT191" si="3233">-BQ177*LOOKUP($C174,$E172:$GQ172,$E187:$GQ187)*BQ197</f>
        <v>0</v>
      </c>
      <c r="BR191" s="201">
        <f t="shared" si="3233"/>
        <v>0</v>
      </c>
      <c r="BS191" s="201">
        <f t="shared" si="3233"/>
        <v>0</v>
      </c>
      <c r="BT191" s="201">
        <f t="shared" si="3233"/>
        <v>0</v>
      </c>
      <c r="BU191" s="201">
        <f t="shared" si="3233"/>
        <v>0</v>
      </c>
      <c r="BV191" s="201">
        <f t="shared" si="3233"/>
        <v>0</v>
      </c>
      <c r="BW191" s="201">
        <f t="shared" si="3233"/>
        <v>0</v>
      </c>
      <c r="BX191" s="201">
        <f t="shared" si="3233"/>
        <v>0</v>
      </c>
      <c r="BY191" s="201">
        <f t="shared" si="3233"/>
        <v>0</v>
      </c>
      <c r="BZ191" s="201">
        <f t="shared" si="3233"/>
        <v>0</v>
      </c>
      <c r="CA191" s="201">
        <f t="shared" si="3233"/>
        <v>0</v>
      </c>
      <c r="CB191" s="201">
        <f t="shared" si="3233"/>
        <v>0</v>
      </c>
      <c r="CC191" s="201">
        <f t="shared" si="3233"/>
        <v>0</v>
      </c>
      <c r="CD191" s="201">
        <f t="shared" si="3233"/>
        <v>0</v>
      </c>
      <c r="CE191" s="201">
        <f t="shared" si="3233"/>
        <v>0</v>
      </c>
      <c r="CF191" s="201">
        <f t="shared" si="3233"/>
        <v>0</v>
      </c>
      <c r="CG191" s="201">
        <f t="shared" si="3233"/>
        <v>0</v>
      </c>
      <c r="CH191" s="201">
        <f t="shared" si="3233"/>
        <v>0</v>
      </c>
      <c r="CI191" s="201">
        <f t="shared" si="3233"/>
        <v>0</v>
      </c>
      <c r="CJ191" s="201">
        <f t="shared" si="3233"/>
        <v>0</v>
      </c>
      <c r="CK191" s="201">
        <f t="shared" si="3233"/>
        <v>0</v>
      </c>
      <c r="CL191" s="201">
        <f t="shared" si="3233"/>
        <v>0</v>
      </c>
      <c r="CM191" s="201">
        <f t="shared" si="3233"/>
        <v>0</v>
      </c>
      <c r="CN191" s="201">
        <f t="shared" si="3233"/>
        <v>0</v>
      </c>
      <c r="CO191" s="201">
        <f t="shared" si="3233"/>
        <v>0</v>
      </c>
      <c r="CP191" s="201">
        <f t="shared" si="3233"/>
        <v>0</v>
      </c>
      <c r="CQ191" s="201">
        <f t="shared" si="3233"/>
        <v>0</v>
      </c>
      <c r="CR191" s="201">
        <f t="shared" si="3233"/>
        <v>0</v>
      </c>
      <c r="CS191" s="201">
        <f t="shared" si="3233"/>
        <v>0</v>
      </c>
      <c r="CT191" s="201">
        <f t="shared" si="3233"/>
        <v>0</v>
      </c>
      <c r="CU191" s="201">
        <f t="shared" si="3233"/>
        <v>0</v>
      </c>
      <c r="CV191" s="201">
        <f t="shared" si="3233"/>
        <v>0</v>
      </c>
      <c r="CW191" s="201">
        <f t="shared" si="3233"/>
        <v>-126688.02230624128</v>
      </c>
      <c r="CX191" s="201">
        <f t="shared" si="3233"/>
        <v>0</v>
      </c>
      <c r="CY191" s="201">
        <f t="shared" si="3233"/>
        <v>0</v>
      </c>
      <c r="CZ191" s="201">
        <f t="shared" si="3233"/>
        <v>0</v>
      </c>
      <c r="DA191" s="201">
        <f t="shared" si="3233"/>
        <v>0</v>
      </c>
      <c r="DB191" s="201">
        <f t="shared" si="3233"/>
        <v>0</v>
      </c>
      <c r="DC191" s="201">
        <f t="shared" si="3233"/>
        <v>0</v>
      </c>
      <c r="DD191" s="201">
        <f t="shared" si="3233"/>
        <v>0</v>
      </c>
      <c r="DE191" s="201">
        <f t="shared" si="3233"/>
        <v>0</v>
      </c>
      <c r="DF191" s="201">
        <f t="shared" si="3233"/>
        <v>0</v>
      </c>
      <c r="DG191" s="201">
        <f t="shared" si="3233"/>
        <v>0</v>
      </c>
      <c r="DH191" s="201">
        <f t="shared" si="3233"/>
        <v>0</v>
      </c>
      <c r="DI191" s="201">
        <f t="shared" si="3233"/>
        <v>-131755.54319849101</v>
      </c>
      <c r="DJ191" s="201">
        <f t="shared" si="3233"/>
        <v>0</v>
      </c>
      <c r="DK191" s="201">
        <f t="shared" si="3233"/>
        <v>0</v>
      </c>
      <c r="DL191" s="201">
        <f t="shared" si="3233"/>
        <v>0</v>
      </c>
      <c r="DM191" s="201">
        <f t="shared" si="3233"/>
        <v>0</v>
      </c>
      <c r="DN191" s="201">
        <f t="shared" si="3233"/>
        <v>0</v>
      </c>
      <c r="DO191" s="201">
        <f t="shared" si="3233"/>
        <v>0</v>
      </c>
      <c r="DP191" s="201">
        <f t="shared" si="3233"/>
        <v>0</v>
      </c>
      <c r="DQ191" s="201">
        <f t="shared" si="3233"/>
        <v>0</v>
      </c>
      <c r="DR191" s="201">
        <f t="shared" si="3233"/>
        <v>0</v>
      </c>
      <c r="DS191" s="201">
        <f t="shared" si="3233"/>
        <v>0</v>
      </c>
      <c r="DT191" s="201">
        <f t="shared" si="3233"/>
        <v>0</v>
      </c>
      <c r="DU191" s="201">
        <f>-DU177*LOOKUP($C174,$E172:$GQ172,$E187:$GQ187)*DU197</f>
        <v>-137066.87676709273</v>
      </c>
      <c r="DV191" s="201">
        <f t="shared" ref="DV191:GG191" si="3234">-DV177*LOOKUP($C174,$E172:$GQ172,$E187:$GQ187)*DV197</f>
        <v>0</v>
      </c>
      <c r="DW191" s="201">
        <f t="shared" si="3234"/>
        <v>0</v>
      </c>
      <c r="DX191" s="201">
        <f t="shared" si="3234"/>
        <v>0</v>
      </c>
      <c r="DY191" s="201">
        <f t="shared" si="3234"/>
        <v>0</v>
      </c>
      <c r="DZ191" s="201">
        <f t="shared" si="3234"/>
        <v>0</v>
      </c>
      <c r="EA191" s="201">
        <f t="shared" si="3234"/>
        <v>0</v>
      </c>
      <c r="EB191" s="201">
        <f t="shared" si="3234"/>
        <v>0</v>
      </c>
      <c r="EC191" s="201">
        <f t="shared" si="3234"/>
        <v>0</v>
      </c>
      <c r="ED191" s="201">
        <f t="shared" si="3234"/>
        <v>0</v>
      </c>
      <c r="EE191" s="201">
        <f t="shared" si="3234"/>
        <v>0</v>
      </c>
      <c r="EF191" s="201">
        <f t="shared" si="3234"/>
        <v>0</v>
      </c>
      <c r="EG191" s="201">
        <f t="shared" si="3234"/>
        <v>0</v>
      </c>
      <c r="EH191" s="201">
        <f t="shared" si="3234"/>
        <v>0</v>
      </c>
      <c r="EI191" s="201">
        <f t="shared" si="3234"/>
        <v>0</v>
      </c>
      <c r="EJ191" s="201">
        <f t="shared" si="3234"/>
        <v>0</v>
      </c>
      <c r="EK191" s="201">
        <f t="shared" si="3234"/>
        <v>0</v>
      </c>
      <c r="EL191" s="201">
        <f t="shared" si="3234"/>
        <v>0</v>
      </c>
      <c r="EM191" s="201">
        <f t="shared" si="3234"/>
        <v>0</v>
      </c>
      <c r="EN191" s="201">
        <f t="shared" si="3234"/>
        <v>0</v>
      </c>
      <c r="EO191" s="201">
        <f t="shared" si="3234"/>
        <v>0</v>
      </c>
      <c r="EP191" s="201">
        <f t="shared" si="3234"/>
        <v>0</v>
      </c>
      <c r="EQ191" s="201">
        <f t="shared" si="3234"/>
        <v>0</v>
      </c>
      <c r="ER191" s="201">
        <f t="shared" si="3234"/>
        <v>0</v>
      </c>
      <c r="ES191" s="201">
        <f t="shared" si="3234"/>
        <v>0</v>
      </c>
      <c r="ET191" s="201">
        <f t="shared" si="3234"/>
        <v>0</v>
      </c>
      <c r="EU191" s="201">
        <f t="shared" si="3234"/>
        <v>0</v>
      </c>
      <c r="EV191" s="201">
        <f t="shared" si="3234"/>
        <v>0</v>
      </c>
      <c r="EW191" s="201">
        <f t="shared" si="3234"/>
        <v>0</v>
      </c>
      <c r="EX191" s="201">
        <f t="shared" si="3234"/>
        <v>0</v>
      </c>
      <c r="EY191" s="201">
        <f t="shared" si="3234"/>
        <v>0</v>
      </c>
      <c r="EZ191" s="201">
        <f t="shared" si="3234"/>
        <v>0</v>
      </c>
      <c r="FA191" s="201">
        <f t="shared" si="3234"/>
        <v>0</v>
      </c>
      <c r="FB191" s="201">
        <f t="shared" si="3234"/>
        <v>0</v>
      </c>
      <c r="FC191" s="201">
        <f t="shared" si="3234"/>
        <v>0</v>
      </c>
      <c r="FD191" s="201">
        <f t="shared" si="3234"/>
        <v>0</v>
      </c>
      <c r="FE191" s="201">
        <f t="shared" si="3234"/>
        <v>0</v>
      </c>
      <c r="FF191" s="201">
        <f t="shared" si="3234"/>
        <v>0</v>
      </c>
      <c r="FG191" s="201">
        <f t="shared" si="3234"/>
        <v>0</v>
      </c>
      <c r="FH191" s="201">
        <f t="shared" si="3234"/>
        <v>0</v>
      </c>
      <c r="FI191" s="201">
        <f t="shared" si="3234"/>
        <v>0</v>
      </c>
      <c r="FJ191" s="201">
        <f t="shared" si="3234"/>
        <v>0</v>
      </c>
      <c r="FK191" s="201">
        <f t="shared" si="3234"/>
        <v>0</v>
      </c>
      <c r="FL191" s="201">
        <f t="shared" si="3234"/>
        <v>0</v>
      </c>
      <c r="FM191" s="201">
        <f t="shared" si="3234"/>
        <v>0</v>
      </c>
      <c r="FN191" s="201">
        <f t="shared" si="3234"/>
        <v>0</v>
      </c>
      <c r="FO191" s="201">
        <f t="shared" si="3234"/>
        <v>0</v>
      </c>
      <c r="FP191" s="201">
        <f t="shared" si="3234"/>
        <v>0</v>
      </c>
      <c r="FQ191" s="201">
        <f t="shared" si="3234"/>
        <v>0</v>
      </c>
      <c r="FR191" s="201">
        <f t="shared" si="3234"/>
        <v>0</v>
      </c>
      <c r="FS191" s="201">
        <f t="shared" si="3234"/>
        <v>0</v>
      </c>
      <c r="FT191" s="201">
        <f t="shared" si="3234"/>
        <v>0</v>
      </c>
      <c r="FU191" s="201">
        <f t="shared" si="3234"/>
        <v>0</v>
      </c>
      <c r="FV191" s="201">
        <f t="shared" si="3234"/>
        <v>0</v>
      </c>
      <c r="FW191" s="201">
        <f t="shared" si="3234"/>
        <v>0</v>
      </c>
      <c r="FX191" s="201">
        <f t="shared" si="3234"/>
        <v>0</v>
      </c>
      <c r="FY191" s="201">
        <f t="shared" si="3234"/>
        <v>0</v>
      </c>
      <c r="FZ191" s="201">
        <f t="shared" si="3234"/>
        <v>0</v>
      </c>
      <c r="GA191" s="201">
        <f t="shared" si="3234"/>
        <v>0</v>
      </c>
      <c r="GB191" s="201">
        <f t="shared" si="3234"/>
        <v>0</v>
      </c>
      <c r="GC191" s="201">
        <f t="shared" si="3234"/>
        <v>0</v>
      </c>
      <c r="GD191" s="201">
        <f t="shared" si="3234"/>
        <v>0</v>
      </c>
      <c r="GE191" s="201">
        <f t="shared" si="3234"/>
        <v>0</v>
      </c>
      <c r="GF191" s="201">
        <f t="shared" si="3234"/>
        <v>0</v>
      </c>
      <c r="GG191" s="201">
        <f t="shared" si="3234"/>
        <v>0</v>
      </c>
      <c r="GH191" s="201">
        <f t="shared" ref="GH191:GQ191" si="3235">-GH177*LOOKUP($C174,$E172:$GQ172,$E187:$GQ187)*GH197</f>
        <v>0</v>
      </c>
      <c r="GI191" s="201">
        <f t="shared" si="3235"/>
        <v>0</v>
      </c>
      <c r="GJ191" s="201">
        <f t="shared" si="3235"/>
        <v>0</v>
      </c>
      <c r="GK191" s="201">
        <f t="shared" si="3235"/>
        <v>0</v>
      </c>
      <c r="GL191" s="201">
        <f t="shared" si="3235"/>
        <v>0</v>
      </c>
      <c r="GM191" s="201">
        <f t="shared" si="3235"/>
        <v>0</v>
      </c>
      <c r="GN191" s="201">
        <f t="shared" si="3235"/>
        <v>0</v>
      </c>
      <c r="GO191" s="201">
        <f t="shared" si="3235"/>
        <v>0</v>
      </c>
      <c r="GP191" s="201">
        <f t="shared" si="3235"/>
        <v>0</v>
      </c>
      <c r="GQ191" s="201">
        <f t="shared" si="3235"/>
        <v>0</v>
      </c>
    </row>
    <row r="192" spans="2:199" s="154" customFormat="1" outlineLevel="1">
      <c r="B192" s="190" t="s">
        <v>393</v>
      </c>
      <c r="C192" s="434"/>
      <c r="D192" s="188"/>
      <c r="E192" s="189">
        <f t="shared" ref="E192:J192" si="3236">IF(SUM(E186:E191)&lt;0.00000001,ROUND(SUM(E186:E191),7),SUM(E186:E191))</f>
        <v>268481.20364259474</v>
      </c>
      <c r="F192" s="189">
        <f t="shared" si="3236"/>
        <v>269957.14337377565</v>
      </c>
      <c r="G192" s="189">
        <f t="shared" si="3236"/>
        <v>272005.0074151</v>
      </c>
      <c r="H192" s="189">
        <f t="shared" si="3236"/>
        <v>274711.02135291125</v>
      </c>
      <c r="I192" s="189">
        <f t="shared" si="3236"/>
        <v>277707.61512094003</v>
      </c>
      <c r="J192" s="189">
        <f t="shared" si="3236"/>
        <v>281082.1222604689</v>
      </c>
      <c r="K192" s="189">
        <f>IF(SUM(K186:K191)&lt;0.000000000001,ROUND(SUM(K186:K191),11),SUM(K186:K191))</f>
        <v>284268.87368455116</v>
      </c>
      <c r="L192" s="189">
        <f t="shared" ref="L192:Q192" si="3237">IF(SUM(L186:L191)&lt;0.000000000001,ROUND(SUM(L186:L191),11),SUM(L186:L191))</f>
        <v>287681.15977670898</v>
      </c>
      <c r="M192" s="189">
        <f t="shared" si="3237"/>
        <v>291313.04859702033</v>
      </c>
      <c r="N192" s="189">
        <f t="shared" si="3237"/>
        <v>294176.17758314463</v>
      </c>
      <c r="O192" s="189">
        <f t="shared" si="3237"/>
        <v>296825.21877079952</v>
      </c>
      <c r="P192" s="189">
        <f t="shared" si="3237"/>
        <v>299976.67088230344</v>
      </c>
      <c r="Q192" s="189">
        <f t="shared" si="3237"/>
        <v>281836.71477998653</v>
      </c>
      <c r="R192" s="189">
        <f t="shared" ref="R192:BV192" si="3238">IF(SUM(R186:R191)&lt;0.0000000001,ROUND(SUM(R186:R191),9),SUM(R186:R191))</f>
        <v>283669.46073312289</v>
      </c>
      <c r="S192" s="189">
        <f t="shared" si="3238"/>
        <v>285943.74292992172</v>
      </c>
      <c r="T192" s="189">
        <f t="shared" si="3238"/>
        <v>289051.35591173859</v>
      </c>
      <c r="U192" s="189">
        <f t="shared" si="3238"/>
        <v>292527.44920892495</v>
      </c>
      <c r="V192" s="189">
        <f t="shared" si="3238"/>
        <v>296196.27849219774</v>
      </c>
      <c r="W192" s="189">
        <f t="shared" si="3238"/>
        <v>299911.62598829617</v>
      </c>
      <c r="X192" s="189">
        <f t="shared" si="3238"/>
        <v>302633.22853685118</v>
      </c>
      <c r="Y192" s="189">
        <f t="shared" si="3238"/>
        <v>305373.73535674019</v>
      </c>
      <c r="Z192" s="189">
        <f t="shared" si="3238"/>
        <v>308133.2648600706</v>
      </c>
      <c r="AA192" s="189">
        <f t="shared" si="3238"/>
        <v>310911.93616314651</v>
      </c>
      <c r="AB192" s="189">
        <f t="shared" si="3238"/>
        <v>313709.86909053591</v>
      </c>
      <c r="AC192" s="189">
        <f t="shared" si="3238"/>
        <v>296819.77341313037</v>
      </c>
      <c r="AD192" s="189">
        <f t="shared" si="3238"/>
        <v>299548.25304515159</v>
      </c>
      <c r="AE192" s="189">
        <f t="shared" si="3238"/>
        <v>302295.76248724398</v>
      </c>
      <c r="AF192" s="189">
        <f t="shared" si="3238"/>
        <v>305062.42116404901</v>
      </c>
      <c r="AG192" s="189">
        <f t="shared" si="3238"/>
        <v>307848.34921115602</v>
      </c>
      <c r="AH192" s="189">
        <f t="shared" si="3238"/>
        <v>310653.66747921059</v>
      </c>
      <c r="AI192" s="189">
        <f t="shared" si="3238"/>
        <v>313478.49753804639</v>
      </c>
      <c r="AJ192" s="189">
        <f t="shared" si="3238"/>
        <v>316322.96168083989</v>
      </c>
      <c r="AK192" s="189">
        <f t="shared" si="3238"/>
        <v>319187.18292828958</v>
      </c>
      <c r="AL192" s="189">
        <f t="shared" si="3238"/>
        <v>322071.28503281804</v>
      </c>
      <c r="AM192" s="189">
        <f t="shared" si="3238"/>
        <v>324975.39248279831</v>
      </c>
      <c r="AN192" s="189">
        <f t="shared" si="3238"/>
        <v>327899.63050680415</v>
      </c>
      <c r="AO192" s="189">
        <f t="shared" si="3238"/>
        <v>310176.66321672144</v>
      </c>
      <c r="AP192" s="189">
        <f t="shared" si="3238"/>
        <v>313027.92443218362</v>
      </c>
      <c r="AQ192" s="189">
        <f t="shared" si="3238"/>
        <v>315899.07179917023</v>
      </c>
      <c r="AR192" s="189">
        <f t="shared" si="3238"/>
        <v>318790.23011643154</v>
      </c>
      <c r="AS192" s="189">
        <f t="shared" si="3238"/>
        <v>321701.52492565836</v>
      </c>
      <c r="AT192" s="189">
        <f t="shared" si="3238"/>
        <v>324633.0825157754</v>
      </c>
      <c r="AU192" s="189">
        <f t="shared" si="3238"/>
        <v>327585.02992725879</v>
      </c>
      <c r="AV192" s="189">
        <f t="shared" si="3238"/>
        <v>330557.49495647807</v>
      </c>
      <c r="AW192" s="189">
        <f t="shared" si="3238"/>
        <v>333550.60616006301</v>
      </c>
      <c r="AX192" s="189">
        <f t="shared" si="3238"/>
        <v>336564.49285929528</v>
      </c>
      <c r="AY192" s="189">
        <f t="shared" si="3238"/>
        <v>339599.28514452471</v>
      </c>
      <c r="AZ192" s="189">
        <f t="shared" si="3238"/>
        <v>342655.11387961084</v>
      </c>
      <c r="BA192" s="189">
        <f t="shared" si="3238"/>
        <v>324134.6130614744</v>
      </c>
      <c r="BB192" s="189">
        <f t="shared" si="3238"/>
        <v>327114.18103163235</v>
      </c>
      <c r="BC192" s="189">
        <f t="shared" si="3238"/>
        <v>330114.53003013332</v>
      </c>
      <c r="BD192" s="189">
        <f t="shared" si="3238"/>
        <v>333135.79047167132</v>
      </c>
      <c r="BE192" s="189">
        <f t="shared" si="3238"/>
        <v>336178.09354731336</v>
      </c>
      <c r="BF192" s="189">
        <f t="shared" si="3238"/>
        <v>339241.57122898567</v>
      </c>
      <c r="BG192" s="189">
        <f t="shared" si="3238"/>
        <v>342326.35627398576</v>
      </c>
      <c r="BH192" s="189">
        <f t="shared" si="3238"/>
        <v>345298.95829426422</v>
      </c>
      <c r="BI192" s="189">
        <f t="shared" si="3238"/>
        <v>348291.47249444568</v>
      </c>
      <c r="BJ192" s="189">
        <f t="shared" si="3238"/>
        <v>351304.02002862003</v>
      </c>
      <c r="BK192" s="189">
        <f t="shared" si="3238"/>
        <v>354336.72275517421</v>
      </c>
      <c r="BL192" s="189">
        <f t="shared" si="3238"/>
        <v>357389.70324078918</v>
      </c>
      <c r="BM192" s="189">
        <f t="shared" si="3238"/>
        <v>337909.36248865235</v>
      </c>
      <c r="BN192" s="189">
        <f t="shared" si="3238"/>
        <v>340879.28295530024</v>
      </c>
      <c r="BO192" s="189">
        <f t="shared" si="3238"/>
        <v>343869.17157407093</v>
      </c>
      <c r="BP192" s="189">
        <f t="shared" si="3238"/>
        <v>346879.15003825241</v>
      </c>
      <c r="BQ192" s="189">
        <f t="shared" si="3238"/>
        <v>349909.34074915183</v>
      </c>
      <c r="BR192" s="189">
        <f t="shared" si="3238"/>
        <v>352959.86682011519</v>
      </c>
      <c r="BS192" s="189">
        <f t="shared" si="3238"/>
        <v>356030.85208057018</v>
      </c>
      <c r="BT192" s="189">
        <f t="shared" si="3238"/>
        <v>359122.4210800911</v>
      </c>
      <c r="BU192" s="189">
        <f t="shared" si="3238"/>
        <v>362234.69909248682</v>
      </c>
      <c r="BV192" s="189">
        <f t="shared" si="3238"/>
        <v>365367.81211991177</v>
      </c>
      <c r="BW192" s="189">
        <f t="shared" ref="BW192:EH192" si="3239">IF(SUM(BW186:BW191)&lt;0.0000000001,ROUND(SUM(BW186:BW191),9),SUM(BW186:BW191))</f>
        <v>368521.88689699973</v>
      </c>
      <c r="BX192" s="189">
        <f t="shared" si="3239"/>
        <v>371697.0508950206</v>
      </c>
      <c r="BY192" s="189">
        <f t="shared" si="3239"/>
        <v>351425.73698819865</v>
      </c>
      <c r="BZ192" s="189">
        <f t="shared" si="3239"/>
        <v>354514.45427351247</v>
      </c>
      <c r="CA192" s="189">
        <f t="shared" si="3239"/>
        <v>357623.93843703397</v>
      </c>
      <c r="CB192" s="189">
        <f t="shared" si="3239"/>
        <v>360754.31603978277</v>
      </c>
      <c r="CC192" s="189">
        <f t="shared" si="3239"/>
        <v>363905.71437911817</v>
      </c>
      <c r="CD192" s="189">
        <f t="shared" si="3239"/>
        <v>367078.26149292011</v>
      </c>
      <c r="CE192" s="189">
        <f t="shared" si="3239"/>
        <v>370272.08616379334</v>
      </c>
      <c r="CF192" s="189">
        <f t="shared" si="3239"/>
        <v>373487.31792329508</v>
      </c>
      <c r="CG192" s="189">
        <f t="shared" si="3239"/>
        <v>376724.08705618663</v>
      </c>
      <c r="CH192" s="189">
        <f t="shared" si="3239"/>
        <v>379982.5246047086</v>
      </c>
      <c r="CI192" s="189">
        <f t="shared" si="3239"/>
        <v>383262.76237288001</v>
      </c>
      <c r="CJ192" s="189">
        <f t="shared" si="3239"/>
        <v>386564.93293082179</v>
      </c>
      <c r="CK192" s="189">
        <f t="shared" si="3239"/>
        <v>365482.76646772691</v>
      </c>
      <c r="CL192" s="189">
        <f t="shared" si="3239"/>
        <v>368695.03244445327</v>
      </c>
      <c r="CM192" s="189">
        <f t="shared" si="3239"/>
        <v>371928.89597451565</v>
      </c>
      <c r="CN192" s="189">
        <f t="shared" si="3239"/>
        <v>375184.48868137435</v>
      </c>
      <c r="CO192" s="189">
        <f t="shared" si="3239"/>
        <v>378461.94295428315</v>
      </c>
      <c r="CP192" s="189">
        <f t="shared" si="3239"/>
        <v>381761.39195263718</v>
      </c>
      <c r="CQ192" s="189">
        <f t="shared" si="3239"/>
        <v>385082.96961034526</v>
      </c>
      <c r="CR192" s="189">
        <f t="shared" si="3239"/>
        <v>388426.81064022705</v>
      </c>
      <c r="CS192" s="189">
        <f t="shared" si="3239"/>
        <v>391793.0505384343</v>
      </c>
      <c r="CT192" s="189">
        <f t="shared" si="3239"/>
        <v>395181.82558889716</v>
      </c>
      <c r="CU192" s="189">
        <f t="shared" si="3239"/>
        <v>398593.27286779549</v>
      </c>
      <c r="CV192" s="189">
        <f t="shared" si="3239"/>
        <v>402027.53024805489</v>
      </c>
      <c r="CW192" s="189">
        <f t="shared" si="3239"/>
        <v>253414.0548201949</v>
      </c>
      <c r="CX192" s="189">
        <f t="shared" si="3239"/>
        <v>255641.33725594572</v>
      </c>
      <c r="CY192" s="189">
        <f t="shared" si="3239"/>
        <v>257883.59474405801</v>
      </c>
      <c r="CZ192" s="189">
        <f t="shared" si="3239"/>
        <v>260140.91854802726</v>
      </c>
      <c r="DA192" s="189">
        <f t="shared" si="3239"/>
        <v>262413.40046232549</v>
      </c>
      <c r="DB192" s="189">
        <f t="shared" si="3239"/>
        <v>264701.13281541626</v>
      </c>
      <c r="DC192" s="189">
        <f t="shared" si="3239"/>
        <v>267004.20847278601</v>
      </c>
      <c r="DD192" s="189">
        <f t="shared" si="3239"/>
        <v>269322.7208399931</v>
      </c>
      <c r="DE192" s="189">
        <f t="shared" si="3239"/>
        <v>271656.76386573323</v>
      </c>
      <c r="DF192" s="189">
        <f t="shared" si="3239"/>
        <v>274006.43204492255</v>
      </c>
      <c r="DG192" s="189">
        <f t="shared" si="3239"/>
        <v>276371.82042179769</v>
      </c>
      <c r="DH192" s="189">
        <f t="shared" si="3239"/>
        <v>278753.02459303336</v>
      </c>
      <c r="DI192" s="189">
        <f t="shared" si="3239"/>
        <v>131795.07381451185</v>
      </c>
      <c r="DJ192" s="189">
        <f t="shared" si="3239"/>
        <v>132953.43440044631</v>
      </c>
      <c r="DK192" s="189">
        <f t="shared" si="3239"/>
        <v>134119.58318160442</v>
      </c>
      <c r="DL192" s="189">
        <f t="shared" si="3239"/>
        <v>135293.56762212201</v>
      </c>
      <c r="DM192" s="189">
        <f t="shared" si="3239"/>
        <v>136475.43546228416</v>
      </c>
      <c r="DN192" s="189">
        <f t="shared" si="3239"/>
        <v>137665.23472009317</v>
      </c>
      <c r="DO192" s="189">
        <f t="shared" si="3239"/>
        <v>138863.01369284518</v>
      </c>
      <c r="DP192" s="189">
        <f t="shared" si="3239"/>
        <v>140068.82095871575</v>
      </c>
      <c r="DQ192" s="189">
        <f t="shared" si="3239"/>
        <v>141282.70537835432</v>
      </c>
      <c r="DR192" s="189">
        <f t="shared" si="3239"/>
        <v>142504.71609648751</v>
      </c>
      <c r="DS192" s="189">
        <f t="shared" si="3239"/>
        <v>143734.90254353141</v>
      </c>
      <c r="DT192" s="189">
        <f t="shared" si="3239"/>
        <v>144973.31443721309</v>
      </c>
      <c r="DU192" s="189">
        <f>IF(SUM(DU186:DU191)&lt;0.0000001,ROUND(SUM(DU186:DU191),9),SUM(DU186:DU191))</f>
        <v>0</v>
      </c>
      <c r="DV192" s="189">
        <f t="shared" si="3239"/>
        <v>0</v>
      </c>
      <c r="DW192" s="189">
        <f t="shared" si="3239"/>
        <v>0</v>
      </c>
      <c r="DX192" s="189">
        <f t="shared" si="3239"/>
        <v>0</v>
      </c>
      <c r="DY192" s="189">
        <f t="shared" si="3239"/>
        <v>0</v>
      </c>
      <c r="DZ192" s="189">
        <f t="shared" si="3239"/>
        <v>0</v>
      </c>
      <c r="EA192" s="189">
        <f t="shared" si="3239"/>
        <v>0</v>
      </c>
      <c r="EB192" s="189">
        <f t="shared" si="3239"/>
        <v>0</v>
      </c>
      <c r="EC192" s="189">
        <f t="shared" si="3239"/>
        <v>0</v>
      </c>
      <c r="ED192" s="189">
        <f t="shared" si="3239"/>
        <v>0</v>
      </c>
      <c r="EE192" s="189">
        <f t="shared" si="3239"/>
        <v>0</v>
      </c>
      <c r="EF192" s="189">
        <f t="shared" si="3239"/>
        <v>0</v>
      </c>
      <c r="EG192" s="189">
        <f t="shared" si="3239"/>
        <v>0</v>
      </c>
      <c r="EH192" s="189">
        <f t="shared" si="3239"/>
        <v>0</v>
      </c>
      <c r="EI192" s="189">
        <f t="shared" ref="EI192:EL192" si="3240">IF(SUM(EI186:EI191)&lt;0.0000000001,ROUND(SUM(EI186:EI191),9),SUM(EI186:EI191))</f>
        <v>0</v>
      </c>
      <c r="EJ192" s="189">
        <f t="shared" si="3240"/>
        <v>0</v>
      </c>
      <c r="EK192" s="189">
        <f t="shared" si="3240"/>
        <v>0</v>
      </c>
      <c r="EL192" s="189">
        <f t="shared" si="3240"/>
        <v>0</v>
      </c>
      <c r="EM192" s="189">
        <f>IF(SUM(EM186:EM191)&lt;0.0000000001,ROUND(SUM(EM186:EM191),9),SUM(EM186:EM191))</f>
        <v>0</v>
      </c>
      <c r="EN192" s="189">
        <f t="shared" ref="EN192:EU192" si="3241">IF(SUM(EN186:EN191)&lt;0.00000001,ROUND(SUM(EN186:EN191),7),SUM(EN186:EN191))</f>
        <v>0</v>
      </c>
      <c r="EO192" s="189">
        <f t="shared" si="3241"/>
        <v>0</v>
      </c>
      <c r="EP192" s="189">
        <f t="shared" si="3241"/>
        <v>0</v>
      </c>
      <c r="EQ192" s="189">
        <f t="shared" si="3241"/>
        <v>0</v>
      </c>
      <c r="ER192" s="189">
        <f t="shared" si="3241"/>
        <v>0</v>
      </c>
      <c r="ES192" s="189">
        <f t="shared" si="3241"/>
        <v>0</v>
      </c>
      <c r="ET192" s="189">
        <f t="shared" si="3241"/>
        <v>0</v>
      </c>
      <c r="EU192" s="189">
        <f t="shared" si="3241"/>
        <v>0</v>
      </c>
      <c r="EV192" s="189">
        <f t="shared" ref="EV192:FJ192" si="3242">IF(SUM(EV186:EV191)&lt;0.00000001,ROUND(SUM(EV186:EV191),7),SUM(EV186:EV191))</f>
        <v>0</v>
      </c>
      <c r="EW192" s="189">
        <f t="shared" si="3242"/>
        <v>0</v>
      </c>
      <c r="EX192" s="189">
        <f t="shared" si="3242"/>
        <v>0</v>
      </c>
      <c r="EY192" s="189">
        <f t="shared" si="3242"/>
        <v>0</v>
      </c>
      <c r="EZ192" s="189">
        <f t="shared" si="3242"/>
        <v>0</v>
      </c>
      <c r="FA192" s="189">
        <f t="shared" si="3242"/>
        <v>0</v>
      </c>
      <c r="FB192" s="189">
        <f t="shared" si="3242"/>
        <v>0</v>
      </c>
      <c r="FC192" s="189">
        <f t="shared" si="3242"/>
        <v>0</v>
      </c>
      <c r="FD192" s="189">
        <f t="shared" si="3242"/>
        <v>0</v>
      </c>
      <c r="FE192" s="189">
        <f t="shared" si="3242"/>
        <v>0</v>
      </c>
      <c r="FF192" s="189">
        <f t="shared" si="3242"/>
        <v>0</v>
      </c>
      <c r="FG192" s="189">
        <f t="shared" si="3242"/>
        <v>0</v>
      </c>
      <c r="FH192" s="189">
        <f t="shared" si="3242"/>
        <v>0</v>
      </c>
      <c r="FI192" s="189">
        <f t="shared" si="3242"/>
        <v>0</v>
      </c>
      <c r="FJ192" s="189">
        <f t="shared" si="3242"/>
        <v>0</v>
      </c>
      <c r="FK192" s="189">
        <f t="shared" ref="FK192:GQ192" si="3243">IF(SUM(FK186:FK191)&lt;0.0000000001,ROUND(SUM(FK186:FK191),9),SUM(FK186:FK191))</f>
        <v>0</v>
      </c>
      <c r="FL192" s="189">
        <f t="shared" si="3243"/>
        <v>0</v>
      </c>
      <c r="FM192" s="189">
        <f t="shared" si="3243"/>
        <v>0</v>
      </c>
      <c r="FN192" s="189">
        <f t="shared" si="3243"/>
        <v>0</v>
      </c>
      <c r="FO192" s="189">
        <f t="shared" si="3243"/>
        <v>0</v>
      </c>
      <c r="FP192" s="189">
        <f t="shared" si="3243"/>
        <v>0</v>
      </c>
      <c r="FQ192" s="189">
        <f t="shared" si="3243"/>
        <v>0</v>
      </c>
      <c r="FR192" s="189">
        <f t="shared" si="3243"/>
        <v>0</v>
      </c>
      <c r="FS192" s="189">
        <f t="shared" si="3243"/>
        <v>0</v>
      </c>
      <c r="FT192" s="189">
        <f t="shared" si="3243"/>
        <v>0</v>
      </c>
      <c r="FU192" s="189">
        <f t="shared" si="3243"/>
        <v>0</v>
      </c>
      <c r="FV192" s="189">
        <f t="shared" si="3243"/>
        <v>0</v>
      </c>
      <c r="FW192" s="189">
        <f t="shared" si="3243"/>
        <v>0</v>
      </c>
      <c r="FX192" s="189">
        <f t="shared" si="3243"/>
        <v>0</v>
      </c>
      <c r="FY192" s="189">
        <f t="shared" si="3243"/>
        <v>0</v>
      </c>
      <c r="FZ192" s="189">
        <f t="shared" si="3243"/>
        <v>0</v>
      </c>
      <c r="GA192" s="189">
        <f t="shared" si="3243"/>
        <v>0</v>
      </c>
      <c r="GB192" s="189">
        <f t="shared" si="3243"/>
        <v>0</v>
      </c>
      <c r="GC192" s="189">
        <f t="shared" si="3243"/>
        <v>0</v>
      </c>
      <c r="GD192" s="189">
        <f t="shared" si="3243"/>
        <v>0</v>
      </c>
      <c r="GE192" s="189">
        <f t="shared" si="3243"/>
        <v>0</v>
      </c>
      <c r="GF192" s="189">
        <f t="shared" si="3243"/>
        <v>0</v>
      </c>
      <c r="GG192" s="189">
        <f t="shared" si="3243"/>
        <v>0</v>
      </c>
      <c r="GH192" s="189">
        <f t="shared" si="3243"/>
        <v>0</v>
      </c>
      <c r="GI192" s="189">
        <f t="shared" si="3243"/>
        <v>0</v>
      </c>
      <c r="GJ192" s="189">
        <f t="shared" si="3243"/>
        <v>0</v>
      </c>
      <c r="GK192" s="189">
        <f t="shared" si="3243"/>
        <v>0</v>
      </c>
      <c r="GL192" s="189">
        <f t="shared" si="3243"/>
        <v>0</v>
      </c>
      <c r="GM192" s="189">
        <f t="shared" si="3243"/>
        <v>0</v>
      </c>
      <c r="GN192" s="189">
        <f t="shared" si="3243"/>
        <v>0</v>
      </c>
      <c r="GO192" s="189">
        <f t="shared" si="3243"/>
        <v>0</v>
      </c>
      <c r="GP192" s="189">
        <f t="shared" si="3243"/>
        <v>0</v>
      </c>
      <c r="GQ192" s="189">
        <f t="shared" si="3243"/>
        <v>0</v>
      </c>
    </row>
    <row r="193" spans="2:199" s="315" customFormat="1" outlineLevel="1">
      <c r="B193" s="196" t="s">
        <v>396</v>
      </c>
      <c r="C193" s="197"/>
      <c r="D193" s="198"/>
      <c r="E193" s="210">
        <f>(E189+D193+E190)*IF(AND(E172=$C177,$C183),0,1)</f>
        <v>1467.8703092613837</v>
      </c>
      <c r="F193" s="210">
        <f t="shared" ref="F193:BQ193" si="3244">(F189+E193+F190)*IF(AND(F172=$C177,$C183),0,1)</f>
        <v>2943.8100404423135</v>
      </c>
      <c r="G193" s="210">
        <f t="shared" si="3244"/>
        <v>4430.9460817666741</v>
      </c>
      <c r="H193" s="210">
        <f t="shared" si="3244"/>
        <v>5932.8767435779428</v>
      </c>
      <c r="I193" s="210">
        <f t="shared" si="3244"/>
        <v>7451.190716255408</v>
      </c>
      <c r="J193" s="210">
        <f t="shared" si="3244"/>
        <v>8987.9541698324701</v>
      </c>
      <c r="K193" s="210">
        <f t="shared" si="3244"/>
        <v>10542.140585370898</v>
      </c>
      <c r="L193" s="210">
        <f t="shared" si="3244"/>
        <v>12114.983031102234</v>
      </c>
      <c r="M193" s="210">
        <f t="shared" si="3244"/>
        <v>13707.682143496053</v>
      </c>
      <c r="N193" s="210">
        <f t="shared" si="3244"/>
        <v>15316.034873250408</v>
      </c>
      <c r="O193" s="210">
        <f t="shared" si="3244"/>
        <v>16938.870735732915</v>
      </c>
      <c r="P193" s="210">
        <f t="shared" si="3244"/>
        <v>18578.936567847461</v>
      </c>
      <c r="Q193" s="210">
        <f t="shared" si="3244"/>
        <v>0</v>
      </c>
      <c r="R193" s="210">
        <f t="shared" si="3244"/>
        <v>1550.9092383563734</v>
      </c>
      <c r="S193" s="210">
        <f t="shared" si="3244"/>
        <v>3114.2526853883264</v>
      </c>
      <c r="T193" s="210">
        <f t="shared" si="3244"/>
        <v>4694.5864198847103</v>
      </c>
      <c r="U193" s="210">
        <f t="shared" si="3244"/>
        <v>6293.9250384248762</v>
      </c>
      <c r="V193" s="210">
        <f t="shared" si="3244"/>
        <v>7913.3222886368285</v>
      </c>
      <c r="W193" s="210">
        <f t="shared" si="3244"/>
        <v>9553.032500069603</v>
      </c>
      <c r="X193" s="210">
        <f t="shared" si="3244"/>
        <v>11207.622559776419</v>
      </c>
      <c r="Y193" s="210">
        <f t="shared" si="3244"/>
        <v>12877.195823292908</v>
      </c>
      <c r="Z193" s="210">
        <f t="shared" si="3244"/>
        <v>14561.856293550551</v>
      </c>
      <c r="AA193" s="210">
        <f t="shared" si="3244"/>
        <v>16261.708624726738</v>
      </c>
      <c r="AB193" s="210">
        <f t="shared" si="3244"/>
        <v>17976.858126117073</v>
      </c>
      <c r="AC193" s="210">
        <f t="shared" si="3244"/>
        <v>0</v>
      </c>
      <c r="AD193" s="210">
        <f t="shared" si="3244"/>
        <v>1637.7235384471267</v>
      </c>
      <c r="AE193" s="210">
        <f t="shared" si="3244"/>
        <v>3290.4685662191878</v>
      </c>
      <c r="AF193" s="210">
        <f t="shared" si="3244"/>
        <v>4958.3397781428539</v>
      </c>
      <c r="AG193" s="210">
        <f t="shared" si="3244"/>
        <v>6641.4425258634565</v>
      </c>
      <c r="AH193" s="210">
        <f t="shared" si="3244"/>
        <v>8339.8828217544251</v>
      </c>
      <c r="AI193" s="210">
        <f t="shared" si="3244"/>
        <v>10053.767342849307</v>
      </c>
      <c r="AJ193" s="210">
        <f t="shared" si="3244"/>
        <v>11783.203434796515</v>
      </c>
      <c r="AK193" s="210">
        <f t="shared" si="3244"/>
        <v>13528.299115836908</v>
      </c>
      <c r="AL193" s="210">
        <f t="shared" si="3244"/>
        <v>15289.163080804363</v>
      </c>
      <c r="AM193" s="210">
        <f t="shared" si="3244"/>
        <v>17065.904705149438</v>
      </c>
      <c r="AN193" s="210">
        <f t="shared" si="3244"/>
        <v>18858.634048986285</v>
      </c>
      <c r="AO193" s="210">
        <f t="shared" si="3244"/>
        <v>0</v>
      </c>
      <c r="AP193" s="210">
        <f t="shared" si="3244"/>
        <v>1711.4210976772483</v>
      </c>
      <c r="AQ193" s="210">
        <f t="shared" si="3244"/>
        <v>3438.5396516990531</v>
      </c>
      <c r="AR193" s="210">
        <f t="shared" si="3244"/>
        <v>5181.4650681592857</v>
      </c>
      <c r="AS193" s="210">
        <f t="shared" si="3244"/>
        <v>6940.3074395273179</v>
      </c>
      <c r="AT193" s="210">
        <f t="shared" si="3244"/>
        <v>8715.1775487333816</v>
      </c>
      <c r="AU193" s="210">
        <f t="shared" si="3244"/>
        <v>10506.186873277535</v>
      </c>
      <c r="AV193" s="210">
        <f t="shared" si="3244"/>
        <v>12313.447589362368</v>
      </c>
      <c r="AW193" s="210">
        <f t="shared" si="3244"/>
        <v>14137.072576049581</v>
      </c>
      <c r="AX193" s="210">
        <f t="shared" si="3244"/>
        <v>15977.175419440573</v>
      </c>
      <c r="AY193" s="210">
        <f t="shared" si="3244"/>
        <v>17833.870416881178</v>
      </c>
      <c r="AZ193" s="210">
        <f t="shared" si="3244"/>
        <v>19707.272581190686</v>
      </c>
      <c r="BA193" s="210">
        <f t="shared" si="3244"/>
        <v>0</v>
      </c>
      <c r="BB193" s="210">
        <f t="shared" si="3244"/>
        <v>1788.4350470727275</v>
      </c>
      <c r="BC193" s="210">
        <f t="shared" si="3244"/>
        <v>3593.2739360255164</v>
      </c>
      <c r="BD193" s="210">
        <f t="shared" si="3244"/>
        <v>5414.6309962264613</v>
      </c>
      <c r="BE193" s="210">
        <f t="shared" si="3244"/>
        <v>7252.6212743060569</v>
      </c>
      <c r="BF193" s="210">
        <f t="shared" si="3244"/>
        <v>9107.3605384263956</v>
      </c>
      <c r="BG193" s="210">
        <f t="shared" si="3244"/>
        <v>10978.965282575038</v>
      </c>
      <c r="BH193" s="210">
        <f t="shared" si="3244"/>
        <v>12866.822167237122</v>
      </c>
      <c r="BI193" s="210">
        <f t="shared" si="3244"/>
        <v>14771.040058498151</v>
      </c>
      <c r="BJ193" s="210">
        <f t="shared" si="3244"/>
        <v>16691.72848483075</v>
      </c>
      <c r="BK193" s="210">
        <f t="shared" si="3244"/>
        <v>18628.997640945279</v>
      </c>
      <c r="BL193" s="210">
        <f t="shared" si="3244"/>
        <v>20582.958391662291</v>
      </c>
      <c r="BM193" s="210">
        <f t="shared" si="3244"/>
        <v>0</v>
      </c>
      <c r="BN193" s="210">
        <f t="shared" si="3244"/>
        <v>1863.693143891328</v>
      </c>
      <c r="BO193" s="210">
        <f t="shared" si="3244"/>
        <v>3743.7329395107763</v>
      </c>
      <c r="BP193" s="210">
        <f t="shared" si="3244"/>
        <v>5640.2292242964822</v>
      </c>
      <c r="BQ193" s="210">
        <f t="shared" si="3244"/>
        <v>7553.2925048926281</v>
      </c>
      <c r="BR193" s="210">
        <f t="shared" ref="BR193:EC193" si="3245">(BR189+BQ193+BR190)*IF(AND(BR172=$C177,$C183),0,1)</f>
        <v>9483.0339610423816</v>
      </c>
      <c r="BS193" s="210">
        <f t="shared" si="3245"/>
        <v>11429.565449502934</v>
      </c>
      <c r="BT193" s="210">
        <f t="shared" si="3245"/>
        <v>13392.999507982766</v>
      </c>
      <c r="BU193" s="210">
        <f t="shared" si="3245"/>
        <v>15373.449359101267</v>
      </c>
      <c r="BV193" s="210">
        <f t="shared" si="3245"/>
        <v>17371.028914370825</v>
      </c>
      <c r="BW193" s="210">
        <f t="shared" si="3245"/>
        <v>19385.852778201515</v>
      </c>
      <c r="BX193" s="210">
        <f t="shared" si="3245"/>
        <v>21418.03625192853</v>
      </c>
      <c r="BY193" s="210">
        <f t="shared" si="3245"/>
        <v>0</v>
      </c>
      <c r="BZ193" s="210">
        <f t="shared" si="3245"/>
        <v>1938.2408696469822</v>
      </c>
      <c r="CA193" s="210">
        <f t="shared" si="3245"/>
        <v>3893.4822570912097</v>
      </c>
      <c r="CB193" s="210">
        <f t="shared" si="3245"/>
        <v>5865.8383932683455</v>
      </c>
      <c r="CC193" s="210">
        <f t="shared" si="3245"/>
        <v>7855.4242050883395</v>
      </c>
      <c r="CD193" s="210">
        <f t="shared" si="3245"/>
        <v>9862.3553194840842</v>
      </c>
      <c r="CE193" s="210">
        <f t="shared" si="3245"/>
        <v>11886.74806748306</v>
      </c>
      <c r="CF193" s="210">
        <f t="shared" si="3245"/>
        <v>13928.719488302087</v>
      </c>
      <c r="CG193" s="210">
        <f t="shared" si="3245"/>
        <v>15988.387333465331</v>
      </c>
      <c r="CH193" s="210">
        <f t="shared" si="3245"/>
        <v>18065.870070945672</v>
      </c>
      <c r="CI193" s="210">
        <f t="shared" si="3245"/>
        <v>20161.286889329593</v>
      </c>
      <c r="CJ193" s="210">
        <f t="shared" si="3245"/>
        <v>22274.757702005689</v>
      </c>
      <c r="CK193" s="210">
        <f t="shared" si="3245"/>
        <v>0</v>
      </c>
      <c r="CL193" s="210">
        <f t="shared" si="3245"/>
        <v>2015.7705044328634</v>
      </c>
      <c r="CM193" s="210">
        <f t="shared" si="3245"/>
        <v>4049.2215473748615</v>
      </c>
      <c r="CN193" s="210">
        <f t="shared" si="3245"/>
        <v>6100.4719289990844</v>
      </c>
      <c r="CO193" s="210">
        <f t="shared" si="3245"/>
        <v>8169.6411732918796</v>
      </c>
      <c r="CP193" s="210">
        <f t="shared" si="3245"/>
        <v>10256.849532263455</v>
      </c>
      <c r="CQ193" s="210">
        <f t="shared" si="3245"/>
        <v>12362.217990182391</v>
      </c>
      <c r="CR193" s="210">
        <f t="shared" si="3245"/>
        <v>14485.868267834181</v>
      </c>
      <c r="CS193" s="210">
        <f t="shared" si="3245"/>
        <v>16627.922826803955</v>
      </c>
      <c r="CT193" s="210">
        <f t="shared" si="3245"/>
        <v>18788.504873783513</v>
      </c>
      <c r="CU193" s="210">
        <f t="shared" si="3245"/>
        <v>20967.738364902794</v>
      </c>
      <c r="CV193" s="210">
        <f t="shared" si="3245"/>
        <v>23165.748010085936</v>
      </c>
      <c r="CW193" s="210">
        <f t="shared" si="3245"/>
        <v>0</v>
      </c>
      <c r="CX193" s="210">
        <f t="shared" si="3245"/>
        <v>1397.6707631176057</v>
      </c>
      <c r="CY193" s="210">
        <f t="shared" si="3245"/>
        <v>2807.6006458602133</v>
      </c>
      <c r="CZ193" s="210">
        <f t="shared" si="3245"/>
        <v>4229.8720204662377</v>
      </c>
      <c r="DA193" s="210">
        <f t="shared" si="3245"/>
        <v>5664.5677610430448</v>
      </c>
      <c r="DB193" s="210">
        <f t="shared" si="3245"/>
        <v>7111.7712464864489</v>
      </c>
      <c r="DC193" s="210">
        <f t="shared" si="3245"/>
        <v>8571.5663634167868</v>
      </c>
      <c r="DD193" s="210">
        <f t="shared" si="3245"/>
        <v>10044.037509131653</v>
      </c>
      <c r="DE193" s="210">
        <f t="shared" si="3245"/>
        <v>11529.269594575408</v>
      </c>
      <c r="DF193" s="210">
        <f t="shared" si="3245"/>
        <v>13027.348047325529</v>
      </c>
      <c r="DG193" s="210">
        <f t="shared" si="3245"/>
        <v>14538.358814595922</v>
      </c>
      <c r="DH193" s="210">
        <f t="shared" si="3245"/>
        <v>16062.388366257266</v>
      </c>
      <c r="DI193" s="210">
        <f t="shared" si="3245"/>
        <v>0</v>
      </c>
      <c r="DJ193" s="210">
        <f t="shared" si="3245"/>
        <v>726.89780969003436</v>
      </c>
      <c r="DK193" s="210">
        <f t="shared" si="3245"/>
        <v>1460.1713177485922</v>
      </c>
      <c r="DL193" s="210">
        <f t="shared" si="3245"/>
        <v>2199.8633641643628</v>
      </c>
      <c r="DM193" s="210">
        <f t="shared" si="3245"/>
        <v>2946.0170499370333</v>
      </c>
      <c r="DN193" s="210">
        <f t="shared" si="3245"/>
        <v>3698.6757385956566</v>
      </c>
      <c r="DO193" s="210">
        <f t="shared" si="3245"/>
        <v>4457.8830577256358</v>
      </c>
      <c r="DP193" s="210">
        <f t="shared" si="3245"/>
        <v>5223.6829005043819</v>
      </c>
      <c r="DQ193" s="210">
        <f t="shared" si="3245"/>
        <v>5996.1194272456833</v>
      </c>
      <c r="DR193" s="210">
        <f t="shared" si="3245"/>
        <v>6775.2370669528473</v>
      </c>
      <c r="DS193" s="210">
        <f t="shared" si="3245"/>
        <v>7561.0805188806507</v>
      </c>
      <c r="DT193" s="210">
        <f t="shared" si="3245"/>
        <v>8353.6947541061618</v>
      </c>
      <c r="DU193" s="210">
        <f t="shared" si="3245"/>
        <v>0</v>
      </c>
      <c r="DV193" s="210">
        <f t="shared" si="3245"/>
        <v>0</v>
      </c>
      <c r="DW193" s="210">
        <f t="shared" si="3245"/>
        <v>0</v>
      </c>
      <c r="DX193" s="210">
        <f t="shared" si="3245"/>
        <v>0</v>
      </c>
      <c r="DY193" s="210">
        <f t="shared" si="3245"/>
        <v>0</v>
      </c>
      <c r="DZ193" s="210">
        <f t="shared" si="3245"/>
        <v>0</v>
      </c>
      <c r="EA193" s="210">
        <f t="shared" si="3245"/>
        <v>0</v>
      </c>
      <c r="EB193" s="210">
        <f t="shared" si="3245"/>
        <v>0</v>
      </c>
      <c r="EC193" s="210">
        <f t="shared" si="3245"/>
        <v>0</v>
      </c>
      <c r="ED193" s="210">
        <f t="shared" ref="ED193:GO193" si="3246">(ED189+EC193+ED190)*IF(AND(ED172=$C177,$C183),0,1)</f>
        <v>0</v>
      </c>
      <c r="EE193" s="210">
        <f t="shared" si="3246"/>
        <v>0</v>
      </c>
      <c r="EF193" s="210">
        <f t="shared" si="3246"/>
        <v>0</v>
      </c>
      <c r="EG193" s="210">
        <f t="shared" si="3246"/>
        <v>0</v>
      </c>
      <c r="EH193" s="210">
        <f t="shared" si="3246"/>
        <v>0</v>
      </c>
      <c r="EI193" s="210">
        <f t="shared" si="3246"/>
        <v>0</v>
      </c>
      <c r="EJ193" s="210">
        <f t="shared" si="3246"/>
        <v>0</v>
      </c>
      <c r="EK193" s="210">
        <f t="shared" si="3246"/>
        <v>0</v>
      </c>
      <c r="EL193" s="210">
        <f t="shared" si="3246"/>
        <v>0</v>
      </c>
      <c r="EM193" s="210">
        <f t="shared" si="3246"/>
        <v>0</v>
      </c>
      <c r="EN193" s="210">
        <f t="shared" si="3246"/>
        <v>0</v>
      </c>
      <c r="EO193" s="210">
        <f t="shared" si="3246"/>
        <v>0</v>
      </c>
      <c r="EP193" s="210">
        <f t="shared" si="3246"/>
        <v>0</v>
      </c>
      <c r="EQ193" s="210">
        <f t="shared" si="3246"/>
        <v>0</v>
      </c>
      <c r="ER193" s="210">
        <f t="shared" si="3246"/>
        <v>0</v>
      </c>
      <c r="ES193" s="210">
        <f t="shared" si="3246"/>
        <v>0</v>
      </c>
      <c r="ET193" s="210">
        <f t="shared" si="3246"/>
        <v>0</v>
      </c>
      <c r="EU193" s="210">
        <f t="shared" si="3246"/>
        <v>0</v>
      </c>
      <c r="EV193" s="210">
        <f t="shared" si="3246"/>
        <v>0</v>
      </c>
      <c r="EW193" s="210">
        <f t="shared" si="3246"/>
        <v>0</v>
      </c>
      <c r="EX193" s="210">
        <f t="shared" si="3246"/>
        <v>0</v>
      </c>
      <c r="EY193" s="210">
        <f t="shared" si="3246"/>
        <v>0</v>
      </c>
      <c r="EZ193" s="210">
        <f t="shared" si="3246"/>
        <v>0</v>
      </c>
      <c r="FA193" s="210">
        <f t="shared" si="3246"/>
        <v>0</v>
      </c>
      <c r="FB193" s="210">
        <f t="shared" si="3246"/>
        <v>0</v>
      </c>
      <c r="FC193" s="210">
        <f t="shared" si="3246"/>
        <v>0</v>
      </c>
      <c r="FD193" s="210">
        <f t="shared" si="3246"/>
        <v>0</v>
      </c>
      <c r="FE193" s="210">
        <f t="shared" si="3246"/>
        <v>0</v>
      </c>
      <c r="FF193" s="210">
        <f t="shared" si="3246"/>
        <v>0</v>
      </c>
      <c r="FG193" s="210">
        <f t="shared" si="3246"/>
        <v>0</v>
      </c>
      <c r="FH193" s="210">
        <f t="shared" si="3246"/>
        <v>0</v>
      </c>
      <c r="FI193" s="210">
        <f t="shared" si="3246"/>
        <v>0</v>
      </c>
      <c r="FJ193" s="210">
        <f t="shared" si="3246"/>
        <v>0</v>
      </c>
      <c r="FK193" s="210">
        <f t="shared" si="3246"/>
        <v>0</v>
      </c>
      <c r="FL193" s="210">
        <f t="shared" si="3246"/>
        <v>0</v>
      </c>
      <c r="FM193" s="210">
        <f t="shared" si="3246"/>
        <v>0</v>
      </c>
      <c r="FN193" s="210">
        <f t="shared" si="3246"/>
        <v>0</v>
      </c>
      <c r="FO193" s="210">
        <f t="shared" si="3246"/>
        <v>0</v>
      </c>
      <c r="FP193" s="210">
        <f t="shared" si="3246"/>
        <v>0</v>
      </c>
      <c r="FQ193" s="210">
        <f t="shared" si="3246"/>
        <v>0</v>
      </c>
      <c r="FR193" s="210">
        <f t="shared" si="3246"/>
        <v>0</v>
      </c>
      <c r="FS193" s="210">
        <f t="shared" si="3246"/>
        <v>0</v>
      </c>
      <c r="FT193" s="210">
        <f t="shared" si="3246"/>
        <v>0</v>
      </c>
      <c r="FU193" s="210">
        <f t="shared" si="3246"/>
        <v>0</v>
      </c>
      <c r="FV193" s="210">
        <f t="shared" si="3246"/>
        <v>0</v>
      </c>
      <c r="FW193" s="210">
        <f t="shared" si="3246"/>
        <v>0</v>
      </c>
      <c r="FX193" s="210">
        <f t="shared" si="3246"/>
        <v>0</v>
      </c>
      <c r="FY193" s="210">
        <f t="shared" si="3246"/>
        <v>0</v>
      </c>
      <c r="FZ193" s="210">
        <f t="shared" si="3246"/>
        <v>0</v>
      </c>
      <c r="GA193" s="210">
        <f t="shared" si="3246"/>
        <v>0</v>
      </c>
      <c r="GB193" s="210">
        <f t="shared" si="3246"/>
        <v>0</v>
      </c>
      <c r="GC193" s="210">
        <f t="shared" si="3246"/>
        <v>0</v>
      </c>
      <c r="GD193" s="210">
        <f t="shared" si="3246"/>
        <v>0</v>
      </c>
      <c r="GE193" s="210">
        <f t="shared" si="3246"/>
        <v>0</v>
      </c>
      <c r="GF193" s="210">
        <f t="shared" si="3246"/>
        <v>0</v>
      </c>
      <c r="GG193" s="210">
        <f t="shared" si="3246"/>
        <v>0</v>
      </c>
      <c r="GH193" s="210">
        <f t="shared" si="3246"/>
        <v>0</v>
      </c>
      <c r="GI193" s="210">
        <f t="shared" si="3246"/>
        <v>0</v>
      </c>
      <c r="GJ193" s="210">
        <f t="shared" si="3246"/>
        <v>0</v>
      </c>
      <c r="GK193" s="210">
        <f t="shared" si="3246"/>
        <v>0</v>
      </c>
      <c r="GL193" s="210">
        <f t="shared" si="3246"/>
        <v>0</v>
      </c>
      <c r="GM193" s="210">
        <f t="shared" si="3246"/>
        <v>0</v>
      </c>
      <c r="GN193" s="210">
        <f t="shared" si="3246"/>
        <v>0</v>
      </c>
      <c r="GO193" s="210">
        <f t="shared" si="3246"/>
        <v>0</v>
      </c>
      <c r="GP193" s="210">
        <f t="shared" ref="GP193:GQ193" si="3247">(GP189+GO193+GP190)*IF(AND(GP172=$C177,$C183),0,1)</f>
        <v>0</v>
      </c>
      <c r="GQ193" s="210">
        <f t="shared" si="3247"/>
        <v>0</v>
      </c>
    </row>
    <row r="194" spans="2:199" s="315" customFormat="1" outlineLevel="1">
      <c r="B194" s="183"/>
      <c r="C194" s="169"/>
      <c r="D194" s="171"/>
      <c r="E194" s="17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  <c r="Z194" s="211"/>
      <c r="AA194" s="211"/>
      <c r="AB194" s="211"/>
      <c r="AC194" s="211"/>
      <c r="AD194" s="211"/>
      <c r="AE194" s="211"/>
      <c r="AF194" s="211"/>
      <c r="AG194" s="211"/>
      <c r="AH194" s="211"/>
      <c r="AI194" s="211"/>
      <c r="AJ194" s="211"/>
      <c r="AK194" s="211"/>
      <c r="AL194" s="211"/>
      <c r="AM194" s="211"/>
      <c r="AN194" s="211"/>
      <c r="AO194" s="211"/>
      <c r="AP194" s="211"/>
      <c r="AQ194" s="211"/>
      <c r="AR194" s="211"/>
      <c r="AS194" s="211"/>
      <c r="AT194" s="211"/>
      <c r="AU194" s="211"/>
      <c r="AV194" s="211"/>
      <c r="AW194" s="211"/>
      <c r="AX194" s="211"/>
      <c r="AY194" s="211"/>
      <c r="AZ194" s="211"/>
      <c r="BA194" s="211"/>
      <c r="BB194" s="211"/>
      <c r="BC194" s="211"/>
      <c r="BD194" s="211"/>
      <c r="BE194" s="211"/>
      <c r="BF194" s="211"/>
      <c r="BG194" s="211"/>
      <c r="BH194" s="211"/>
      <c r="BI194" s="211"/>
      <c r="BJ194" s="211"/>
      <c r="BK194" s="211"/>
      <c r="BL194" s="211"/>
      <c r="BM194" s="211"/>
      <c r="BN194" s="211"/>
      <c r="BO194" s="211"/>
      <c r="BP194" s="211"/>
      <c r="BQ194" s="211"/>
      <c r="BR194" s="211"/>
      <c r="BS194" s="211"/>
      <c r="BT194" s="211"/>
      <c r="BU194" s="211"/>
      <c r="BV194" s="211"/>
      <c r="BW194" s="211"/>
      <c r="BX194" s="211"/>
      <c r="BY194" s="211"/>
      <c r="BZ194" s="211"/>
      <c r="CA194" s="211"/>
      <c r="CB194" s="211"/>
      <c r="CC194" s="211"/>
      <c r="CD194" s="211"/>
      <c r="CE194" s="211"/>
      <c r="CF194" s="211"/>
      <c r="CG194" s="211"/>
      <c r="CH194" s="211"/>
      <c r="CI194" s="211"/>
      <c r="CJ194" s="211"/>
      <c r="CK194" s="211"/>
      <c r="CL194" s="211"/>
      <c r="CM194" s="211"/>
      <c r="CN194" s="211"/>
      <c r="CO194" s="211"/>
      <c r="CP194" s="211"/>
      <c r="CQ194" s="211"/>
      <c r="CR194" s="211"/>
      <c r="CS194" s="211"/>
      <c r="CT194" s="211"/>
      <c r="CU194" s="211"/>
      <c r="CV194" s="211"/>
      <c r="CW194" s="211"/>
      <c r="CX194" s="211"/>
      <c r="CY194" s="211"/>
      <c r="CZ194" s="211"/>
      <c r="DA194" s="211"/>
      <c r="DB194" s="211"/>
      <c r="DC194" s="211"/>
      <c r="DD194" s="211"/>
      <c r="DE194" s="211"/>
      <c r="DF194" s="211"/>
      <c r="DG194" s="211"/>
      <c r="DH194" s="211"/>
      <c r="DI194" s="211"/>
      <c r="DJ194" s="211"/>
      <c r="DK194" s="211"/>
      <c r="DL194" s="211"/>
      <c r="DM194" s="211"/>
      <c r="DN194" s="211"/>
      <c r="DO194" s="211"/>
      <c r="DP194" s="211"/>
      <c r="DQ194" s="211"/>
      <c r="DR194" s="211"/>
      <c r="DS194" s="211"/>
      <c r="DT194" s="211"/>
      <c r="DU194" s="211"/>
      <c r="DV194" s="211"/>
      <c r="DW194" s="211"/>
      <c r="DX194" s="211"/>
      <c r="DY194" s="211"/>
      <c r="DZ194" s="211"/>
      <c r="EA194" s="211"/>
      <c r="EB194" s="211"/>
      <c r="EC194" s="211"/>
      <c r="ED194" s="211"/>
      <c r="EE194" s="211"/>
      <c r="EF194" s="211"/>
      <c r="EG194" s="211"/>
      <c r="EH194" s="211"/>
      <c r="EI194" s="211"/>
      <c r="EJ194" s="211"/>
      <c r="EK194" s="211"/>
      <c r="EL194" s="211"/>
      <c r="EM194" s="211"/>
      <c r="EN194" s="211"/>
      <c r="EO194" s="211"/>
      <c r="EP194" s="211"/>
      <c r="EQ194" s="211"/>
      <c r="ER194" s="211"/>
      <c r="ES194" s="211"/>
      <c r="ET194" s="211"/>
      <c r="EU194" s="211"/>
      <c r="EV194" s="211"/>
      <c r="EW194" s="211"/>
      <c r="EX194" s="211"/>
      <c r="EY194" s="211"/>
      <c r="EZ194" s="211"/>
      <c r="FA194" s="211"/>
      <c r="FB194" s="211"/>
      <c r="FC194" s="211"/>
      <c r="FD194" s="211"/>
      <c r="FE194" s="211"/>
      <c r="FF194" s="211"/>
      <c r="FG194" s="211"/>
      <c r="FH194" s="211"/>
      <c r="FI194" s="211"/>
      <c r="FJ194" s="211"/>
      <c r="FK194" s="211"/>
      <c r="FL194" s="211"/>
      <c r="FM194" s="211"/>
      <c r="FN194" s="211"/>
      <c r="FO194" s="211"/>
      <c r="FP194" s="211"/>
      <c r="FQ194" s="211"/>
      <c r="FR194" s="211"/>
      <c r="FS194" s="211"/>
      <c r="FT194" s="211"/>
      <c r="FU194" s="211"/>
      <c r="FV194" s="211"/>
      <c r="FW194" s="211"/>
      <c r="FX194" s="211"/>
      <c r="FY194" s="211"/>
      <c r="FZ194" s="211"/>
      <c r="GA194" s="211"/>
      <c r="GB194" s="211"/>
      <c r="GC194" s="211"/>
      <c r="GD194" s="211"/>
      <c r="GE194" s="211"/>
      <c r="GF194" s="211"/>
      <c r="GG194" s="211"/>
      <c r="GH194" s="211"/>
      <c r="GI194" s="211"/>
      <c r="GJ194" s="211"/>
      <c r="GK194" s="211"/>
      <c r="GL194" s="211"/>
      <c r="GM194" s="211"/>
      <c r="GN194" s="211"/>
      <c r="GO194" s="211"/>
      <c r="GP194" s="211"/>
      <c r="GQ194" s="211"/>
    </row>
    <row r="195" spans="2:199" s="315" customFormat="1" outlineLevel="1">
      <c r="B195" s="182" t="s">
        <v>397</v>
      </c>
      <c r="C195" s="158"/>
      <c r="D195" s="171"/>
      <c r="E195" s="172">
        <f t="shared" ref="E195:BP195" si="3248">E191+E190</f>
        <v>0</v>
      </c>
      <c r="F195" s="212">
        <f t="shared" si="3248"/>
        <v>0</v>
      </c>
      <c r="G195" s="212">
        <f t="shared" si="3248"/>
        <v>0</v>
      </c>
      <c r="H195" s="212">
        <f t="shared" si="3248"/>
        <v>0</v>
      </c>
      <c r="I195" s="212">
        <f t="shared" si="3248"/>
        <v>0</v>
      </c>
      <c r="J195" s="212">
        <f t="shared" si="3248"/>
        <v>0</v>
      </c>
      <c r="K195" s="212">
        <f t="shared" si="3248"/>
        <v>0</v>
      </c>
      <c r="L195" s="212">
        <f t="shared" si="3248"/>
        <v>0</v>
      </c>
      <c r="M195" s="212">
        <f t="shared" si="3248"/>
        <v>0</v>
      </c>
      <c r="N195" s="212">
        <f t="shared" si="3248"/>
        <v>0</v>
      </c>
      <c r="O195" s="212">
        <f t="shared" si="3248"/>
        <v>0</v>
      </c>
      <c r="P195" s="212">
        <f t="shared" si="3248"/>
        <v>0</v>
      </c>
      <c r="Q195" s="212">
        <f t="shared" si="3248"/>
        <v>-20230.431680641723</v>
      </c>
      <c r="R195" s="212">
        <f t="shared" si="3248"/>
        <v>0</v>
      </c>
      <c r="S195" s="212">
        <f t="shared" si="3248"/>
        <v>0</v>
      </c>
      <c r="T195" s="212">
        <f t="shared" si="3248"/>
        <v>0</v>
      </c>
      <c r="U195" s="212">
        <f t="shared" si="3248"/>
        <v>0</v>
      </c>
      <c r="V195" s="212">
        <f t="shared" si="3248"/>
        <v>0</v>
      </c>
      <c r="W195" s="212">
        <f t="shared" si="3248"/>
        <v>0</v>
      </c>
      <c r="X195" s="212">
        <f t="shared" si="3248"/>
        <v>0</v>
      </c>
      <c r="Y195" s="212">
        <f t="shared" si="3248"/>
        <v>0</v>
      </c>
      <c r="Z195" s="212">
        <f t="shared" si="3248"/>
        <v>0</v>
      </c>
      <c r="AA195" s="212">
        <f t="shared" si="3248"/>
        <v>0</v>
      </c>
      <c r="AB195" s="212">
        <f t="shared" si="3248"/>
        <v>0</v>
      </c>
      <c r="AC195" s="212">
        <f t="shared" si="3248"/>
        <v>-19707.410766030025</v>
      </c>
      <c r="AD195" s="212">
        <f t="shared" si="3248"/>
        <v>0</v>
      </c>
      <c r="AE195" s="212">
        <f t="shared" si="3248"/>
        <v>0</v>
      </c>
      <c r="AF195" s="212">
        <f t="shared" si="3248"/>
        <v>0</v>
      </c>
      <c r="AG195" s="212">
        <f t="shared" si="3248"/>
        <v>0</v>
      </c>
      <c r="AH195" s="212">
        <f t="shared" si="3248"/>
        <v>0</v>
      </c>
      <c r="AI195" s="212">
        <f t="shared" si="3248"/>
        <v>0</v>
      </c>
      <c r="AJ195" s="212">
        <f t="shared" si="3248"/>
        <v>0</v>
      </c>
      <c r="AK195" s="212">
        <f t="shared" si="3248"/>
        <v>0</v>
      </c>
      <c r="AL195" s="212">
        <f t="shared" si="3248"/>
        <v>0</v>
      </c>
      <c r="AM195" s="212">
        <f t="shared" si="3248"/>
        <v>0</v>
      </c>
      <c r="AN195" s="212">
        <f t="shared" si="3248"/>
        <v>0</v>
      </c>
      <c r="AO195" s="212">
        <f t="shared" si="3248"/>
        <v>-20667.461861162927</v>
      </c>
      <c r="AP195" s="212">
        <f t="shared" si="3248"/>
        <v>0</v>
      </c>
      <c r="AQ195" s="212">
        <f t="shared" si="3248"/>
        <v>0</v>
      </c>
      <c r="AR195" s="212">
        <f t="shared" si="3248"/>
        <v>0</v>
      </c>
      <c r="AS195" s="212">
        <f t="shared" si="3248"/>
        <v>0</v>
      </c>
      <c r="AT195" s="212">
        <f t="shared" si="3248"/>
        <v>0</v>
      </c>
      <c r="AU195" s="212">
        <f t="shared" si="3248"/>
        <v>0</v>
      </c>
      <c r="AV195" s="212">
        <f t="shared" si="3248"/>
        <v>0</v>
      </c>
      <c r="AW195" s="212">
        <f t="shared" si="3248"/>
        <v>0</v>
      </c>
      <c r="AX195" s="212">
        <f t="shared" si="3248"/>
        <v>0</v>
      </c>
      <c r="AY195" s="212">
        <f t="shared" si="3248"/>
        <v>0</v>
      </c>
      <c r="AZ195" s="212">
        <f t="shared" si="3248"/>
        <v>0</v>
      </c>
      <c r="BA195" s="212">
        <f t="shared" si="3248"/>
        <v>-21597.497644915278</v>
      </c>
      <c r="BB195" s="212">
        <f t="shared" si="3248"/>
        <v>0</v>
      </c>
      <c r="BC195" s="212">
        <f t="shared" si="3248"/>
        <v>0</v>
      </c>
      <c r="BD195" s="212">
        <f t="shared" si="3248"/>
        <v>0</v>
      </c>
      <c r="BE195" s="212">
        <f t="shared" si="3248"/>
        <v>0</v>
      </c>
      <c r="BF195" s="212">
        <f t="shared" si="3248"/>
        <v>0</v>
      </c>
      <c r="BG195" s="212">
        <f t="shared" si="3248"/>
        <v>0</v>
      </c>
      <c r="BH195" s="212">
        <f t="shared" si="3248"/>
        <v>0</v>
      </c>
      <c r="BI195" s="212">
        <f t="shared" si="3248"/>
        <v>0</v>
      </c>
      <c r="BJ195" s="212">
        <f t="shared" si="3248"/>
        <v>0</v>
      </c>
      <c r="BK195" s="212">
        <f t="shared" si="3248"/>
        <v>0</v>
      </c>
      <c r="BL195" s="212">
        <f t="shared" si="3248"/>
        <v>0</v>
      </c>
      <c r="BM195" s="212">
        <f t="shared" si="3248"/>
        <v>-22553.722275806973</v>
      </c>
      <c r="BN195" s="212">
        <f t="shared" si="3248"/>
        <v>0</v>
      </c>
      <c r="BO195" s="212">
        <f t="shared" si="3248"/>
        <v>0</v>
      </c>
      <c r="BP195" s="212">
        <f t="shared" si="3248"/>
        <v>0</v>
      </c>
      <c r="BQ195" s="212">
        <f t="shared" ref="BQ195:EB195" si="3249">BQ191+BQ190</f>
        <v>0</v>
      </c>
      <c r="BR195" s="212">
        <f t="shared" si="3249"/>
        <v>0</v>
      </c>
      <c r="BS195" s="212">
        <f t="shared" si="3249"/>
        <v>0</v>
      </c>
      <c r="BT195" s="212">
        <f t="shared" si="3249"/>
        <v>0</v>
      </c>
      <c r="BU195" s="212">
        <f t="shared" si="3249"/>
        <v>0</v>
      </c>
      <c r="BV195" s="212">
        <f t="shared" si="3249"/>
        <v>0</v>
      </c>
      <c r="BW195" s="212">
        <f t="shared" si="3249"/>
        <v>0</v>
      </c>
      <c r="BX195" s="212">
        <f t="shared" si="3249"/>
        <v>0</v>
      </c>
      <c r="BY195" s="212">
        <f t="shared" si="3249"/>
        <v>-23467.695337862438</v>
      </c>
      <c r="BZ195" s="212">
        <f t="shared" si="3249"/>
        <v>0</v>
      </c>
      <c r="CA195" s="212">
        <f t="shared" si="3249"/>
        <v>0</v>
      </c>
      <c r="CB195" s="212">
        <f t="shared" si="3249"/>
        <v>0</v>
      </c>
      <c r="CC195" s="212">
        <f t="shared" si="3249"/>
        <v>0</v>
      </c>
      <c r="CD195" s="212">
        <f t="shared" si="3249"/>
        <v>0</v>
      </c>
      <c r="CE195" s="212">
        <f t="shared" si="3249"/>
        <v>0</v>
      </c>
      <c r="CF195" s="212">
        <f t="shared" si="3249"/>
        <v>0</v>
      </c>
      <c r="CG195" s="212">
        <f t="shared" si="3249"/>
        <v>0</v>
      </c>
      <c r="CH195" s="212">
        <f t="shared" si="3249"/>
        <v>0</v>
      </c>
      <c r="CI195" s="212">
        <f t="shared" si="3249"/>
        <v>0</v>
      </c>
      <c r="CJ195" s="212">
        <f t="shared" si="3249"/>
        <v>0</v>
      </c>
      <c r="CK195" s="212">
        <f t="shared" si="3249"/>
        <v>-24406.403151376959</v>
      </c>
      <c r="CL195" s="212">
        <f t="shared" si="3249"/>
        <v>0</v>
      </c>
      <c r="CM195" s="212">
        <f t="shared" si="3249"/>
        <v>0</v>
      </c>
      <c r="CN195" s="212">
        <f t="shared" si="3249"/>
        <v>0</v>
      </c>
      <c r="CO195" s="212">
        <f t="shared" si="3249"/>
        <v>0</v>
      </c>
      <c r="CP195" s="212">
        <f t="shared" si="3249"/>
        <v>0</v>
      </c>
      <c r="CQ195" s="212">
        <f t="shared" si="3249"/>
        <v>0</v>
      </c>
      <c r="CR195" s="212">
        <f t="shared" si="3249"/>
        <v>0</v>
      </c>
      <c r="CS195" s="212">
        <f t="shared" si="3249"/>
        <v>0</v>
      </c>
      <c r="CT195" s="212">
        <f t="shared" si="3249"/>
        <v>0</v>
      </c>
      <c r="CU195" s="212">
        <f t="shared" si="3249"/>
        <v>0</v>
      </c>
      <c r="CV195" s="212">
        <f t="shared" si="3249"/>
        <v>0</v>
      </c>
      <c r="CW195" s="212">
        <f t="shared" si="3249"/>
        <v>-152070.68158367334</v>
      </c>
      <c r="CX195" s="212">
        <f t="shared" si="3249"/>
        <v>0</v>
      </c>
      <c r="CY195" s="212">
        <f t="shared" si="3249"/>
        <v>0</v>
      </c>
      <c r="CZ195" s="212">
        <f t="shared" si="3249"/>
        <v>0</v>
      </c>
      <c r="DA195" s="212">
        <f t="shared" si="3249"/>
        <v>0</v>
      </c>
      <c r="DB195" s="212">
        <f t="shared" si="3249"/>
        <v>0</v>
      </c>
      <c r="DC195" s="212">
        <f t="shared" si="3249"/>
        <v>0</v>
      </c>
      <c r="DD195" s="212">
        <f t="shared" si="3249"/>
        <v>0</v>
      </c>
      <c r="DE195" s="212">
        <f t="shared" si="3249"/>
        <v>0</v>
      </c>
      <c r="DF195" s="212">
        <f t="shared" si="3249"/>
        <v>0</v>
      </c>
      <c r="DG195" s="212">
        <f t="shared" si="3249"/>
        <v>0</v>
      </c>
      <c r="DH195" s="212">
        <f t="shared" si="3249"/>
        <v>0</v>
      </c>
      <c r="DI195" s="212">
        <f t="shared" si="3249"/>
        <v>-149355.06689636552</v>
      </c>
      <c r="DJ195" s="212">
        <f t="shared" si="3249"/>
        <v>0</v>
      </c>
      <c r="DK195" s="212">
        <f t="shared" si="3249"/>
        <v>0</v>
      </c>
      <c r="DL195" s="212">
        <f t="shared" si="3249"/>
        <v>0</v>
      </c>
      <c r="DM195" s="212">
        <f t="shared" si="3249"/>
        <v>0</v>
      </c>
      <c r="DN195" s="212">
        <f t="shared" si="3249"/>
        <v>0</v>
      </c>
      <c r="DO195" s="212">
        <f t="shared" si="3249"/>
        <v>0</v>
      </c>
      <c r="DP195" s="212">
        <f t="shared" si="3249"/>
        <v>0</v>
      </c>
      <c r="DQ195" s="212">
        <f t="shared" si="3249"/>
        <v>0</v>
      </c>
      <c r="DR195" s="212">
        <f t="shared" si="3249"/>
        <v>0</v>
      </c>
      <c r="DS195" s="212">
        <f t="shared" si="3249"/>
        <v>0</v>
      </c>
      <c r="DT195" s="212">
        <f t="shared" si="3249"/>
        <v>0</v>
      </c>
      <c r="DU195" s="212">
        <f t="shared" si="3249"/>
        <v>-146220.00178420119</v>
      </c>
      <c r="DV195" s="212">
        <f t="shared" si="3249"/>
        <v>0</v>
      </c>
      <c r="DW195" s="212">
        <f t="shared" si="3249"/>
        <v>0</v>
      </c>
      <c r="DX195" s="212">
        <f t="shared" si="3249"/>
        <v>0</v>
      </c>
      <c r="DY195" s="212">
        <f t="shared" si="3249"/>
        <v>0</v>
      </c>
      <c r="DZ195" s="212">
        <f t="shared" si="3249"/>
        <v>0</v>
      </c>
      <c r="EA195" s="212">
        <f t="shared" si="3249"/>
        <v>0</v>
      </c>
      <c r="EB195" s="212">
        <f t="shared" si="3249"/>
        <v>0</v>
      </c>
      <c r="EC195" s="212">
        <f t="shared" ref="EC195:GN195" si="3250">EC191+EC190</f>
        <v>0</v>
      </c>
      <c r="ED195" s="212">
        <f t="shared" si="3250"/>
        <v>0</v>
      </c>
      <c r="EE195" s="212">
        <f t="shared" si="3250"/>
        <v>0</v>
      </c>
      <c r="EF195" s="212">
        <f t="shared" si="3250"/>
        <v>0</v>
      </c>
      <c r="EG195" s="212">
        <f t="shared" si="3250"/>
        <v>0</v>
      </c>
      <c r="EH195" s="212">
        <f t="shared" si="3250"/>
        <v>0</v>
      </c>
      <c r="EI195" s="212">
        <f t="shared" si="3250"/>
        <v>0</v>
      </c>
      <c r="EJ195" s="212">
        <f t="shared" si="3250"/>
        <v>0</v>
      </c>
      <c r="EK195" s="212">
        <f t="shared" si="3250"/>
        <v>0</v>
      </c>
      <c r="EL195" s="212">
        <f t="shared" si="3250"/>
        <v>0</v>
      </c>
      <c r="EM195" s="212">
        <f t="shared" si="3250"/>
        <v>0</v>
      </c>
      <c r="EN195" s="212">
        <f t="shared" si="3250"/>
        <v>0</v>
      </c>
      <c r="EO195" s="212">
        <f t="shared" si="3250"/>
        <v>0</v>
      </c>
      <c r="EP195" s="212">
        <f t="shared" si="3250"/>
        <v>0</v>
      </c>
      <c r="EQ195" s="212">
        <f t="shared" si="3250"/>
        <v>0</v>
      </c>
      <c r="ER195" s="212">
        <f t="shared" si="3250"/>
        <v>0</v>
      </c>
      <c r="ES195" s="212">
        <f t="shared" si="3250"/>
        <v>0</v>
      </c>
      <c r="ET195" s="212">
        <f t="shared" si="3250"/>
        <v>0</v>
      </c>
      <c r="EU195" s="212">
        <f t="shared" si="3250"/>
        <v>0</v>
      </c>
      <c r="EV195" s="212">
        <f t="shared" si="3250"/>
        <v>0</v>
      </c>
      <c r="EW195" s="212">
        <f t="shared" si="3250"/>
        <v>0</v>
      </c>
      <c r="EX195" s="212">
        <f t="shared" si="3250"/>
        <v>0</v>
      </c>
      <c r="EY195" s="212">
        <f t="shared" si="3250"/>
        <v>0</v>
      </c>
      <c r="EZ195" s="212">
        <f t="shared" si="3250"/>
        <v>0</v>
      </c>
      <c r="FA195" s="212">
        <f t="shared" si="3250"/>
        <v>0</v>
      </c>
      <c r="FB195" s="212">
        <f t="shared" si="3250"/>
        <v>0</v>
      </c>
      <c r="FC195" s="212">
        <f t="shared" si="3250"/>
        <v>0</v>
      </c>
      <c r="FD195" s="212">
        <f t="shared" si="3250"/>
        <v>0</v>
      </c>
      <c r="FE195" s="212">
        <f t="shared" si="3250"/>
        <v>0</v>
      </c>
      <c r="FF195" s="212">
        <f t="shared" si="3250"/>
        <v>0</v>
      </c>
      <c r="FG195" s="212">
        <f t="shared" si="3250"/>
        <v>0</v>
      </c>
      <c r="FH195" s="212">
        <f t="shared" si="3250"/>
        <v>0</v>
      </c>
      <c r="FI195" s="212">
        <f t="shared" si="3250"/>
        <v>0</v>
      </c>
      <c r="FJ195" s="212">
        <f t="shared" si="3250"/>
        <v>0</v>
      </c>
      <c r="FK195" s="212">
        <f t="shared" si="3250"/>
        <v>0</v>
      </c>
      <c r="FL195" s="212">
        <f t="shared" si="3250"/>
        <v>0</v>
      </c>
      <c r="FM195" s="212">
        <f t="shared" si="3250"/>
        <v>0</v>
      </c>
      <c r="FN195" s="212">
        <f t="shared" si="3250"/>
        <v>0</v>
      </c>
      <c r="FO195" s="212">
        <f t="shared" si="3250"/>
        <v>0</v>
      </c>
      <c r="FP195" s="212">
        <f t="shared" si="3250"/>
        <v>0</v>
      </c>
      <c r="FQ195" s="212">
        <f t="shared" si="3250"/>
        <v>0</v>
      </c>
      <c r="FR195" s="212">
        <f t="shared" si="3250"/>
        <v>0</v>
      </c>
      <c r="FS195" s="212">
        <f t="shared" si="3250"/>
        <v>0</v>
      </c>
      <c r="FT195" s="212">
        <f t="shared" si="3250"/>
        <v>0</v>
      </c>
      <c r="FU195" s="212">
        <f t="shared" si="3250"/>
        <v>0</v>
      </c>
      <c r="FV195" s="212">
        <f t="shared" si="3250"/>
        <v>0</v>
      </c>
      <c r="FW195" s="212">
        <f t="shared" si="3250"/>
        <v>0</v>
      </c>
      <c r="FX195" s="212">
        <f t="shared" si="3250"/>
        <v>0</v>
      </c>
      <c r="FY195" s="212">
        <f t="shared" si="3250"/>
        <v>0</v>
      </c>
      <c r="FZ195" s="212">
        <f t="shared" si="3250"/>
        <v>0</v>
      </c>
      <c r="GA195" s="212">
        <f t="shared" si="3250"/>
        <v>0</v>
      </c>
      <c r="GB195" s="212">
        <f t="shared" si="3250"/>
        <v>0</v>
      </c>
      <c r="GC195" s="212">
        <f t="shared" si="3250"/>
        <v>0</v>
      </c>
      <c r="GD195" s="212">
        <f t="shared" si="3250"/>
        <v>0</v>
      </c>
      <c r="GE195" s="212">
        <f t="shared" si="3250"/>
        <v>0</v>
      </c>
      <c r="GF195" s="212">
        <f t="shared" si="3250"/>
        <v>0</v>
      </c>
      <c r="GG195" s="212">
        <f t="shared" si="3250"/>
        <v>0</v>
      </c>
      <c r="GH195" s="212">
        <f t="shared" si="3250"/>
        <v>0</v>
      </c>
      <c r="GI195" s="212">
        <f t="shared" si="3250"/>
        <v>0</v>
      </c>
      <c r="GJ195" s="212">
        <f t="shared" si="3250"/>
        <v>0</v>
      </c>
      <c r="GK195" s="212">
        <f t="shared" si="3250"/>
        <v>0</v>
      </c>
      <c r="GL195" s="212">
        <f t="shared" si="3250"/>
        <v>0</v>
      </c>
      <c r="GM195" s="212">
        <f t="shared" si="3250"/>
        <v>0</v>
      </c>
      <c r="GN195" s="212">
        <f t="shared" si="3250"/>
        <v>0</v>
      </c>
      <c r="GO195" s="212">
        <f t="shared" ref="GO195:GQ195" si="3251">GO191+GO190</f>
        <v>0</v>
      </c>
      <c r="GP195" s="212">
        <f t="shared" si="3251"/>
        <v>0</v>
      </c>
      <c r="GQ195" s="212">
        <f t="shared" si="3251"/>
        <v>0</v>
      </c>
    </row>
    <row r="196" spans="2:199" s="315" customFormat="1" outlineLevel="1">
      <c r="B196" s="182" t="s">
        <v>417</v>
      </c>
      <c r="C196" s="435">
        <v>1</v>
      </c>
      <c r="D196" s="436"/>
      <c r="E196" s="437">
        <f>IF(E172&gt;=$C174,1+E179,1)</f>
        <v>1.0013000000000001</v>
      </c>
      <c r="F196" s="437">
        <f t="shared" ref="F196:BQ196" si="3252">IF(F172&gt;=$C174,1+F179,1)</f>
        <v>1</v>
      </c>
      <c r="G196" s="437">
        <f t="shared" si="3252"/>
        <v>1.0021</v>
      </c>
      <c r="H196" s="437">
        <f t="shared" si="3252"/>
        <v>1.0044999999999999</v>
      </c>
      <c r="I196" s="437">
        <f t="shared" si="3252"/>
        <v>1.0055000000000001</v>
      </c>
      <c r="J196" s="437">
        <f t="shared" si="3252"/>
        <v>1.0067999999999999</v>
      </c>
      <c r="K196" s="437">
        <f t="shared" si="3252"/>
        <v>1.006</v>
      </c>
      <c r="L196" s="437">
        <f t="shared" si="3252"/>
        <v>1.0067200000000001</v>
      </c>
      <c r="M196" s="437">
        <f t="shared" si="3252"/>
        <v>1.0074000000000001</v>
      </c>
      <c r="N196" s="437">
        <f t="shared" si="3252"/>
        <v>1.0045200000000001</v>
      </c>
      <c r="O196" s="437">
        <f t="shared" si="3252"/>
        <v>1.0036799999999999</v>
      </c>
      <c r="P196" s="437">
        <f t="shared" si="3252"/>
        <v>1.0054000000000001</v>
      </c>
      <c r="Q196" s="437">
        <f t="shared" si="3252"/>
        <v>1.00156</v>
      </c>
      <c r="R196" s="437">
        <f t="shared" si="3252"/>
        <v>1.0009999999999999</v>
      </c>
      <c r="S196" s="437">
        <f t="shared" si="3252"/>
        <v>1.0025200000000001</v>
      </c>
      <c r="T196" s="437">
        <f t="shared" si="3252"/>
        <v>1.0054000000000001</v>
      </c>
      <c r="U196" s="437">
        <f t="shared" si="3252"/>
        <v>1.0065999999999999</v>
      </c>
      <c r="V196" s="437">
        <f t="shared" si="3252"/>
        <v>1.0071600000000001</v>
      </c>
      <c r="W196" s="437">
        <f t="shared" si="3252"/>
        <v>1.0072000000000001</v>
      </c>
      <c r="X196" s="437">
        <f t="shared" si="3252"/>
        <v>1.0036748094004369</v>
      </c>
      <c r="Y196" s="437">
        <f t="shared" si="3252"/>
        <v>1.0036748094004369</v>
      </c>
      <c r="Z196" s="437">
        <f t="shared" si="3252"/>
        <v>1.0036748094004369</v>
      </c>
      <c r="AA196" s="437">
        <f t="shared" si="3252"/>
        <v>1.0036748094004369</v>
      </c>
      <c r="AB196" s="437">
        <f t="shared" si="3252"/>
        <v>1.0036748094004369</v>
      </c>
      <c r="AC196" s="437">
        <f t="shared" si="3252"/>
        <v>1.0036748094004369</v>
      </c>
      <c r="AD196" s="437">
        <f t="shared" si="3252"/>
        <v>1.0036748094004369</v>
      </c>
      <c r="AE196" s="437">
        <f t="shared" si="3252"/>
        <v>1.0036748094004369</v>
      </c>
      <c r="AF196" s="437">
        <f t="shared" si="3252"/>
        <v>1.0036748094004369</v>
      </c>
      <c r="AG196" s="437">
        <f t="shared" si="3252"/>
        <v>1.0036748094004369</v>
      </c>
      <c r="AH196" s="437">
        <f t="shared" si="3252"/>
        <v>1.0036748094004369</v>
      </c>
      <c r="AI196" s="437">
        <f t="shared" si="3252"/>
        <v>1.0036748094004369</v>
      </c>
      <c r="AJ196" s="437">
        <f t="shared" si="3252"/>
        <v>1.0036748094004369</v>
      </c>
      <c r="AK196" s="437">
        <f t="shared" si="3252"/>
        <v>1.0036748094004369</v>
      </c>
      <c r="AL196" s="437">
        <f t="shared" si="3252"/>
        <v>1.0036748094004369</v>
      </c>
      <c r="AM196" s="437">
        <f t="shared" si="3252"/>
        <v>1.0036748094004369</v>
      </c>
      <c r="AN196" s="437">
        <f t="shared" si="3252"/>
        <v>1.0036748094004369</v>
      </c>
      <c r="AO196" s="437">
        <f t="shared" si="3252"/>
        <v>1.0036748094004369</v>
      </c>
      <c r="AP196" s="437">
        <f t="shared" si="3252"/>
        <v>1.0036748094004369</v>
      </c>
      <c r="AQ196" s="437">
        <f t="shared" si="3252"/>
        <v>1.0036748094004369</v>
      </c>
      <c r="AR196" s="437">
        <f t="shared" si="3252"/>
        <v>1.0036748094004369</v>
      </c>
      <c r="AS196" s="437">
        <f t="shared" si="3252"/>
        <v>1.0036748094004369</v>
      </c>
      <c r="AT196" s="437">
        <f t="shared" si="3252"/>
        <v>1.0036748094004369</v>
      </c>
      <c r="AU196" s="437">
        <f t="shared" si="3252"/>
        <v>1.0036748094004369</v>
      </c>
      <c r="AV196" s="437">
        <f t="shared" si="3252"/>
        <v>1.0036748094004369</v>
      </c>
      <c r="AW196" s="437">
        <f t="shared" si="3252"/>
        <v>1.0036748094004369</v>
      </c>
      <c r="AX196" s="437">
        <f t="shared" si="3252"/>
        <v>1.0036748094004369</v>
      </c>
      <c r="AY196" s="437">
        <f t="shared" si="3252"/>
        <v>1.0036748094004369</v>
      </c>
      <c r="AZ196" s="437">
        <f t="shared" si="3252"/>
        <v>1.0036748094004369</v>
      </c>
      <c r="BA196" s="437">
        <f t="shared" si="3252"/>
        <v>1.0036748094004369</v>
      </c>
      <c r="BB196" s="437">
        <f t="shared" si="3252"/>
        <v>1.0036748094004369</v>
      </c>
      <c r="BC196" s="437">
        <f t="shared" si="3252"/>
        <v>1.0036748094004369</v>
      </c>
      <c r="BD196" s="437">
        <f t="shared" si="3252"/>
        <v>1.0036748094004369</v>
      </c>
      <c r="BE196" s="437">
        <f t="shared" si="3252"/>
        <v>1.0036748094004369</v>
      </c>
      <c r="BF196" s="437">
        <f t="shared" si="3252"/>
        <v>1.0036748094004369</v>
      </c>
      <c r="BG196" s="437">
        <f t="shared" si="3252"/>
        <v>1.0036748094004369</v>
      </c>
      <c r="BH196" s="437">
        <f t="shared" si="3252"/>
        <v>1.0032737397821989</v>
      </c>
      <c r="BI196" s="437">
        <f t="shared" si="3252"/>
        <v>1.0032737397821989</v>
      </c>
      <c r="BJ196" s="437">
        <f t="shared" si="3252"/>
        <v>1.0032737397821989</v>
      </c>
      <c r="BK196" s="437">
        <f t="shared" si="3252"/>
        <v>1.0032737397821989</v>
      </c>
      <c r="BL196" s="437">
        <f t="shared" si="3252"/>
        <v>1.0032737397821989</v>
      </c>
      <c r="BM196" s="437">
        <f t="shared" si="3252"/>
        <v>1.0032737397821989</v>
      </c>
      <c r="BN196" s="437">
        <f t="shared" si="3252"/>
        <v>1.0032737397821989</v>
      </c>
      <c r="BO196" s="437">
        <f t="shared" si="3252"/>
        <v>1.0032737397821989</v>
      </c>
      <c r="BP196" s="437">
        <f t="shared" si="3252"/>
        <v>1.0032737397821989</v>
      </c>
      <c r="BQ196" s="437">
        <f t="shared" si="3252"/>
        <v>1.0032737397821989</v>
      </c>
      <c r="BR196" s="437">
        <f t="shared" ref="BR196:EC196" si="3253">IF(BR172&gt;=$C174,1+BR179,1)</f>
        <v>1.0032737397821989</v>
      </c>
      <c r="BS196" s="437">
        <f t="shared" si="3253"/>
        <v>1.0032737397821989</v>
      </c>
      <c r="BT196" s="437">
        <f t="shared" si="3253"/>
        <v>1.0032737397821989</v>
      </c>
      <c r="BU196" s="437">
        <f t="shared" si="3253"/>
        <v>1.0032737397821989</v>
      </c>
      <c r="BV196" s="437">
        <f t="shared" si="3253"/>
        <v>1.0032737397821989</v>
      </c>
      <c r="BW196" s="437">
        <f t="shared" si="3253"/>
        <v>1.0032737397821989</v>
      </c>
      <c r="BX196" s="437">
        <f t="shared" si="3253"/>
        <v>1.0032737397821989</v>
      </c>
      <c r="BY196" s="437">
        <f t="shared" si="3253"/>
        <v>1.0032737397821989</v>
      </c>
      <c r="BZ196" s="437">
        <f t="shared" si="3253"/>
        <v>1.0032737397821989</v>
      </c>
      <c r="CA196" s="437">
        <f t="shared" si="3253"/>
        <v>1.0032737397821989</v>
      </c>
      <c r="CB196" s="437">
        <f t="shared" si="3253"/>
        <v>1.0032737397821989</v>
      </c>
      <c r="CC196" s="437">
        <f t="shared" si="3253"/>
        <v>1.0032737397821989</v>
      </c>
      <c r="CD196" s="437">
        <f t="shared" si="3253"/>
        <v>1.0032737397821989</v>
      </c>
      <c r="CE196" s="437">
        <f t="shared" si="3253"/>
        <v>1.0032737397821989</v>
      </c>
      <c r="CF196" s="437">
        <f t="shared" si="3253"/>
        <v>1.0032737397821989</v>
      </c>
      <c r="CG196" s="437">
        <f t="shared" si="3253"/>
        <v>1.0032737397821989</v>
      </c>
      <c r="CH196" s="437">
        <f t="shared" si="3253"/>
        <v>1.0032737397821989</v>
      </c>
      <c r="CI196" s="437">
        <f t="shared" si="3253"/>
        <v>1.0032737397821989</v>
      </c>
      <c r="CJ196" s="437">
        <f t="shared" si="3253"/>
        <v>1.0032737397821989</v>
      </c>
      <c r="CK196" s="437">
        <f t="shared" si="3253"/>
        <v>1.0032737397821989</v>
      </c>
      <c r="CL196" s="437">
        <f t="shared" si="3253"/>
        <v>1.0032737397821989</v>
      </c>
      <c r="CM196" s="437">
        <f t="shared" si="3253"/>
        <v>1.0032737397821989</v>
      </c>
      <c r="CN196" s="437">
        <f t="shared" si="3253"/>
        <v>1.0032737397821989</v>
      </c>
      <c r="CO196" s="437">
        <f t="shared" si="3253"/>
        <v>1.0032737397821989</v>
      </c>
      <c r="CP196" s="437">
        <f t="shared" si="3253"/>
        <v>1.0032737397821989</v>
      </c>
      <c r="CQ196" s="437">
        <f t="shared" si="3253"/>
        <v>1.0032737397821989</v>
      </c>
      <c r="CR196" s="437">
        <f t="shared" si="3253"/>
        <v>1.0032737397821989</v>
      </c>
      <c r="CS196" s="437">
        <f t="shared" si="3253"/>
        <v>1.0032737397821989</v>
      </c>
      <c r="CT196" s="437">
        <f t="shared" si="3253"/>
        <v>1.0032737397821989</v>
      </c>
      <c r="CU196" s="437">
        <f t="shared" si="3253"/>
        <v>1.0032737397821989</v>
      </c>
      <c r="CV196" s="437">
        <f t="shared" si="3253"/>
        <v>1.0032737397821989</v>
      </c>
      <c r="CW196" s="437">
        <f t="shared" si="3253"/>
        <v>1.0032737397821989</v>
      </c>
      <c r="CX196" s="437">
        <f t="shared" si="3253"/>
        <v>1.0032737397821989</v>
      </c>
      <c r="CY196" s="437">
        <f t="shared" si="3253"/>
        <v>1.0032737397821989</v>
      </c>
      <c r="CZ196" s="437">
        <f t="shared" si="3253"/>
        <v>1.0032737397821989</v>
      </c>
      <c r="DA196" s="437">
        <f t="shared" si="3253"/>
        <v>1.0032737397821989</v>
      </c>
      <c r="DB196" s="437">
        <f t="shared" si="3253"/>
        <v>1.0032737397821989</v>
      </c>
      <c r="DC196" s="437">
        <f t="shared" si="3253"/>
        <v>1.0032737397821989</v>
      </c>
      <c r="DD196" s="437">
        <f t="shared" si="3253"/>
        <v>1.0032737397821989</v>
      </c>
      <c r="DE196" s="437">
        <f t="shared" si="3253"/>
        <v>1.0032737397821989</v>
      </c>
      <c r="DF196" s="437">
        <f t="shared" si="3253"/>
        <v>1.0032737397821989</v>
      </c>
      <c r="DG196" s="437">
        <f t="shared" si="3253"/>
        <v>1.0032737397821989</v>
      </c>
      <c r="DH196" s="437">
        <f t="shared" si="3253"/>
        <v>1.0032737397821989</v>
      </c>
      <c r="DI196" s="437">
        <f t="shared" si="3253"/>
        <v>1.0032737397821989</v>
      </c>
      <c r="DJ196" s="437">
        <f t="shared" si="3253"/>
        <v>1.0032737397821989</v>
      </c>
      <c r="DK196" s="437">
        <f t="shared" si="3253"/>
        <v>1.0032737397821989</v>
      </c>
      <c r="DL196" s="437">
        <f t="shared" si="3253"/>
        <v>1.0032737397821989</v>
      </c>
      <c r="DM196" s="437">
        <f t="shared" si="3253"/>
        <v>1.0032737397821989</v>
      </c>
      <c r="DN196" s="437">
        <f t="shared" si="3253"/>
        <v>1.0032737397821989</v>
      </c>
      <c r="DO196" s="437">
        <f t="shared" si="3253"/>
        <v>1.0032737397821989</v>
      </c>
      <c r="DP196" s="437">
        <f t="shared" si="3253"/>
        <v>1.0032737397821989</v>
      </c>
      <c r="DQ196" s="437">
        <f t="shared" si="3253"/>
        <v>1.0032737397821989</v>
      </c>
      <c r="DR196" s="437">
        <f t="shared" si="3253"/>
        <v>1.0032737397821989</v>
      </c>
      <c r="DS196" s="437">
        <f t="shared" si="3253"/>
        <v>1.0032737397821989</v>
      </c>
      <c r="DT196" s="437">
        <f t="shared" si="3253"/>
        <v>1.0032737397821989</v>
      </c>
      <c r="DU196" s="437">
        <f t="shared" si="3253"/>
        <v>1.0032737397821989</v>
      </c>
      <c r="DV196" s="437">
        <f t="shared" si="3253"/>
        <v>1.0032737397821989</v>
      </c>
      <c r="DW196" s="437">
        <f t="shared" si="3253"/>
        <v>1.0032737397821989</v>
      </c>
      <c r="DX196" s="437">
        <f t="shared" si="3253"/>
        <v>1.0032737397821989</v>
      </c>
      <c r="DY196" s="437">
        <f t="shared" si="3253"/>
        <v>1.0032737397821989</v>
      </c>
      <c r="DZ196" s="437">
        <f t="shared" si="3253"/>
        <v>1.0032737397821989</v>
      </c>
      <c r="EA196" s="437">
        <f t="shared" si="3253"/>
        <v>1.0032737397821989</v>
      </c>
      <c r="EB196" s="437">
        <f t="shared" si="3253"/>
        <v>1.0032737397821989</v>
      </c>
      <c r="EC196" s="437">
        <f t="shared" si="3253"/>
        <v>1.0032737397821989</v>
      </c>
      <c r="ED196" s="437">
        <f t="shared" ref="ED196:GO196" si="3254">IF(ED172&gt;=$C174,1+ED179,1)</f>
        <v>1.0032737397821989</v>
      </c>
      <c r="EE196" s="437">
        <f t="shared" si="3254"/>
        <v>1.0032737397821989</v>
      </c>
      <c r="EF196" s="437">
        <f t="shared" si="3254"/>
        <v>1.0032737397821989</v>
      </c>
      <c r="EG196" s="437">
        <f t="shared" si="3254"/>
        <v>1.0032737397821989</v>
      </c>
      <c r="EH196" s="437">
        <f t="shared" si="3254"/>
        <v>1.0032737397821989</v>
      </c>
      <c r="EI196" s="437">
        <f t="shared" si="3254"/>
        <v>1.0032737397821989</v>
      </c>
      <c r="EJ196" s="437">
        <f t="shared" si="3254"/>
        <v>1.0032737397821989</v>
      </c>
      <c r="EK196" s="437">
        <f t="shared" si="3254"/>
        <v>1.0032737397821989</v>
      </c>
      <c r="EL196" s="437">
        <f t="shared" si="3254"/>
        <v>1.0032737397821989</v>
      </c>
      <c r="EM196" s="437">
        <f t="shared" si="3254"/>
        <v>1.0032737397821989</v>
      </c>
      <c r="EN196" s="437">
        <f t="shared" si="3254"/>
        <v>1.0032737397821989</v>
      </c>
      <c r="EO196" s="437">
        <f t="shared" si="3254"/>
        <v>1.0032737397821989</v>
      </c>
      <c r="EP196" s="437">
        <f t="shared" si="3254"/>
        <v>1.0032737397821989</v>
      </c>
      <c r="EQ196" s="437">
        <f t="shared" si="3254"/>
        <v>1.0032737397821989</v>
      </c>
      <c r="ER196" s="437">
        <f t="shared" si="3254"/>
        <v>1.0032737397821989</v>
      </c>
      <c r="ES196" s="437">
        <f t="shared" si="3254"/>
        <v>1.0032737397821989</v>
      </c>
      <c r="ET196" s="437">
        <f t="shared" si="3254"/>
        <v>1.0032737397821989</v>
      </c>
      <c r="EU196" s="437">
        <f t="shared" si="3254"/>
        <v>1.0032737397821989</v>
      </c>
      <c r="EV196" s="437">
        <f t="shared" si="3254"/>
        <v>1.0032737397821989</v>
      </c>
      <c r="EW196" s="437">
        <f t="shared" si="3254"/>
        <v>1.0032737397821989</v>
      </c>
      <c r="EX196" s="437">
        <f t="shared" si="3254"/>
        <v>1.0032737397821989</v>
      </c>
      <c r="EY196" s="437">
        <f t="shared" si="3254"/>
        <v>1.0032737397821989</v>
      </c>
      <c r="EZ196" s="437">
        <f t="shared" si="3254"/>
        <v>1.0028708987190766</v>
      </c>
      <c r="FA196" s="437">
        <f t="shared" si="3254"/>
        <v>1.0028708987190766</v>
      </c>
      <c r="FB196" s="437">
        <f t="shared" si="3254"/>
        <v>1.0028708987190766</v>
      </c>
      <c r="FC196" s="437">
        <f t="shared" si="3254"/>
        <v>1.0028708987190766</v>
      </c>
      <c r="FD196" s="437">
        <f t="shared" si="3254"/>
        <v>1.0028708987190766</v>
      </c>
      <c r="FE196" s="437">
        <f t="shared" si="3254"/>
        <v>1.0028708987190766</v>
      </c>
      <c r="FF196" s="437">
        <f t="shared" si="3254"/>
        <v>1.0028708987190766</v>
      </c>
      <c r="FG196" s="437">
        <f t="shared" si="3254"/>
        <v>1.0028708987190766</v>
      </c>
      <c r="FH196" s="437">
        <f t="shared" si="3254"/>
        <v>1.0028708987190766</v>
      </c>
      <c r="FI196" s="437">
        <f t="shared" si="3254"/>
        <v>1.0028708987190766</v>
      </c>
      <c r="FJ196" s="437">
        <f t="shared" si="3254"/>
        <v>1.0028708987190766</v>
      </c>
      <c r="FK196" s="437">
        <f t="shared" si="3254"/>
        <v>1.0028708987190766</v>
      </c>
      <c r="FL196" s="437">
        <f t="shared" si="3254"/>
        <v>1.0028708987190766</v>
      </c>
      <c r="FM196" s="437">
        <f t="shared" si="3254"/>
        <v>1.0028708987190766</v>
      </c>
      <c r="FN196" s="437">
        <f t="shared" si="3254"/>
        <v>1.0028708987190766</v>
      </c>
      <c r="FO196" s="437">
        <f t="shared" si="3254"/>
        <v>1.0028708987190766</v>
      </c>
      <c r="FP196" s="437">
        <f t="shared" si="3254"/>
        <v>1.0028708987190766</v>
      </c>
      <c r="FQ196" s="437">
        <f t="shared" si="3254"/>
        <v>1.0028708987190766</v>
      </c>
      <c r="FR196" s="437">
        <f t="shared" si="3254"/>
        <v>1.0028708987190766</v>
      </c>
      <c r="FS196" s="437">
        <f t="shared" si="3254"/>
        <v>1.0028708987190766</v>
      </c>
      <c r="FT196" s="437">
        <f t="shared" si="3254"/>
        <v>1.0028708987190766</v>
      </c>
      <c r="FU196" s="437">
        <f t="shared" si="3254"/>
        <v>1.0028708987190766</v>
      </c>
      <c r="FV196" s="437">
        <f t="shared" si="3254"/>
        <v>1.0028708987190766</v>
      </c>
      <c r="FW196" s="437">
        <f t="shared" si="3254"/>
        <v>1.0028708987190766</v>
      </c>
      <c r="FX196" s="437">
        <f t="shared" si="3254"/>
        <v>1.0028708987190766</v>
      </c>
      <c r="FY196" s="437">
        <f t="shared" si="3254"/>
        <v>1.0028708987190766</v>
      </c>
      <c r="FZ196" s="437">
        <f t="shared" si="3254"/>
        <v>1.0028708987190766</v>
      </c>
      <c r="GA196" s="437">
        <f t="shared" si="3254"/>
        <v>1.0028708987190766</v>
      </c>
      <c r="GB196" s="437">
        <f t="shared" si="3254"/>
        <v>1.0028708987190766</v>
      </c>
      <c r="GC196" s="437">
        <f t="shared" si="3254"/>
        <v>1.0028708987190766</v>
      </c>
      <c r="GD196" s="437">
        <f t="shared" si="3254"/>
        <v>1.0028708987190766</v>
      </c>
      <c r="GE196" s="437">
        <f t="shared" si="3254"/>
        <v>1.0028708987190766</v>
      </c>
      <c r="GF196" s="437">
        <f t="shared" si="3254"/>
        <v>1.0028708987190766</v>
      </c>
      <c r="GG196" s="437">
        <f t="shared" si="3254"/>
        <v>1.0028708987190766</v>
      </c>
      <c r="GH196" s="437">
        <f t="shared" si="3254"/>
        <v>1.0028708987190766</v>
      </c>
      <c r="GI196" s="437">
        <f t="shared" si="3254"/>
        <v>1.0028708987190766</v>
      </c>
      <c r="GJ196" s="437">
        <f t="shared" si="3254"/>
        <v>1.0028708987190766</v>
      </c>
      <c r="GK196" s="437">
        <f t="shared" si="3254"/>
        <v>1.0028708987190766</v>
      </c>
      <c r="GL196" s="437">
        <f t="shared" si="3254"/>
        <v>1.0028708987190766</v>
      </c>
      <c r="GM196" s="437">
        <f t="shared" si="3254"/>
        <v>1.0028708987190766</v>
      </c>
      <c r="GN196" s="437">
        <f t="shared" si="3254"/>
        <v>1.0028708987190766</v>
      </c>
      <c r="GO196" s="437">
        <f t="shared" si="3254"/>
        <v>1.0028708987190766</v>
      </c>
      <c r="GP196" s="437">
        <f t="shared" ref="GP196:GQ196" si="3255">IF(GP172&gt;=$C174,1+GP179,1)</f>
        <v>1.0028708987190766</v>
      </c>
      <c r="GQ196" s="437">
        <f t="shared" si="3255"/>
        <v>1.0028708987190766</v>
      </c>
    </row>
    <row r="197" spans="2:199" s="315" customFormat="1" outlineLevel="1">
      <c r="B197" s="182" t="s">
        <v>416</v>
      </c>
      <c r="C197" s="315">
        <v>1</v>
      </c>
      <c r="D197" s="436"/>
      <c r="E197" s="437">
        <f>C197*E196</f>
        <v>1.0013000000000001</v>
      </c>
      <c r="F197" s="437">
        <f t="shared" ref="F197:BQ197" si="3256">E197*F196</f>
        <v>1.0013000000000001</v>
      </c>
      <c r="G197" s="437">
        <f t="shared" si="3256"/>
        <v>1.0034027300000001</v>
      </c>
      <c r="H197" s="437">
        <f t="shared" si="3256"/>
        <v>1.007918042285</v>
      </c>
      <c r="I197" s="437">
        <f t="shared" si="3256"/>
        <v>1.0134615915175675</v>
      </c>
      <c r="J197" s="437">
        <f t="shared" si="3256"/>
        <v>1.0203531303398869</v>
      </c>
      <c r="K197" s="437">
        <f t="shared" si="3256"/>
        <v>1.0264752491219262</v>
      </c>
      <c r="L197" s="437">
        <f t="shared" si="3256"/>
        <v>1.0333731627960256</v>
      </c>
      <c r="M197" s="437">
        <f t="shared" si="3256"/>
        <v>1.0410201242007162</v>
      </c>
      <c r="N197" s="437">
        <f t="shared" si="3256"/>
        <v>1.0457255351621035</v>
      </c>
      <c r="O197" s="437">
        <f t="shared" si="3256"/>
        <v>1.0495738051315</v>
      </c>
      <c r="P197" s="437">
        <f t="shared" si="3256"/>
        <v>1.0552415036792102</v>
      </c>
      <c r="Q197" s="437">
        <f t="shared" si="3256"/>
        <v>1.0568876804249498</v>
      </c>
      <c r="R197" s="437">
        <f t="shared" si="3256"/>
        <v>1.0579445681053747</v>
      </c>
      <c r="S197" s="437">
        <f t="shared" si="3256"/>
        <v>1.0606105884170003</v>
      </c>
      <c r="T197" s="437">
        <f t="shared" si="3256"/>
        <v>1.0663378855944521</v>
      </c>
      <c r="U197" s="437">
        <f t="shared" si="3256"/>
        <v>1.0733757156393755</v>
      </c>
      <c r="V197" s="437">
        <f t="shared" si="3256"/>
        <v>1.0810610857633536</v>
      </c>
      <c r="W197" s="437">
        <f t="shared" si="3256"/>
        <v>1.0888447255808498</v>
      </c>
      <c r="X197" s="437">
        <f t="shared" si="3256"/>
        <v>1.0928460224140304</v>
      </c>
      <c r="Y197" s="437">
        <f t="shared" si="3256"/>
        <v>1.0968620232504276</v>
      </c>
      <c r="Z197" s="437">
        <f t="shared" si="3256"/>
        <v>1.1008927821244505</v>
      </c>
      <c r="AA197" s="437">
        <f t="shared" si="3256"/>
        <v>1.1049383532690746</v>
      </c>
      <c r="AB197" s="437">
        <f t="shared" si="3256"/>
        <v>1.1089987911165711</v>
      </c>
      <c r="AC197" s="437">
        <f t="shared" si="3256"/>
        <v>1.1130741502992394</v>
      </c>
      <c r="AD197" s="437">
        <f t="shared" si="3256"/>
        <v>1.1171644856501424</v>
      </c>
      <c r="AE197" s="437">
        <f t="shared" si="3256"/>
        <v>1.1212698522038438</v>
      </c>
      <c r="AF197" s="437">
        <f t="shared" si="3256"/>
        <v>1.125390305197149</v>
      </c>
      <c r="AG197" s="437">
        <f t="shared" si="3256"/>
        <v>1.1295259000698479</v>
      </c>
      <c r="AH197" s="437">
        <f t="shared" si="3256"/>
        <v>1.1336766924654615</v>
      </c>
      <c r="AI197" s="437">
        <f t="shared" si="3256"/>
        <v>1.1378427382319898</v>
      </c>
      <c r="AJ197" s="437">
        <f t="shared" si="3256"/>
        <v>1.1420240934226635</v>
      </c>
      <c r="AK197" s="437">
        <f t="shared" si="3256"/>
        <v>1.1462208142966985</v>
      </c>
      <c r="AL197" s="437">
        <f t="shared" si="3256"/>
        <v>1.1504329573200525</v>
      </c>
      <c r="AM197" s="437">
        <f t="shared" si="3256"/>
        <v>1.1546605791661846</v>
      </c>
      <c r="AN197" s="437">
        <f t="shared" si="3256"/>
        <v>1.1589037367168182</v>
      </c>
      <c r="AO197" s="437">
        <f t="shared" si="3256"/>
        <v>1.1631624870627066</v>
      </c>
      <c r="AP197" s="437">
        <f t="shared" si="3256"/>
        <v>1.1674368875044001</v>
      </c>
      <c r="AQ197" s="437">
        <f t="shared" si="3256"/>
        <v>1.1717269955530181</v>
      </c>
      <c r="AR197" s="437">
        <f t="shared" si="3256"/>
        <v>1.176032868931022</v>
      </c>
      <c r="AS197" s="437">
        <f t="shared" si="3256"/>
        <v>1.1803545655729923</v>
      </c>
      <c r="AT197" s="437">
        <f t="shared" si="3256"/>
        <v>1.1846921436264086</v>
      </c>
      <c r="AU197" s="437">
        <f t="shared" si="3256"/>
        <v>1.1890456614524307</v>
      </c>
      <c r="AV197" s="437">
        <f t="shared" si="3256"/>
        <v>1.1934151776266848</v>
      </c>
      <c r="AW197" s="437">
        <f t="shared" si="3256"/>
        <v>1.1978007509400515</v>
      </c>
      <c r="AX197" s="437">
        <f t="shared" si="3256"/>
        <v>1.2022024403994562</v>
      </c>
      <c r="AY197" s="437">
        <f t="shared" si="3256"/>
        <v>1.2066203052286644</v>
      </c>
      <c r="AZ197" s="437">
        <f t="shared" si="3256"/>
        <v>1.2110544048690766</v>
      </c>
      <c r="BA197" s="437">
        <f t="shared" si="3256"/>
        <v>1.2155047989805299</v>
      </c>
      <c r="BB197" s="437">
        <f t="shared" si="3256"/>
        <v>1.2199715474420996</v>
      </c>
      <c r="BC197" s="437">
        <f t="shared" si="3256"/>
        <v>1.2244547103529053</v>
      </c>
      <c r="BD197" s="437">
        <f t="shared" si="3256"/>
        <v>1.2289543480329193</v>
      </c>
      <c r="BE197" s="437">
        <f t="shared" si="3256"/>
        <v>1.2334705210237784</v>
      </c>
      <c r="BF197" s="437">
        <f t="shared" si="3256"/>
        <v>1.2380032900895983</v>
      </c>
      <c r="BG197" s="437">
        <f t="shared" si="3256"/>
        <v>1.2425527162177914</v>
      </c>
      <c r="BH197" s="437">
        <f t="shared" si="3256"/>
        <v>1.2466205104763528</v>
      </c>
      <c r="BI197" s="437">
        <f t="shared" si="3256"/>
        <v>1.2507016216348044</v>
      </c>
      <c r="BJ197" s="437">
        <f t="shared" si="3256"/>
        <v>1.2547960932892108</v>
      </c>
      <c r="BK197" s="437">
        <f t="shared" si="3256"/>
        <v>1.2589039691783594</v>
      </c>
      <c r="BL197" s="437">
        <f t="shared" si="3256"/>
        <v>1.2630252931842267</v>
      </c>
      <c r="BM197" s="437">
        <f t="shared" si="3256"/>
        <v>1.2671601093324474</v>
      </c>
      <c r="BN197" s="437">
        <f t="shared" si="3256"/>
        <v>1.2713084617927846</v>
      </c>
      <c r="BO197" s="437">
        <f t="shared" si="3256"/>
        <v>1.2754703948796018</v>
      </c>
      <c r="BP197" s="437">
        <f t="shared" si="3256"/>
        <v>1.2796459530523361</v>
      </c>
      <c r="BQ197" s="437">
        <f t="shared" si="3256"/>
        <v>1.2838351809159734</v>
      </c>
      <c r="BR197" s="437">
        <f t="shared" ref="BR197:EC197" si="3257">BQ197*BR196</f>
        <v>1.2880381232215246</v>
      </c>
      <c r="BS197" s="437">
        <f t="shared" si="3257"/>
        <v>1.2922548248665038</v>
      </c>
      <c r="BT197" s="437">
        <f t="shared" si="3257"/>
        <v>1.2964853308954079</v>
      </c>
      <c r="BU197" s="437">
        <f t="shared" si="3257"/>
        <v>1.3007296865001974</v>
      </c>
      <c r="BV197" s="437">
        <f t="shared" si="3257"/>
        <v>1.3049879370207802</v>
      </c>
      <c r="BW197" s="437">
        <f t="shared" si="3257"/>
        <v>1.3092601279454947</v>
      </c>
      <c r="BX197" s="437">
        <f t="shared" si="3257"/>
        <v>1.3135463049115967</v>
      </c>
      <c r="BY197" s="437">
        <f t="shared" si="3257"/>
        <v>1.3178465137057462</v>
      </c>
      <c r="BZ197" s="437">
        <f t="shared" si="3257"/>
        <v>1.3221608002644969</v>
      </c>
      <c r="CA197" s="437">
        <f t="shared" si="3257"/>
        <v>1.3264892106747868</v>
      </c>
      <c r="CB197" s="437">
        <f t="shared" si="3257"/>
        <v>1.3308317911744305</v>
      </c>
      <c r="CC197" s="437">
        <f t="shared" si="3257"/>
        <v>1.3351885881526133</v>
      </c>
      <c r="CD197" s="437">
        <f t="shared" si="3257"/>
        <v>1.3395596481503866</v>
      </c>
      <c r="CE197" s="437">
        <f t="shared" si="3257"/>
        <v>1.3439450178611649</v>
      </c>
      <c r="CF197" s="437">
        <f t="shared" si="3257"/>
        <v>1.3483447441312251</v>
      </c>
      <c r="CG197" s="437">
        <f t="shared" si="3257"/>
        <v>1.3527588739602063</v>
      </c>
      <c r="CH197" s="437">
        <f t="shared" si="3257"/>
        <v>1.3571874545016125</v>
      </c>
      <c r="CI197" s="437">
        <f t="shared" si="3257"/>
        <v>1.3616305330633156</v>
      </c>
      <c r="CJ197" s="437">
        <f t="shared" si="3257"/>
        <v>1.3660881571080616</v>
      </c>
      <c r="CK197" s="437">
        <f t="shared" si="3257"/>
        <v>1.3705603742539771</v>
      </c>
      <c r="CL197" s="437">
        <f t="shared" si="3257"/>
        <v>1.3750472322750777</v>
      </c>
      <c r="CM197" s="437">
        <f t="shared" si="3257"/>
        <v>1.3795487791017791</v>
      </c>
      <c r="CN197" s="437">
        <f t="shared" si="3257"/>
        <v>1.3840650628214086</v>
      </c>
      <c r="CO197" s="437">
        <f t="shared" si="3257"/>
        <v>1.3885961316787188</v>
      </c>
      <c r="CP197" s="437">
        <f t="shared" si="3257"/>
        <v>1.3931420340764029</v>
      </c>
      <c r="CQ197" s="437">
        <f t="shared" si="3257"/>
        <v>1.3977028185756124</v>
      </c>
      <c r="CR197" s="437">
        <f t="shared" si="3257"/>
        <v>1.4022785338964749</v>
      </c>
      <c r="CS197" s="437">
        <f t="shared" si="3257"/>
        <v>1.4068692289186153</v>
      </c>
      <c r="CT197" s="437">
        <f t="shared" si="3257"/>
        <v>1.4114749526816777</v>
      </c>
      <c r="CU197" s="437">
        <f t="shared" si="3257"/>
        <v>1.416095754385849</v>
      </c>
      <c r="CV197" s="437">
        <f t="shared" si="3257"/>
        <v>1.4207316833923849</v>
      </c>
      <c r="CW197" s="437">
        <f t="shared" si="3257"/>
        <v>1.4253827892241369</v>
      </c>
      <c r="CX197" s="437">
        <f t="shared" si="3257"/>
        <v>1.4300491215660815</v>
      </c>
      <c r="CY197" s="437">
        <f t="shared" si="3257"/>
        <v>1.434730730265851</v>
      </c>
      <c r="CZ197" s="437">
        <f t="shared" si="3257"/>
        <v>1.4394276653342655</v>
      </c>
      <c r="DA197" s="437">
        <f t="shared" si="3257"/>
        <v>1.444139976945868</v>
      </c>
      <c r="DB197" s="437">
        <f t="shared" si="3257"/>
        <v>1.4488677154394596</v>
      </c>
      <c r="DC197" s="437">
        <f t="shared" si="3257"/>
        <v>1.4536109313186374</v>
      </c>
      <c r="DD197" s="437">
        <f t="shared" si="3257"/>
        <v>1.4583696752523345</v>
      </c>
      <c r="DE197" s="437">
        <f t="shared" si="3257"/>
        <v>1.4631439980753607</v>
      </c>
      <c r="DF197" s="437">
        <f t="shared" si="3257"/>
        <v>1.4679339507889455</v>
      </c>
      <c r="DG197" s="437">
        <f t="shared" si="3257"/>
        <v>1.4727395845612836</v>
      </c>
      <c r="DH197" s="437">
        <f t="shared" si="3257"/>
        <v>1.4775609507280809</v>
      </c>
      <c r="DI197" s="437">
        <f t="shared" si="3257"/>
        <v>1.4823981007931031</v>
      </c>
      <c r="DJ197" s="437">
        <f t="shared" si="3257"/>
        <v>1.4872510864287256</v>
      </c>
      <c r="DK197" s="437">
        <f t="shared" si="3257"/>
        <v>1.4921199594764858</v>
      </c>
      <c r="DL197" s="437">
        <f t="shared" si="3257"/>
        <v>1.4970047719476369</v>
      </c>
      <c r="DM197" s="437">
        <f t="shared" si="3257"/>
        <v>1.5019055760237034</v>
      </c>
      <c r="DN197" s="437">
        <f t="shared" si="3257"/>
        <v>1.5068224240570387</v>
      </c>
      <c r="DO197" s="437">
        <f t="shared" si="3257"/>
        <v>1.5117553685713836</v>
      </c>
      <c r="DP197" s="437">
        <f t="shared" si="3257"/>
        <v>1.5167044622624286</v>
      </c>
      <c r="DQ197" s="437">
        <f t="shared" si="3257"/>
        <v>1.5216697579983758</v>
      </c>
      <c r="DR197" s="437">
        <f t="shared" si="3257"/>
        <v>1.526651308820504</v>
      </c>
      <c r="DS197" s="437">
        <f t="shared" si="3257"/>
        <v>1.5316491679437358</v>
      </c>
      <c r="DT197" s="437">
        <f t="shared" si="3257"/>
        <v>1.5366633887572052</v>
      </c>
      <c r="DU197" s="437">
        <f t="shared" si="3257"/>
        <v>1.5416940248248283</v>
      </c>
      <c r="DV197" s="437">
        <f t="shared" si="3257"/>
        <v>1.5467411298858758</v>
      </c>
      <c r="DW197" s="437">
        <f t="shared" si="3257"/>
        <v>1.5518047578555465</v>
      </c>
      <c r="DX197" s="437">
        <f t="shared" si="3257"/>
        <v>1.5568849628255437</v>
      </c>
      <c r="DY197" s="437">
        <f t="shared" si="3257"/>
        <v>1.561981799064653</v>
      </c>
      <c r="DZ197" s="437">
        <f t="shared" si="3257"/>
        <v>1.5670953210193215</v>
      </c>
      <c r="EA197" s="437">
        <f t="shared" si="3257"/>
        <v>1.5722255833142402</v>
      </c>
      <c r="EB197" s="437">
        <f t="shared" si="3257"/>
        <v>1.5773726407529269</v>
      </c>
      <c r="EC197" s="437">
        <f t="shared" si="3257"/>
        <v>1.582536548318312</v>
      </c>
      <c r="ED197" s="437">
        <f t="shared" ref="ED197:GO197" si="3258">EC197*ED196</f>
        <v>1.5877173611733255</v>
      </c>
      <c r="EE197" s="437">
        <f t="shared" si="3258"/>
        <v>1.5929151346614865</v>
      </c>
      <c r="EF197" s="437">
        <f t="shared" si="3258"/>
        <v>1.5981299243074945</v>
      </c>
      <c r="EG197" s="437">
        <f t="shared" si="3258"/>
        <v>1.6033617858178224</v>
      </c>
      <c r="EH197" s="437">
        <f t="shared" si="3258"/>
        <v>1.6086107750813117</v>
      </c>
      <c r="EI197" s="437">
        <f t="shared" si="3258"/>
        <v>1.6138769481697692</v>
      </c>
      <c r="EJ197" s="437">
        <f t="shared" si="3258"/>
        <v>1.6191603613385663</v>
      </c>
      <c r="EK197" s="437">
        <f t="shared" si="3258"/>
        <v>1.62446107102724</v>
      </c>
      <c r="EL197" s="437">
        <f t="shared" si="3258"/>
        <v>1.6297791338600953</v>
      </c>
      <c r="EM197" s="437">
        <f t="shared" si="3258"/>
        <v>1.6351146066468107</v>
      </c>
      <c r="EN197" s="437">
        <f t="shared" si="3258"/>
        <v>1.6404675463830449</v>
      </c>
      <c r="EO197" s="437">
        <f t="shared" si="3258"/>
        <v>1.6458380102510453</v>
      </c>
      <c r="EP197" s="437">
        <f t="shared" si="3258"/>
        <v>1.6512260556202591</v>
      </c>
      <c r="EQ197" s="437">
        <f t="shared" si="3258"/>
        <v>1.6566317400479467</v>
      </c>
      <c r="ER197" s="437">
        <f t="shared" si="3258"/>
        <v>1.6620551212797949</v>
      </c>
      <c r="ES197" s="437">
        <f t="shared" si="3258"/>
        <v>1.6674962572505361</v>
      </c>
      <c r="ET197" s="437">
        <f t="shared" si="3258"/>
        <v>1.6729552060845649</v>
      </c>
      <c r="EU197" s="437">
        <f t="shared" si="3258"/>
        <v>1.6784320260965608</v>
      </c>
      <c r="EV197" s="437">
        <f t="shared" si="3258"/>
        <v>1.6839267757921099</v>
      </c>
      <c r="EW197" s="437">
        <f t="shared" si="3258"/>
        <v>1.6894395138683305</v>
      </c>
      <c r="EX197" s="437">
        <f t="shared" si="3258"/>
        <v>1.6949702992144999</v>
      </c>
      <c r="EY197" s="437">
        <f t="shared" si="3258"/>
        <v>1.700519190912684</v>
      </c>
      <c r="EZ197" s="437">
        <f t="shared" si="3258"/>
        <v>1.7054012092796405</v>
      </c>
      <c r="FA197" s="437">
        <f t="shared" si="3258"/>
        <v>1.7102972434268731</v>
      </c>
      <c r="FB197" s="437">
        <f t="shared" si="3258"/>
        <v>1.7152073335922675</v>
      </c>
      <c r="FC197" s="437">
        <f t="shared" si="3258"/>
        <v>1.7201315201292284</v>
      </c>
      <c r="FD197" s="437">
        <f t="shared" si="3258"/>
        <v>1.7250698435070109</v>
      </c>
      <c r="FE197" s="437">
        <f t="shared" si="3258"/>
        <v>1.730022344311053</v>
      </c>
      <c r="FF197" s="437">
        <f t="shared" si="3258"/>
        <v>1.7349890632433096</v>
      </c>
      <c r="FG197" s="437">
        <f t="shared" si="3258"/>
        <v>1.7399700411225867</v>
      </c>
      <c r="FH197" s="437">
        <f t="shared" si="3258"/>
        <v>1.7449653188848773</v>
      </c>
      <c r="FI197" s="437">
        <f t="shared" si="3258"/>
        <v>1.749974937583697</v>
      </c>
      <c r="FJ197" s="437">
        <f t="shared" si="3258"/>
        <v>1.7549989383904223</v>
      </c>
      <c r="FK197" s="437">
        <f t="shared" si="3258"/>
        <v>1.7600373625946282</v>
      </c>
      <c r="FL197" s="437">
        <f t="shared" si="3258"/>
        <v>1.7650902516044282</v>
      </c>
      <c r="FM197" s="437">
        <f t="shared" si="3258"/>
        <v>1.7701576469468141</v>
      </c>
      <c r="FN197" s="437">
        <f t="shared" si="3258"/>
        <v>1.7752395902679974</v>
      </c>
      <c r="FO197" s="437">
        <f t="shared" si="3258"/>
        <v>1.780336123333752</v>
      </c>
      <c r="FP197" s="437">
        <f t="shared" si="3258"/>
        <v>1.7854472880297567</v>
      </c>
      <c r="FQ197" s="437">
        <f t="shared" si="3258"/>
        <v>1.7905731263619402</v>
      </c>
      <c r="FR197" s="437">
        <f t="shared" si="3258"/>
        <v>1.7957136804568257</v>
      </c>
      <c r="FS197" s="437">
        <f t="shared" si="3258"/>
        <v>1.8008689925618775</v>
      </c>
      <c r="FT197" s="437">
        <f t="shared" si="3258"/>
        <v>1.8060391050458482</v>
      </c>
      <c r="FU197" s="437">
        <f t="shared" si="3258"/>
        <v>1.8112240603991265</v>
      </c>
      <c r="FV197" s="437">
        <f t="shared" si="3258"/>
        <v>1.8164239012340873</v>
      </c>
      <c r="FW197" s="437">
        <f t="shared" si="3258"/>
        <v>1.8216386702854404</v>
      </c>
      <c r="FX197" s="437">
        <f t="shared" si="3258"/>
        <v>1.8268684104105832</v>
      </c>
      <c r="FY197" s="437">
        <f t="shared" si="3258"/>
        <v>1.8321131645899527</v>
      </c>
      <c r="FZ197" s="437">
        <f t="shared" si="3258"/>
        <v>1.8373729759273774</v>
      </c>
      <c r="GA197" s="437">
        <f t="shared" si="3258"/>
        <v>1.8426478876504333</v>
      </c>
      <c r="GB197" s="437">
        <f t="shared" si="3258"/>
        <v>1.8479379431107983</v>
      </c>
      <c r="GC197" s="437">
        <f t="shared" si="3258"/>
        <v>1.8532431857846081</v>
      </c>
      <c r="GD197" s="437">
        <f t="shared" si="3258"/>
        <v>1.8585636592728147</v>
      </c>
      <c r="GE197" s="437">
        <f t="shared" si="3258"/>
        <v>1.8638994073015436</v>
      </c>
      <c r="GF197" s="437">
        <f t="shared" si="3258"/>
        <v>1.8692504737224533</v>
      </c>
      <c r="GG197" s="437">
        <f t="shared" si="3258"/>
        <v>1.8746169025130965</v>
      </c>
      <c r="GH197" s="437">
        <f t="shared" si="3258"/>
        <v>1.8799987377772809</v>
      </c>
      <c r="GI197" s="437">
        <f t="shared" si="3258"/>
        <v>1.8853960237454315</v>
      </c>
      <c r="GJ197" s="437">
        <f t="shared" si="3258"/>
        <v>1.8908088047749545</v>
      </c>
      <c r="GK197" s="437">
        <f t="shared" si="3258"/>
        <v>1.8962371253506018</v>
      </c>
      <c r="GL197" s="437">
        <f t="shared" si="3258"/>
        <v>1.9016810300848366</v>
      </c>
      <c r="GM197" s="437">
        <f t="shared" si="3258"/>
        <v>1.9071405637181995</v>
      </c>
      <c r="GN197" s="437">
        <f t="shared" si="3258"/>
        <v>1.9126157711196772</v>
      </c>
      <c r="GO197" s="437">
        <f t="shared" si="3258"/>
        <v>1.9181066972870704</v>
      </c>
      <c r="GP197" s="437">
        <f t="shared" ref="GP197:GQ197" si="3259">GO197*GP196</f>
        <v>1.9236133873473642</v>
      </c>
      <c r="GQ197" s="437">
        <f t="shared" si="3259"/>
        <v>1.9291358865570984</v>
      </c>
    </row>
    <row r="198" spans="2:199" s="315" customFormat="1" outlineLevel="1">
      <c r="B198" s="182" t="s">
        <v>415</v>
      </c>
      <c r="C198" s="315">
        <v>1</v>
      </c>
      <c r="D198" s="436"/>
      <c r="E198" s="437">
        <f>IF(E172&gt;$C177,(1+E179)*C198,1)</f>
        <v>1</v>
      </c>
      <c r="F198" s="437">
        <f>IF(F172&gt;$C177,(1+F179)*E198,1)</f>
        <v>1</v>
      </c>
      <c r="G198" s="437">
        <f t="shared" ref="G198:BR198" si="3260">IF(G172&gt;$C177,(1+G179)*F198,1)</f>
        <v>1</v>
      </c>
      <c r="H198" s="437">
        <f t="shared" si="3260"/>
        <v>1</v>
      </c>
      <c r="I198" s="437">
        <f t="shared" si="3260"/>
        <v>1</v>
      </c>
      <c r="J198" s="437">
        <f t="shared" si="3260"/>
        <v>1</v>
      </c>
      <c r="K198" s="437">
        <f t="shared" si="3260"/>
        <v>1</v>
      </c>
      <c r="L198" s="437">
        <f t="shared" si="3260"/>
        <v>1</v>
      </c>
      <c r="M198" s="437">
        <f t="shared" si="3260"/>
        <v>1</v>
      </c>
      <c r="N198" s="437">
        <f t="shared" si="3260"/>
        <v>1</v>
      </c>
      <c r="O198" s="437">
        <f t="shared" si="3260"/>
        <v>1</v>
      </c>
      <c r="P198" s="437">
        <f t="shared" si="3260"/>
        <v>1</v>
      </c>
      <c r="Q198" s="437">
        <f>IF(Q172&gt;$C177,(1+Q179)*P198,1)</f>
        <v>1</v>
      </c>
      <c r="R198" s="437">
        <f t="shared" si="3260"/>
        <v>1</v>
      </c>
      <c r="S198" s="437">
        <f t="shared" si="3260"/>
        <v>1</v>
      </c>
      <c r="T198" s="437">
        <f t="shared" si="3260"/>
        <v>1</v>
      </c>
      <c r="U198" s="437">
        <f t="shared" si="3260"/>
        <v>1</v>
      </c>
      <c r="V198" s="437">
        <f t="shared" si="3260"/>
        <v>1</v>
      </c>
      <c r="W198" s="437">
        <f t="shared" si="3260"/>
        <v>1</v>
      </c>
      <c r="X198" s="437">
        <f t="shared" si="3260"/>
        <v>1</v>
      </c>
      <c r="Y198" s="437">
        <f t="shared" si="3260"/>
        <v>1</v>
      </c>
      <c r="Z198" s="437">
        <f t="shared" si="3260"/>
        <v>1</v>
      </c>
      <c r="AA198" s="437">
        <f t="shared" si="3260"/>
        <v>1</v>
      </c>
      <c r="AB198" s="437">
        <f t="shared" si="3260"/>
        <v>1</v>
      </c>
      <c r="AC198" s="437">
        <f t="shared" si="3260"/>
        <v>1</v>
      </c>
      <c r="AD198" s="437">
        <f t="shared" si="3260"/>
        <v>1</v>
      </c>
      <c r="AE198" s="437">
        <f t="shared" si="3260"/>
        <v>1</v>
      </c>
      <c r="AF198" s="437">
        <f t="shared" si="3260"/>
        <v>1</v>
      </c>
      <c r="AG198" s="437">
        <f t="shared" si="3260"/>
        <v>1</v>
      </c>
      <c r="AH198" s="437">
        <f t="shared" si="3260"/>
        <v>1</v>
      </c>
      <c r="AI198" s="437">
        <f t="shared" si="3260"/>
        <v>1</v>
      </c>
      <c r="AJ198" s="437">
        <f t="shared" si="3260"/>
        <v>1</v>
      </c>
      <c r="AK198" s="437">
        <f t="shared" si="3260"/>
        <v>1</v>
      </c>
      <c r="AL198" s="437">
        <f t="shared" si="3260"/>
        <v>1</v>
      </c>
      <c r="AM198" s="437">
        <f t="shared" si="3260"/>
        <v>1</v>
      </c>
      <c r="AN198" s="437">
        <f t="shared" si="3260"/>
        <v>1</v>
      </c>
      <c r="AO198" s="437">
        <f t="shared" si="3260"/>
        <v>1</v>
      </c>
      <c r="AP198" s="437">
        <f t="shared" si="3260"/>
        <v>1</v>
      </c>
      <c r="AQ198" s="437">
        <f t="shared" si="3260"/>
        <v>1</v>
      </c>
      <c r="AR198" s="437">
        <f t="shared" si="3260"/>
        <v>1</v>
      </c>
      <c r="AS198" s="437">
        <f t="shared" si="3260"/>
        <v>1</v>
      </c>
      <c r="AT198" s="437">
        <f t="shared" si="3260"/>
        <v>1</v>
      </c>
      <c r="AU198" s="437">
        <f t="shared" si="3260"/>
        <v>1</v>
      </c>
      <c r="AV198" s="437">
        <f t="shared" si="3260"/>
        <v>1</v>
      </c>
      <c r="AW198" s="437">
        <f t="shared" si="3260"/>
        <v>1</v>
      </c>
      <c r="AX198" s="437">
        <f t="shared" si="3260"/>
        <v>1</v>
      </c>
      <c r="AY198" s="437">
        <f t="shared" si="3260"/>
        <v>1</v>
      </c>
      <c r="AZ198" s="437">
        <f t="shared" si="3260"/>
        <v>1</v>
      </c>
      <c r="BA198" s="437">
        <f t="shared" si="3260"/>
        <v>1</v>
      </c>
      <c r="BB198" s="437">
        <f t="shared" si="3260"/>
        <v>1</v>
      </c>
      <c r="BC198" s="437">
        <f t="shared" si="3260"/>
        <v>1</v>
      </c>
      <c r="BD198" s="437">
        <f t="shared" si="3260"/>
        <v>1</v>
      </c>
      <c r="BE198" s="437">
        <f t="shared" si="3260"/>
        <v>1</v>
      </c>
      <c r="BF198" s="437">
        <f t="shared" si="3260"/>
        <v>1</v>
      </c>
      <c r="BG198" s="437">
        <f t="shared" si="3260"/>
        <v>1</v>
      </c>
      <c r="BH198" s="437">
        <f t="shared" si="3260"/>
        <v>1</v>
      </c>
      <c r="BI198" s="437">
        <f t="shared" si="3260"/>
        <v>1</v>
      </c>
      <c r="BJ198" s="437">
        <f t="shared" si="3260"/>
        <v>1</v>
      </c>
      <c r="BK198" s="437">
        <f t="shared" si="3260"/>
        <v>1</v>
      </c>
      <c r="BL198" s="437">
        <f t="shared" si="3260"/>
        <v>1</v>
      </c>
      <c r="BM198" s="437">
        <f t="shared" si="3260"/>
        <v>1</v>
      </c>
      <c r="BN198" s="437">
        <f t="shared" si="3260"/>
        <v>1</v>
      </c>
      <c r="BO198" s="437">
        <f t="shared" si="3260"/>
        <v>1</v>
      </c>
      <c r="BP198" s="437">
        <f t="shared" si="3260"/>
        <v>1</v>
      </c>
      <c r="BQ198" s="437">
        <f t="shared" si="3260"/>
        <v>1</v>
      </c>
      <c r="BR198" s="437">
        <f t="shared" si="3260"/>
        <v>1</v>
      </c>
      <c r="BS198" s="437">
        <f t="shared" ref="BS198:ED198" si="3261">IF(BS172&gt;$C177,(1+BS179)*BR198,1)</f>
        <v>1</v>
      </c>
      <c r="BT198" s="437">
        <f t="shared" si="3261"/>
        <v>1</v>
      </c>
      <c r="BU198" s="437">
        <f t="shared" si="3261"/>
        <v>1</v>
      </c>
      <c r="BV198" s="437">
        <f t="shared" si="3261"/>
        <v>1</v>
      </c>
      <c r="BW198" s="437">
        <f t="shared" si="3261"/>
        <v>1</v>
      </c>
      <c r="BX198" s="437">
        <f t="shared" si="3261"/>
        <v>1</v>
      </c>
      <c r="BY198" s="437">
        <f t="shared" si="3261"/>
        <v>1</v>
      </c>
      <c r="BZ198" s="437">
        <f t="shared" si="3261"/>
        <v>1</v>
      </c>
      <c r="CA198" s="437">
        <f t="shared" si="3261"/>
        <v>1</v>
      </c>
      <c r="CB198" s="437">
        <f t="shared" si="3261"/>
        <v>1</v>
      </c>
      <c r="CC198" s="437">
        <f t="shared" si="3261"/>
        <v>1</v>
      </c>
      <c r="CD198" s="437">
        <f t="shared" si="3261"/>
        <v>1</v>
      </c>
      <c r="CE198" s="437">
        <f t="shared" si="3261"/>
        <v>1</v>
      </c>
      <c r="CF198" s="437">
        <f t="shared" si="3261"/>
        <v>1</v>
      </c>
      <c r="CG198" s="437">
        <f t="shared" si="3261"/>
        <v>1</v>
      </c>
      <c r="CH198" s="437">
        <f t="shared" si="3261"/>
        <v>1</v>
      </c>
      <c r="CI198" s="437">
        <f t="shared" si="3261"/>
        <v>1</v>
      </c>
      <c r="CJ198" s="437">
        <f t="shared" si="3261"/>
        <v>1</v>
      </c>
      <c r="CK198" s="437">
        <f t="shared" si="3261"/>
        <v>1</v>
      </c>
      <c r="CL198" s="437">
        <f t="shared" si="3261"/>
        <v>1</v>
      </c>
      <c r="CM198" s="437">
        <f t="shared" si="3261"/>
        <v>1</v>
      </c>
      <c r="CN198" s="437">
        <f t="shared" si="3261"/>
        <v>1</v>
      </c>
      <c r="CO198" s="437">
        <f t="shared" si="3261"/>
        <v>1</v>
      </c>
      <c r="CP198" s="437">
        <f t="shared" si="3261"/>
        <v>1</v>
      </c>
      <c r="CQ198" s="437">
        <f t="shared" si="3261"/>
        <v>1</v>
      </c>
      <c r="CR198" s="437">
        <f t="shared" si="3261"/>
        <v>1</v>
      </c>
      <c r="CS198" s="437">
        <f t="shared" si="3261"/>
        <v>1</v>
      </c>
      <c r="CT198" s="437">
        <f t="shared" si="3261"/>
        <v>1</v>
      </c>
      <c r="CU198" s="437">
        <f t="shared" si="3261"/>
        <v>1</v>
      </c>
      <c r="CV198" s="437">
        <f t="shared" si="3261"/>
        <v>1</v>
      </c>
      <c r="CW198" s="437">
        <f t="shared" si="3261"/>
        <v>1</v>
      </c>
      <c r="CX198" s="437">
        <f t="shared" si="3261"/>
        <v>1.0032737397821989</v>
      </c>
      <c r="CY198" s="437">
        <f t="shared" si="3261"/>
        <v>1.0065581969365593</v>
      </c>
      <c r="CZ198" s="437">
        <f t="shared" si="3261"/>
        <v>1.009853406548969</v>
      </c>
      <c r="DA198" s="437">
        <f t="shared" si="3261"/>
        <v>1.0131594038201774</v>
      </c>
      <c r="DB198" s="437">
        <f t="shared" si="3261"/>
        <v>1.0164762240661724</v>
      </c>
      <c r="DC198" s="437">
        <f t="shared" si="3261"/>
        <v>1.0198039027185573</v>
      </c>
      <c r="DD198" s="437">
        <f t="shared" si="3261"/>
        <v>1.0231424753249287</v>
      </c>
      <c r="DE198" s="437">
        <f t="shared" si="3261"/>
        <v>1.0264919775492574</v>
      </c>
      <c r="DF198" s="437">
        <f t="shared" si="3261"/>
        <v>1.0298524451722684</v>
      </c>
      <c r="DG198" s="437">
        <f t="shared" si="3261"/>
        <v>1.0332239140918236</v>
      </c>
      <c r="DH198" s="437">
        <f t="shared" si="3261"/>
        <v>1.0366064203233052</v>
      </c>
      <c r="DI198" s="437">
        <f t="shared" si="3261"/>
        <v>1.0400000000000005</v>
      </c>
      <c r="DJ198" s="437">
        <f t="shared" si="3261"/>
        <v>1.0434046893734874</v>
      </c>
      <c r="DK198" s="437">
        <f t="shared" si="3261"/>
        <v>1.0468205248140223</v>
      </c>
      <c r="DL198" s="437">
        <f t="shared" si="3261"/>
        <v>1.0502475428109284</v>
      </c>
      <c r="DM198" s="437">
        <f t="shared" si="3261"/>
        <v>1.0536857799729851</v>
      </c>
      <c r="DN198" s="437">
        <f t="shared" si="3261"/>
        <v>1.0571352730288199</v>
      </c>
      <c r="DO198" s="437">
        <f t="shared" si="3261"/>
        <v>1.0605960588273</v>
      </c>
      <c r="DP198" s="437">
        <f t="shared" si="3261"/>
        <v>1.0640681743379263</v>
      </c>
      <c r="DQ198" s="437">
        <f t="shared" si="3261"/>
        <v>1.0675516566512282</v>
      </c>
      <c r="DR198" s="437">
        <f t="shared" si="3261"/>
        <v>1.0710465429791596</v>
      </c>
      <c r="DS198" s="437">
        <f t="shared" si="3261"/>
        <v>1.074552870655497</v>
      </c>
      <c r="DT198" s="437">
        <f t="shared" si="3261"/>
        <v>1.0780706771362378</v>
      </c>
      <c r="DU198" s="437">
        <f t="shared" si="3261"/>
        <v>1.0816000000000008</v>
      </c>
      <c r="DV198" s="437">
        <f t="shared" si="3261"/>
        <v>1.0851408769484272</v>
      </c>
      <c r="DW198" s="437">
        <f t="shared" si="3261"/>
        <v>1.0886933458065835</v>
      </c>
      <c r="DX198" s="437">
        <f t="shared" si="3261"/>
        <v>1.0922574445233657</v>
      </c>
      <c r="DY198" s="437">
        <f t="shared" si="3261"/>
        <v>1.0958332111719047</v>
      </c>
      <c r="DZ198" s="437">
        <f t="shared" si="3261"/>
        <v>1.0994206839499729</v>
      </c>
      <c r="EA198" s="437">
        <f t="shared" si="3261"/>
        <v>1.1030199011803923</v>
      </c>
      <c r="EB198" s="437">
        <f t="shared" si="3261"/>
        <v>1.1066309013114437</v>
      </c>
      <c r="EC198" s="437">
        <f t="shared" si="3261"/>
        <v>1.1102537229172775</v>
      </c>
      <c r="ED198" s="437">
        <f t="shared" si="3261"/>
        <v>1.1138884046983262</v>
      </c>
      <c r="EE198" s="437">
        <f t="shared" ref="EE198:GP198" si="3262">IF(EE172&gt;$C177,(1+EE179)*ED198,1)</f>
        <v>1.1175349854817171</v>
      </c>
      <c r="EF198" s="437">
        <f t="shared" si="3262"/>
        <v>1.1211935042216876</v>
      </c>
      <c r="EG198" s="437">
        <f t="shared" si="3262"/>
        <v>1.1248640000000012</v>
      </c>
      <c r="EH198" s="437">
        <f t="shared" si="3262"/>
        <v>1.1285465120263647</v>
      </c>
      <c r="EI198" s="437">
        <f t="shared" si="3262"/>
        <v>1.1322410796388471</v>
      </c>
      <c r="EJ198" s="437">
        <f t="shared" si="3262"/>
        <v>1.1359477423043007</v>
      </c>
      <c r="EK198" s="437">
        <f t="shared" si="3262"/>
        <v>1.1396665396187813</v>
      </c>
      <c r="EL198" s="437">
        <f t="shared" si="3262"/>
        <v>1.1433975113079722</v>
      </c>
      <c r="EM198" s="437">
        <f t="shared" si="3262"/>
        <v>1.1471406972276084</v>
      </c>
      <c r="EN198" s="437">
        <f t="shared" si="3262"/>
        <v>1.1508961373639017</v>
      </c>
      <c r="EO198" s="437">
        <f t="shared" si="3262"/>
        <v>1.154663871833969</v>
      </c>
      <c r="EP198" s="437">
        <f t="shared" si="3262"/>
        <v>1.1584439408862597</v>
      </c>
      <c r="EQ198" s="437">
        <f t="shared" si="3262"/>
        <v>1.1622363849009862</v>
      </c>
      <c r="ER198" s="437">
        <f t="shared" si="3262"/>
        <v>1.1660412443905557</v>
      </c>
      <c r="ES198" s="437">
        <f t="shared" si="3262"/>
        <v>1.1698585600000018</v>
      </c>
      <c r="ET198" s="437">
        <f t="shared" si="3262"/>
        <v>1.1736883725074196</v>
      </c>
      <c r="EU198" s="437">
        <f t="shared" si="3262"/>
        <v>1.1775307228244014</v>
      </c>
      <c r="EV198" s="437">
        <f t="shared" si="3262"/>
        <v>1.1813856519964732</v>
      </c>
      <c r="EW198" s="437">
        <f t="shared" si="3262"/>
        <v>1.1852532012035331</v>
      </c>
      <c r="EX198" s="437">
        <f t="shared" si="3262"/>
        <v>1.1891334117602916</v>
      </c>
      <c r="EY198" s="437">
        <f t="shared" si="3262"/>
        <v>1.1930263251167132</v>
      </c>
      <c r="EZ198" s="437">
        <f t="shared" si="3262"/>
        <v>1.1964513828653156</v>
      </c>
      <c r="FA198" s="437">
        <f t="shared" si="3262"/>
        <v>1.1998862736078211</v>
      </c>
      <c r="FB198" s="437">
        <f t="shared" si="3262"/>
        <v>1.2033310255737595</v>
      </c>
      <c r="FC198" s="437">
        <f t="shared" si="3262"/>
        <v>1.2067856670737043</v>
      </c>
      <c r="FD198" s="437">
        <f t="shared" si="3262"/>
        <v>1.2102502264995063</v>
      </c>
      <c r="FE198" s="437">
        <f t="shared" si="3262"/>
        <v>1.2137247323245259</v>
      </c>
      <c r="FF198" s="437">
        <f t="shared" si="3262"/>
        <v>1.2172092131038681</v>
      </c>
      <c r="FG198" s="437">
        <f t="shared" si="3262"/>
        <v>1.2207036974746164</v>
      </c>
      <c r="FH198" s="437">
        <f t="shared" si="3262"/>
        <v>1.2242082141560684</v>
      </c>
      <c r="FI198" s="437">
        <f t="shared" si="3262"/>
        <v>1.2277227919499722</v>
      </c>
      <c r="FJ198" s="437">
        <f t="shared" si="3262"/>
        <v>1.2312474597407626</v>
      </c>
      <c r="FK198" s="437">
        <f t="shared" si="3262"/>
        <v>1.2347822464957987</v>
      </c>
      <c r="FL198" s="437">
        <f t="shared" si="3262"/>
        <v>1.238327181265602</v>
      </c>
      <c r="FM198" s="437">
        <f t="shared" si="3262"/>
        <v>1.2418822931840952</v>
      </c>
      <c r="FN198" s="437">
        <f t="shared" si="3262"/>
        <v>1.2454476114688413</v>
      </c>
      <c r="FO198" s="437">
        <f t="shared" si="3262"/>
        <v>1.2490231654212842</v>
      </c>
      <c r="FP198" s="437">
        <f t="shared" si="3262"/>
        <v>1.2526089844269892</v>
      </c>
      <c r="FQ198" s="437">
        <f t="shared" si="3262"/>
        <v>1.2562050979558845</v>
      </c>
      <c r="FR198" s="437">
        <f t="shared" si="3262"/>
        <v>1.2598115355625037</v>
      </c>
      <c r="FS198" s="437">
        <f t="shared" si="3262"/>
        <v>1.2634283268862281</v>
      </c>
      <c r="FT198" s="437">
        <f t="shared" si="3262"/>
        <v>1.2670555016515308</v>
      </c>
      <c r="FU198" s="437">
        <f t="shared" si="3262"/>
        <v>1.2706930896682211</v>
      </c>
      <c r="FV198" s="437">
        <f t="shared" si="3262"/>
        <v>1.2743411208316893</v>
      </c>
      <c r="FW198" s="437">
        <f t="shared" si="3262"/>
        <v>1.2779996251231516</v>
      </c>
      <c r="FX198" s="437">
        <f t="shared" si="3262"/>
        <v>1.2816686326098981</v>
      </c>
      <c r="FY198" s="437">
        <f t="shared" si="3262"/>
        <v>1.2853481734455385</v>
      </c>
      <c r="FZ198" s="437">
        <f t="shared" si="3262"/>
        <v>1.2890382778702509</v>
      </c>
      <c r="GA198" s="437">
        <f t="shared" si="3262"/>
        <v>1.2927389762110295</v>
      </c>
      <c r="GB198" s="437">
        <f t="shared" si="3262"/>
        <v>1.2964502988819342</v>
      </c>
      <c r="GC198" s="437">
        <f t="shared" si="3262"/>
        <v>1.3001722763843409</v>
      </c>
      <c r="GD198" s="437">
        <f t="shared" si="3262"/>
        <v>1.3039049393071915</v>
      </c>
      <c r="GE198" s="437">
        <f t="shared" si="3262"/>
        <v>1.3076483183272463</v>
      </c>
      <c r="GF198" s="437">
        <f t="shared" si="3262"/>
        <v>1.3114024442093346</v>
      </c>
      <c r="GG198" s="437">
        <f t="shared" si="3262"/>
        <v>1.3151673478066093</v>
      </c>
      <c r="GH198" s="437">
        <f t="shared" si="3262"/>
        <v>1.3189430600607988</v>
      </c>
      <c r="GI198" s="437">
        <f t="shared" si="3262"/>
        <v>1.3227296120024623</v>
      </c>
      <c r="GJ198" s="437">
        <f t="shared" si="3262"/>
        <v>1.326527034751245</v>
      </c>
      <c r="GK198" s="437">
        <f t="shared" si="3262"/>
        <v>1.3303353595161329</v>
      </c>
      <c r="GL198" s="437">
        <f t="shared" si="3262"/>
        <v>1.3341546175957102</v>
      </c>
      <c r="GM198" s="437">
        <f t="shared" si="3262"/>
        <v>1.3379848403784158</v>
      </c>
      <c r="GN198" s="437">
        <f t="shared" si="3262"/>
        <v>1.3418260593428022</v>
      </c>
      <c r="GO198" s="437">
        <f t="shared" si="3262"/>
        <v>1.345678306057793</v>
      </c>
      <c r="GP198" s="437">
        <f t="shared" si="3262"/>
        <v>1.3495416121829436</v>
      </c>
      <c r="GQ198" s="437">
        <f t="shared" ref="GQ198" si="3263">IF(GQ172&gt;$C177,(1+GQ179)*GP198,1)</f>
        <v>1.3534160094687002</v>
      </c>
    </row>
    <row r="199" spans="2:199" s="315" customFormat="1" outlineLevel="1">
      <c r="B199" s="182" t="s">
        <v>414</v>
      </c>
      <c r="D199" s="167"/>
      <c r="E199" s="162">
        <f t="shared" ref="E199" si="3264">SUM(E186:E190)</f>
        <v>268481.20364259474</v>
      </c>
      <c r="F199" s="214">
        <f t="shared" ref="F199:BQ199" si="3265">SUM(F186:F190)</f>
        <v>269957.14337377565</v>
      </c>
      <c r="G199" s="214">
        <f t="shared" si="3265"/>
        <v>272005.0074151</v>
      </c>
      <c r="H199" s="214">
        <f t="shared" si="3265"/>
        <v>274711.02135291125</v>
      </c>
      <c r="I199" s="214">
        <f t="shared" si="3265"/>
        <v>277707.61512094003</v>
      </c>
      <c r="J199" s="214">
        <f t="shared" si="3265"/>
        <v>281082.1222604689</v>
      </c>
      <c r="K199" s="214">
        <f t="shared" si="3265"/>
        <v>284268.87368455116</v>
      </c>
      <c r="L199" s="214">
        <f t="shared" si="3265"/>
        <v>287681.15977670898</v>
      </c>
      <c r="M199" s="214">
        <f t="shared" si="3265"/>
        <v>291313.04859702033</v>
      </c>
      <c r="N199" s="214">
        <f t="shared" si="3265"/>
        <v>294176.17758314463</v>
      </c>
      <c r="O199" s="214">
        <f t="shared" si="3265"/>
        <v>296825.21877079952</v>
      </c>
      <c r="P199" s="214">
        <f t="shared" si="3265"/>
        <v>299976.67088230344</v>
      </c>
      <c r="Q199" s="214">
        <f t="shared" si="3265"/>
        <v>281836.71477998653</v>
      </c>
      <c r="R199" s="214">
        <f t="shared" si="3265"/>
        <v>283669.46073312289</v>
      </c>
      <c r="S199" s="214">
        <f t="shared" si="3265"/>
        <v>285943.74292992172</v>
      </c>
      <c r="T199" s="214">
        <f t="shared" si="3265"/>
        <v>289051.35591173859</v>
      </c>
      <c r="U199" s="214">
        <f t="shared" si="3265"/>
        <v>292527.44920892495</v>
      </c>
      <c r="V199" s="214">
        <f t="shared" si="3265"/>
        <v>296196.27849219774</v>
      </c>
      <c r="W199" s="214">
        <f t="shared" si="3265"/>
        <v>299911.62598829617</v>
      </c>
      <c r="X199" s="214">
        <f t="shared" si="3265"/>
        <v>302633.22853685118</v>
      </c>
      <c r="Y199" s="214">
        <f t="shared" si="3265"/>
        <v>305373.73535674019</v>
      </c>
      <c r="Z199" s="214">
        <f t="shared" si="3265"/>
        <v>308133.2648600706</v>
      </c>
      <c r="AA199" s="214">
        <f t="shared" si="3265"/>
        <v>310911.93616314651</v>
      </c>
      <c r="AB199" s="214">
        <f t="shared" si="3265"/>
        <v>313709.86909053591</v>
      </c>
      <c r="AC199" s="214">
        <f t="shared" si="3265"/>
        <v>296819.77341313037</v>
      </c>
      <c r="AD199" s="214">
        <f t="shared" si="3265"/>
        <v>299548.25304515159</v>
      </c>
      <c r="AE199" s="214">
        <f t="shared" si="3265"/>
        <v>302295.76248724398</v>
      </c>
      <c r="AF199" s="214">
        <f t="shared" si="3265"/>
        <v>305062.42116404901</v>
      </c>
      <c r="AG199" s="214">
        <f t="shared" si="3265"/>
        <v>307848.34921115602</v>
      </c>
      <c r="AH199" s="214">
        <f t="shared" si="3265"/>
        <v>310653.66747921059</v>
      </c>
      <c r="AI199" s="214">
        <f t="shared" si="3265"/>
        <v>313478.49753804639</v>
      </c>
      <c r="AJ199" s="214">
        <f t="shared" si="3265"/>
        <v>316322.96168083989</v>
      </c>
      <c r="AK199" s="214">
        <f t="shared" si="3265"/>
        <v>319187.18292828958</v>
      </c>
      <c r="AL199" s="214">
        <f t="shared" si="3265"/>
        <v>322071.28503281804</v>
      </c>
      <c r="AM199" s="214">
        <f t="shared" si="3265"/>
        <v>324975.39248279831</v>
      </c>
      <c r="AN199" s="214">
        <f t="shared" si="3265"/>
        <v>327899.63050680415</v>
      </c>
      <c r="AO199" s="214">
        <f t="shared" si="3265"/>
        <v>310176.66321672144</v>
      </c>
      <c r="AP199" s="214">
        <f t="shared" si="3265"/>
        <v>313027.92443218362</v>
      </c>
      <c r="AQ199" s="214">
        <f t="shared" si="3265"/>
        <v>315899.07179917023</v>
      </c>
      <c r="AR199" s="214">
        <f t="shared" si="3265"/>
        <v>318790.23011643154</v>
      </c>
      <c r="AS199" s="214">
        <f t="shared" si="3265"/>
        <v>321701.52492565836</v>
      </c>
      <c r="AT199" s="214">
        <f t="shared" si="3265"/>
        <v>324633.0825157754</v>
      </c>
      <c r="AU199" s="214">
        <f t="shared" si="3265"/>
        <v>327585.02992725879</v>
      </c>
      <c r="AV199" s="214">
        <f t="shared" si="3265"/>
        <v>330557.49495647807</v>
      </c>
      <c r="AW199" s="214">
        <f t="shared" si="3265"/>
        <v>333550.60616006301</v>
      </c>
      <c r="AX199" s="214">
        <f t="shared" si="3265"/>
        <v>336564.49285929528</v>
      </c>
      <c r="AY199" s="214">
        <f t="shared" si="3265"/>
        <v>339599.28514452471</v>
      </c>
      <c r="AZ199" s="214">
        <f t="shared" si="3265"/>
        <v>342655.11387961084</v>
      </c>
      <c r="BA199" s="214">
        <f t="shared" si="3265"/>
        <v>324134.6130614744</v>
      </c>
      <c r="BB199" s="214">
        <f t="shared" si="3265"/>
        <v>327114.18103163235</v>
      </c>
      <c r="BC199" s="214">
        <f t="shared" si="3265"/>
        <v>330114.53003013332</v>
      </c>
      <c r="BD199" s="214">
        <f t="shared" si="3265"/>
        <v>333135.79047167132</v>
      </c>
      <c r="BE199" s="214">
        <f t="shared" si="3265"/>
        <v>336178.09354731336</v>
      </c>
      <c r="BF199" s="214">
        <f t="shared" si="3265"/>
        <v>339241.57122898567</v>
      </c>
      <c r="BG199" s="214">
        <f t="shared" si="3265"/>
        <v>342326.35627398576</v>
      </c>
      <c r="BH199" s="214">
        <f t="shared" si="3265"/>
        <v>345298.95829426422</v>
      </c>
      <c r="BI199" s="214">
        <f t="shared" si="3265"/>
        <v>348291.47249444568</v>
      </c>
      <c r="BJ199" s="214">
        <f t="shared" si="3265"/>
        <v>351304.02002862003</v>
      </c>
      <c r="BK199" s="214">
        <f t="shared" si="3265"/>
        <v>354336.72275517421</v>
      </c>
      <c r="BL199" s="214">
        <f t="shared" si="3265"/>
        <v>357389.70324078918</v>
      </c>
      <c r="BM199" s="214">
        <f t="shared" si="3265"/>
        <v>337909.36248865235</v>
      </c>
      <c r="BN199" s="214">
        <f t="shared" si="3265"/>
        <v>340879.28295530024</v>
      </c>
      <c r="BO199" s="214">
        <f t="shared" si="3265"/>
        <v>343869.17157407093</v>
      </c>
      <c r="BP199" s="214">
        <f t="shared" si="3265"/>
        <v>346879.15003825241</v>
      </c>
      <c r="BQ199" s="214">
        <f t="shared" si="3265"/>
        <v>349909.34074915183</v>
      </c>
      <c r="BR199" s="214">
        <f t="shared" ref="BR199:EC199" si="3266">SUM(BR186:BR190)</f>
        <v>352959.86682011519</v>
      </c>
      <c r="BS199" s="214">
        <f t="shared" si="3266"/>
        <v>356030.85208057018</v>
      </c>
      <c r="BT199" s="214">
        <f t="shared" si="3266"/>
        <v>359122.4210800911</v>
      </c>
      <c r="BU199" s="214">
        <f t="shared" si="3266"/>
        <v>362234.69909248682</v>
      </c>
      <c r="BV199" s="214">
        <f t="shared" si="3266"/>
        <v>365367.81211991177</v>
      </c>
      <c r="BW199" s="214">
        <f t="shared" si="3266"/>
        <v>368521.88689699973</v>
      </c>
      <c r="BX199" s="214">
        <f t="shared" si="3266"/>
        <v>371697.0508950206</v>
      </c>
      <c r="BY199" s="214">
        <f t="shared" si="3266"/>
        <v>351425.73698819865</v>
      </c>
      <c r="BZ199" s="214">
        <f t="shared" si="3266"/>
        <v>354514.45427351247</v>
      </c>
      <c r="CA199" s="214">
        <f t="shared" si="3266"/>
        <v>357623.93843703397</v>
      </c>
      <c r="CB199" s="214">
        <f t="shared" si="3266"/>
        <v>360754.31603978277</v>
      </c>
      <c r="CC199" s="214">
        <f t="shared" si="3266"/>
        <v>363905.71437911817</v>
      </c>
      <c r="CD199" s="214">
        <f t="shared" si="3266"/>
        <v>367078.26149292011</v>
      </c>
      <c r="CE199" s="214">
        <f t="shared" si="3266"/>
        <v>370272.08616379334</v>
      </c>
      <c r="CF199" s="214">
        <f t="shared" si="3266"/>
        <v>373487.31792329508</v>
      </c>
      <c r="CG199" s="214">
        <f t="shared" si="3266"/>
        <v>376724.08705618663</v>
      </c>
      <c r="CH199" s="214">
        <f t="shared" si="3266"/>
        <v>379982.5246047086</v>
      </c>
      <c r="CI199" s="214">
        <f t="shared" si="3266"/>
        <v>383262.76237288001</v>
      </c>
      <c r="CJ199" s="214">
        <f t="shared" si="3266"/>
        <v>386564.93293082179</v>
      </c>
      <c r="CK199" s="214">
        <f t="shared" si="3266"/>
        <v>365482.76646772691</v>
      </c>
      <c r="CL199" s="214">
        <f t="shared" si="3266"/>
        <v>368695.03244445327</v>
      </c>
      <c r="CM199" s="214">
        <f t="shared" si="3266"/>
        <v>371928.89597451565</v>
      </c>
      <c r="CN199" s="214">
        <f t="shared" si="3266"/>
        <v>375184.48868137435</v>
      </c>
      <c r="CO199" s="214">
        <f t="shared" si="3266"/>
        <v>378461.94295428315</v>
      </c>
      <c r="CP199" s="214">
        <f t="shared" si="3266"/>
        <v>381761.39195263718</v>
      </c>
      <c r="CQ199" s="214">
        <f t="shared" si="3266"/>
        <v>385082.96961034526</v>
      </c>
      <c r="CR199" s="214">
        <f t="shared" si="3266"/>
        <v>388426.81064022705</v>
      </c>
      <c r="CS199" s="214">
        <f t="shared" si="3266"/>
        <v>391793.0505384343</v>
      </c>
      <c r="CT199" s="214">
        <f t="shared" si="3266"/>
        <v>395181.82558889716</v>
      </c>
      <c r="CU199" s="214">
        <f t="shared" si="3266"/>
        <v>398593.27286779549</v>
      </c>
      <c r="CV199" s="214">
        <f t="shared" si="3266"/>
        <v>402027.53024805489</v>
      </c>
      <c r="CW199" s="214">
        <f t="shared" si="3266"/>
        <v>380102.07712643617</v>
      </c>
      <c r="CX199" s="214">
        <f t="shared" si="3266"/>
        <v>255641.33725594572</v>
      </c>
      <c r="CY199" s="214">
        <f t="shared" si="3266"/>
        <v>257883.59474405801</v>
      </c>
      <c r="CZ199" s="214">
        <f t="shared" si="3266"/>
        <v>260140.91854802726</v>
      </c>
      <c r="DA199" s="214">
        <f t="shared" si="3266"/>
        <v>262413.40046232549</v>
      </c>
      <c r="DB199" s="214">
        <f t="shared" si="3266"/>
        <v>264701.13281541626</v>
      </c>
      <c r="DC199" s="214">
        <f t="shared" si="3266"/>
        <v>267004.20847278601</v>
      </c>
      <c r="DD199" s="214">
        <f t="shared" si="3266"/>
        <v>269322.7208399931</v>
      </c>
      <c r="DE199" s="214">
        <f t="shared" si="3266"/>
        <v>271656.76386573323</v>
      </c>
      <c r="DF199" s="214">
        <f t="shared" si="3266"/>
        <v>274006.43204492255</v>
      </c>
      <c r="DG199" s="214">
        <f t="shared" si="3266"/>
        <v>276371.82042179769</v>
      </c>
      <c r="DH199" s="214">
        <f t="shared" si="3266"/>
        <v>278753.02459303336</v>
      </c>
      <c r="DI199" s="214">
        <f t="shared" si="3266"/>
        <v>263550.61701300286</v>
      </c>
      <c r="DJ199" s="214">
        <f t="shared" si="3266"/>
        <v>132953.43440044631</v>
      </c>
      <c r="DK199" s="214">
        <f t="shared" si="3266"/>
        <v>134119.58318160442</v>
      </c>
      <c r="DL199" s="214">
        <f t="shared" si="3266"/>
        <v>135293.56762212201</v>
      </c>
      <c r="DM199" s="214">
        <f t="shared" si="3266"/>
        <v>136475.43546228416</v>
      </c>
      <c r="DN199" s="214">
        <f t="shared" si="3266"/>
        <v>137665.23472009317</v>
      </c>
      <c r="DO199" s="214">
        <f t="shared" si="3266"/>
        <v>138863.01369284518</v>
      </c>
      <c r="DP199" s="214">
        <f t="shared" si="3266"/>
        <v>140068.82095871575</v>
      </c>
      <c r="DQ199" s="214">
        <f t="shared" si="3266"/>
        <v>141282.70537835432</v>
      </c>
      <c r="DR199" s="214">
        <f t="shared" si="3266"/>
        <v>142504.71609648751</v>
      </c>
      <c r="DS199" s="214">
        <f t="shared" si="3266"/>
        <v>143734.90254353141</v>
      </c>
      <c r="DT199" s="214">
        <f t="shared" si="3266"/>
        <v>144973.31443721309</v>
      </c>
      <c r="DU199" s="214">
        <f t="shared" si="3266"/>
        <v>137066.87676709241</v>
      </c>
      <c r="DV199" s="214">
        <f t="shared" si="3266"/>
        <v>0</v>
      </c>
      <c r="DW199" s="214">
        <f t="shared" si="3266"/>
        <v>0</v>
      </c>
      <c r="DX199" s="214">
        <f t="shared" si="3266"/>
        <v>0</v>
      </c>
      <c r="DY199" s="214">
        <f t="shared" si="3266"/>
        <v>0</v>
      </c>
      <c r="DZ199" s="214">
        <f t="shared" si="3266"/>
        <v>0</v>
      </c>
      <c r="EA199" s="214">
        <f t="shared" si="3266"/>
        <v>0</v>
      </c>
      <c r="EB199" s="214">
        <f t="shared" si="3266"/>
        <v>0</v>
      </c>
      <c r="EC199" s="214">
        <f t="shared" si="3266"/>
        <v>0</v>
      </c>
      <c r="ED199" s="214">
        <f t="shared" ref="ED199:GO199" si="3267">SUM(ED186:ED190)</f>
        <v>0</v>
      </c>
      <c r="EE199" s="214">
        <f t="shared" si="3267"/>
        <v>0</v>
      </c>
      <c r="EF199" s="214">
        <f t="shared" si="3267"/>
        <v>0</v>
      </c>
      <c r="EG199" s="214">
        <f t="shared" si="3267"/>
        <v>0</v>
      </c>
      <c r="EH199" s="214">
        <f t="shared" si="3267"/>
        <v>0</v>
      </c>
      <c r="EI199" s="214">
        <f t="shared" si="3267"/>
        <v>0</v>
      </c>
      <c r="EJ199" s="214">
        <f t="shared" si="3267"/>
        <v>0</v>
      </c>
      <c r="EK199" s="214">
        <f t="shared" si="3267"/>
        <v>0</v>
      </c>
      <c r="EL199" s="214">
        <f t="shared" si="3267"/>
        <v>0</v>
      </c>
      <c r="EM199" s="214">
        <f t="shared" si="3267"/>
        <v>0</v>
      </c>
      <c r="EN199" s="214">
        <f t="shared" si="3267"/>
        <v>0</v>
      </c>
      <c r="EO199" s="214">
        <f t="shared" si="3267"/>
        <v>0</v>
      </c>
      <c r="EP199" s="214">
        <f t="shared" si="3267"/>
        <v>0</v>
      </c>
      <c r="EQ199" s="214">
        <f t="shared" si="3267"/>
        <v>0</v>
      </c>
      <c r="ER199" s="214">
        <f t="shared" si="3267"/>
        <v>0</v>
      </c>
      <c r="ES199" s="214">
        <f t="shared" si="3267"/>
        <v>0</v>
      </c>
      <c r="ET199" s="214">
        <f t="shared" si="3267"/>
        <v>0</v>
      </c>
      <c r="EU199" s="214">
        <f t="shared" si="3267"/>
        <v>0</v>
      </c>
      <c r="EV199" s="214">
        <f t="shared" si="3267"/>
        <v>0</v>
      </c>
      <c r="EW199" s="214">
        <f t="shared" si="3267"/>
        <v>0</v>
      </c>
      <c r="EX199" s="214">
        <f t="shared" si="3267"/>
        <v>0</v>
      </c>
      <c r="EY199" s="214">
        <f t="shared" si="3267"/>
        <v>0</v>
      </c>
      <c r="EZ199" s="214">
        <f t="shared" si="3267"/>
        <v>0</v>
      </c>
      <c r="FA199" s="214">
        <f t="shared" si="3267"/>
        <v>0</v>
      </c>
      <c r="FB199" s="214">
        <f t="shared" si="3267"/>
        <v>0</v>
      </c>
      <c r="FC199" s="214">
        <f t="shared" si="3267"/>
        <v>0</v>
      </c>
      <c r="FD199" s="214">
        <f t="shared" si="3267"/>
        <v>0</v>
      </c>
      <c r="FE199" s="214">
        <f t="shared" si="3267"/>
        <v>0</v>
      </c>
      <c r="FF199" s="214">
        <f t="shared" si="3267"/>
        <v>0</v>
      </c>
      <c r="FG199" s="214">
        <f t="shared" si="3267"/>
        <v>0</v>
      </c>
      <c r="FH199" s="214">
        <f t="shared" si="3267"/>
        <v>0</v>
      </c>
      <c r="FI199" s="214">
        <f t="shared" si="3267"/>
        <v>0</v>
      </c>
      <c r="FJ199" s="214">
        <f t="shared" si="3267"/>
        <v>0</v>
      </c>
      <c r="FK199" s="214">
        <f t="shared" si="3267"/>
        <v>0</v>
      </c>
      <c r="FL199" s="214">
        <f t="shared" si="3267"/>
        <v>0</v>
      </c>
      <c r="FM199" s="214">
        <f t="shared" si="3267"/>
        <v>0</v>
      </c>
      <c r="FN199" s="214">
        <f t="shared" si="3267"/>
        <v>0</v>
      </c>
      <c r="FO199" s="214">
        <f t="shared" si="3267"/>
        <v>0</v>
      </c>
      <c r="FP199" s="214">
        <f t="shared" si="3267"/>
        <v>0</v>
      </c>
      <c r="FQ199" s="214">
        <f t="shared" si="3267"/>
        <v>0</v>
      </c>
      <c r="FR199" s="214">
        <f t="shared" si="3267"/>
        <v>0</v>
      </c>
      <c r="FS199" s="214">
        <f t="shared" si="3267"/>
        <v>0</v>
      </c>
      <c r="FT199" s="214">
        <f t="shared" si="3267"/>
        <v>0</v>
      </c>
      <c r="FU199" s="214">
        <f t="shared" si="3267"/>
        <v>0</v>
      </c>
      <c r="FV199" s="214">
        <f t="shared" si="3267"/>
        <v>0</v>
      </c>
      <c r="FW199" s="214">
        <f t="shared" si="3267"/>
        <v>0</v>
      </c>
      <c r="FX199" s="214">
        <f t="shared" si="3267"/>
        <v>0</v>
      </c>
      <c r="FY199" s="214">
        <f t="shared" si="3267"/>
        <v>0</v>
      </c>
      <c r="FZ199" s="214">
        <f t="shared" si="3267"/>
        <v>0</v>
      </c>
      <c r="GA199" s="214">
        <f t="shared" si="3267"/>
        <v>0</v>
      </c>
      <c r="GB199" s="214">
        <f t="shared" si="3267"/>
        <v>0</v>
      </c>
      <c r="GC199" s="214">
        <f t="shared" si="3267"/>
        <v>0</v>
      </c>
      <c r="GD199" s="214">
        <f t="shared" si="3267"/>
        <v>0</v>
      </c>
      <c r="GE199" s="214">
        <f t="shared" si="3267"/>
        <v>0</v>
      </c>
      <c r="GF199" s="214">
        <f t="shared" si="3267"/>
        <v>0</v>
      </c>
      <c r="GG199" s="214">
        <f t="shared" si="3267"/>
        <v>0</v>
      </c>
      <c r="GH199" s="214">
        <f t="shared" si="3267"/>
        <v>0</v>
      </c>
      <c r="GI199" s="214">
        <f t="shared" si="3267"/>
        <v>0</v>
      </c>
      <c r="GJ199" s="214">
        <f t="shared" si="3267"/>
        <v>0</v>
      </c>
      <c r="GK199" s="214">
        <f t="shared" si="3267"/>
        <v>0</v>
      </c>
      <c r="GL199" s="214">
        <f t="shared" si="3267"/>
        <v>0</v>
      </c>
      <c r="GM199" s="214">
        <f t="shared" si="3267"/>
        <v>0</v>
      </c>
      <c r="GN199" s="214">
        <f t="shared" si="3267"/>
        <v>0</v>
      </c>
      <c r="GO199" s="214">
        <f t="shared" si="3267"/>
        <v>0</v>
      </c>
      <c r="GP199" s="214">
        <f t="shared" ref="GP199:GQ199" si="3268">SUM(GP186:GP190)</f>
        <v>0</v>
      </c>
      <c r="GQ199" s="214">
        <f t="shared" si="3268"/>
        <v>0</v>
      </c>
    </row>
    <row r="200" spans="2:199" s="315" customFormat="1" outlineLevel="1" collapsed="1">
      <c r="B200" s="315" t="s">
        <v>478</v>
      </c>
      <c r="E200" s="429">
        <f>VLOOKUP(EOMONTH(E172,0),Macroeconomics!$B$67:$R$380,Macroeconomics!$J$66,0)</f>
        <v>1.2048105699923151</v>
      </c>
      <c r="F200" s="429">
        <f>VLOOKUP(EOMONTH(F172,0),Macroeconomics!$B$67:$R$380,Macroeconomics!$J$66,0)</f>
        <v>1.2055934425118784</v>
      </c>
      <c r="G200" s="429">
        <f>VLOOKUP(EOMONTH(G172,0),Macroeconomics!$B$67:$R$380,Macroeconomics!$J$66,0)</f>
        <v>1.2068586517400288</v>
      </c>
      <c r="H200" s="429">
        <f>VLOOKUP(EOMONTH(H172,0),Macroeconomics!$B$67:$R$380,Macroeconomics!$J$66,0)</f>
        <v>1.2108404192102962</v>
      </c>
      <c r="I200" s="429">
        <f>VLOOKUP(EOMONTH(I172,0),Macroeconomics!$B$67:$R$380,Macroeconomics!$J$66,0)</f>
        <v>1.2168944707042963</v>
      </c>
      <c r="J200" s="429">
        <f>VLOOKUP(EOMONTH(J172,0),Macroeconomics!$B$67:$R$380,Macroeconomics!$J$66,0)</f>
        <v>1.2243781162014544</v>
      </c>
      <c r="K200" s="429">
        <f>VLOOKUP(EOMONTH(K172,0),Macroeconomics!$B$67:$R$380,Macroeconomics!$J$66,0)</f>
        <v>1.2322140388177858</v>
      </c>
      <c r="L200" s="429">
        <f>VLOOKUP(EOMONTH(L172,0),Macroeconomics!$B$67:$R$380,Macroeconomics!$J$66,0)</f>
        <v>1.2400508407618154</v>
      </c>
      <c r="M200" s="429">
        <f>VLOOKUP(EOMONTH(M172,0),Macroeconomics!$B$67:$R$380,Macroeconomics!$J$66,0)</f>
        <v>1.2488055285251309</v>
      </c>
      <c r="N200" s="429">
        <f>VLOOKUP(EOMONTH(N172,0),Macroeconomics!$B$67:$R$380,Macroeconomics!$J$66,0)</f>
        <v>1.2562471223839686</v>
      </c>
      <c r="O200" s="429">
        <f>VLOOKUP(EOMONTH(O172,0),Macroeconomics!$B$67:$R$380,Macroeconomics!$J$66,0)</f>
        <v>1.2613976252371712</v>
      </c>
      <c r="P200" s="429">
        <f>VLOOKUP(EOMONTH(P172,0),Macroeconomics!$B$67:$R$380,Macroeconomics!$J$66,0)</f>
        <v>1.2671239060990001</v>
      </c>
      <c r="Q200" s="429">
        <f>VLOOKUP(EOMONTH(Q172,0),Macroeconomics!$B$67:$R$380,Macroeconomics!$J$66,0)</f>
        <v>1.271531169826883</v>
      </c>
      <c r="R200" s="429">
        <f>VLOOKUP(EOMONTH(R172,0),Macroeconomics!$B$67:$R$380,Macroeconomics!$J$66,0)</f>
        <v>1.2731586799439574</v>
      </c>
      <c r="S200" s="429">
        <f>VLOOKUP(EOMONTH(S172,0),Macroeconomics!$B$67:$R$380,Macroeconomics!$J$66,0)</f>
        <v>1.2753990721783734</v>
      </c>
      <c r="T200" s="429">
        <f>VLOOKUP(EOMONTH(T172,0),Macroeconomics!$B$67:$R$380,Macroeconomics!$J$66,0)</f>
        <v>1.2804483353855516</v>
      </c>
      <c r="U200" s="429">
        <f>VLOOKUP(EOMONTH(U172,0),Macroeconomics!$B$67:$R$380,Macroeconomics!$J$66,0)</f>
        <v>1.2881307962917807</v>
      </c>
      <c r="V200" s="429">
        <f>VLOOKUP(EOMONTH(V172,0),Macroeconomics!$B$67:$R$380,Macroeconomics!$J$66,0)</f>
        <v>1.2969930860205701</v>
      </c>
      <c r="W200" s="429">
        <f>VLOOKUP(EOMONTH(W172,0),Macroeconomics!$B$67:$R$380,Macroeconomics!$J$66,0)</f>
        <v>1.3063054961206484</v>
      </c>
      <c r="X200" s="429">
        <f>VLOOKUP(EOMONTH(X172,0),Macroeconomics!$B$67:$R$380,Macroeconomics!$J$66,0)</f>
        <v>1.3134063895602146</v>
      </c>
      <c r="Y200" s="429">
        <f>VLOOKUP(EOMONTH(Y172,0),Macroeconomics!$B$67:$R$380,Macroeconomics!$J$66,0)</f>
        <v>1.3182329077071644</v>
      </c>
      <c r="Z200" s="429">
        <f>VLOOKUP(EOMONTH(Z172,0),Macroeconomics!$B$67:$R$380,Macroeconomics!$J$66,0)</f>
        <v>1.3230771623883719</v>
      </c>
      <c r="AA200" s="429">
        <f>VLOOKUP(EOMONTH(AA172,0),Macroeconomics!$B$67:$R$380,Macroeconomics!$J$66,0)</f>
        <v>1.3279392187822201</v>
      </c>
      <c r="AB200" s="429">
        <f>VLOOKUP(EOMONTH(AB172,0),Macroeconomics!$B$67:$R$380,Macroeconomics!$J$66,0)</f>
        <v>1.3328191423066098</v>
      </c>
      <c r="AC200" s="429">
        <f>VLOOKUP(EOMONTH(AC172,0),Macroeconomics!$B$67:$R$380,Macroeconomics!$J$66,0)</f>
        <v>1.3377169986198403</v>
      </c>
      <c r="AD200" s="429">
        <f>VLOOKUP(EOMONTH(AD172,0),Macroeconomics!$B$67:$R$380,Macroeconomics!$J$66,0)</f>
        <v>1.3426328536214927</v>
      </c>
      <c r="AE200" s="429">
        <f>VLOOKUP(EOMONTH(AE172,0),Macroeconomics!$B$67:$R$380,Macroeconomics!$J$66,0)</f>
        <v>1.3475667734533161</v>
      </c>
      <c r="AF200" s="429">
        <f>VLOOKUP(EOMONTH(AF172,0),Macroeconomics!$B$67:$R$380,Macroeconomics!$J$66,0)</f>
        <v>1.3525188245001187</v>
      </c>
      <c r="AG200" s="429">
        <f>VLOOKUP(EOMONTH(AG172,0),Macroeconomics!$B$67:$R$380,Macroeconomics!$J$66,0)</f>
        <v>1.3574890733906595</v>
      </c>
      <c r="AH200" s="429">
        <f>VLOOKUP(EOMONTH(AH172,0),Macroeconomics!$B$67:$R$380,Macroeconomics!$J$66,0)</f>
        <v>1.3624775869985457</v>
      </c>
      <c r="AI200" s="429">
        <f>VLOOKUP(EOMONTH(AI172,0),Macroeconomics!$B$67:$R$380,Macroeconomics!$J$66,0)</f>
        <v>1.3674844324431326</v>
      </c>
      <c r="AJ200" s="429">
        <f>VLOOKUP(EOMONTH(AJ172,0),Macroeconomics!$B$67:$R$380,Macroeconomics!$J$66,0)</f>
        <v>1.3725096770904257</v>
      </c>
      <c r="AK200" s="429">
        <f>VLOOKUP(EOMONTH(AK172,0),Macroeconomics!$B$67:$R$380,Macroeconomics!$J$66,0)</f>
        <v>1.3775533885539881</v>
      </c>
      <c r="AL200" s="429">
        <f>VLOOKUP(EOMONTH(AL172,0),Macroeconomics!$B$67:$R$380,Macroeconomics!$J$66,0)</f>
        <v>1.38261563469585</v>
      </c>
      <c r="AM200" s="429">
        <f>VLOOKUP(EOMONTH(AM172,0),Macroeconomics!$B$67:$R$380,Macroeconomics!$J$66,0)</f>
        <v>1.3876964836274213</v>
      </c>
      <c r="AN200" s="429">
        <f>VLOOKUP(EOMONTH(AN172,0),Macroeconomics!$B$67:$R$380,Macroeconomics!$J$66,0)</f>
        <v>1.3927960037104086</v>
      </c>
      <c r="AO200" s="429">
        <f>VLOOKUP(EOMONTH(AO172,0),Macroeconomics!$B$67:$R$380,Macroeconomics!$J$66,0)</f>
        <v>1.3979142635577344</v>
      </c>
      <c r="AP200" s="429">
        <f>VLOOKUP(EOMONTH(AP172,0),Macroeconomics!$B$67:$R$380,Macroeconomics!$J$66,0)</f>
        <v>1.4030513320344611</v>
      </c>
      <c r="AQ200" s="429">
        <f>VLOOKUP(EOMONTH(AQ172,0),Macroeconomics!$B$67:$R$380,Macroeconomics!$J$66,0)</f>
        <v>1.4082072782587169</v>
      </c>
      <c r="AR200" s="429">
        <f>VLOOKUP(EOMONTH(AR172,0),Macroeconomics!$B$67:$R$380,Macroeconomics!$J$66,0)</f>
        <v>1.4133821716026256</v>
      </c>
      <c r="AS200" s="429">
        <f>VLOOKUP(EOMONTH(AS172,0),Macroeconomics!$B$67:$R$380,Macroeconomics!$J$66,0)</f>
        <v>1.4185760816932409</v>
      </c>
      <c r="AT200" s="429">
        <f>VLOOKUP(EOMONTH(AT172,0),Macroeconomics!$B$67:$R$380,Macroeconomics!$J$66,0)</f>
        <v>1.4237890784134821</v>
      </c>
      <c r="AU200" s="429">
        <f>VLOOKUP(EOMONTH(AU172,0),Macroeconomics!$B$67:$R$380,Macroeconomics!$J$66,0)</f>
        <v>1.4290212319030753</v>
      </c>
      <c r="AV200" s="429">
        <f>VLOOKUP(EOMONTH(AV172,0),Macroeconomics!$B$67:$R$380,Macroeconomics!$J$66,0)</f>
        <v>1.4342726125594967</v>
      </c>
      <c r="AW200" s="429">
        <f>VLOOKUP(EOMONTH(AW172,0),Macroeconomics!$B$67:$R$380,Macroeconomics!$J$66,0)</f>
        <v>1.4395432910389194</v>
      </c>
      <c r="AX200" s="429">
        <f>VLOOKUP(EOMONTH(AX172,0),Macroeconomics!$B$67:$R$380,Macroeconomics!$J$66,0)</f>
        <v>1.444833338257165</v>
      </c>
      <c r="AY200" s="429">
        <f>VLOOKUP(EOMONTH(AY172,0),Macroeconomics!$B$67:$R$380,Macroeconomics!$J$66,0)</f>
        <v>1.450142825390657</v>
      </c>
      <c r="AZ200" s="429">
        <f>VLOOKUP(EOMONTH(AZ172,0),Macroeconomics!$B$67:$R$380,Macroeconomics!$J$66,0)</f>
        <v>1.4554718238773785</v>
      </c>
      <c r="BA200" s="429">
        <f>VLOOKUP(EOMONTH(BA172,0),Macroeconomics!$B$67:$R$380,Macroeconomics!$J$66,0)</f>
        <v>1.4608204054178342</v>
      </c>
      <c r="BB200" s="429">
        <f>VLOOKUP(EOMONTH(BB172,0),Macroeconomics!$B$67:$R$380,Macroeconomics!$J$66,0)</f>
        <v>1.4661886419760135</v>
      </c>
      <c r="BC200" s="429">
        <f>VLOOKUP(EOMONTH(BC172,0),Macroeconomics!$B$67:$R$380,Macroeconomics!$J$66,0)</f>
        <v>1.4715766057803608</v>
      </c>
      <c r="BD200" s="429">
        <f>VLOOKUP(EOMONTH(BD172,0),Macroeconomics!$B$67:$R$380,Macroeconomics!$J$66,0)</f>
        <v>1.4769843693247453</v>
      </c>
      <c r="BE200" s="429">
        <f>VLOOKUP(EOMONTH(BE172,0),Macroeconomics!$B$67:$R$380,Macroeconomics!$J$66,0)</f>
        <v>1.4824120053694383</v>
      </c>
      <c r="BF200" s="429">
        <f>VLOOKUP(EOMONTH(BF172,0),Macroeconomics!$B$67:$R$380,Macroeconomics!$J$66,0)</f>
        <v>1.4878595869420905</v>
      </c>
      <c r="BG200" s="429">
        <f>VLOOKUP(EOMONTH(BG172,0),Macroeconomics!$B$67:$R$380,Macroeconomics!$J$66,0)</f>
        <v>1.4933271873387153</v>
      </c>
      <c r="BH200" s="429">
        <f>VLOOKUP(EOMONTH(BH172,0),Macroeconomics!$B$67:$R$380,Macroeconomics!$J$66,0)</f>
        <v>1.4985153861196825</v>
      </c>
      <c r="BI200" s="429">
        <f>VLOOKUP(EOMONTH(BI172,0),Macroeconomics!$B$67:$R$380,Macroeconomics!$J$66,0)</f>
        <v>1.5034211355534597</v>
      </c>
      <c r="BJ200" s="429">
        <f>VLOOKUP(EOMONTH(BJ172,0),Macroeconomics!$B$67:$R$380,Macroeconomics!$J$66,0)</f>
        <v>1.5083429451343198</v>
      </c>
      <c r="BK200" s="429">
        <f>VLOOKUP(EOMONTH(BK172,0),Macroeconomics!$B$67:$R$380,Macroeconomics!$J$66,0)</f>
        <v>1.513280867439005</v>
      </c>
      <c r="BL200" s="429">
        <f>VLOOKUP(EOMONTH(BL172,0),Macroeconomics!$B$67:$R$380,Macroeconomics!$J$66,0)</f>
        <v>1.5182349552163805</v>
      </c>
      <c r="BM200" s="429">
        <f>VLOOKUP(EOMONTH(BM172,0),Macroeconomics!$B$67:$R$380,Macroeconomics!$J$66,0)</f>
        <v>1.5232052613879974</v>
      </c>
      <c r="BN200" s="429">
        <f>VLOOKUP(EOMONTH(BN172,0),Macroeconomics!$B$67:$R$380,Macroeconomics!$J$66,0)</f>
        <v>1.528191839048658</v>
      </c>
      <c r="BO200" s="429">
        <f>VLOOKUP(EOMONTH(BO172,0),Macroeconomics!$B$67:$R$380,Macroeconomics!$J$66,0)</f>
        <v>1.5331947414669833</v>
      </c>
      <c r="BP200" s="429">
        <f>VLOOKUP(EOMONTH(BP172,0),Macroeconomics!$B$67:$R$380,Macroeconomics!$J$66,0)</f>
        <v>1.5382140220859819</v>
      </c>
      <c r="BQ200" s="429">
        <f>VLOOKUP(EOMONTH(BQ172,0),Macroeconomics!$B$67:$R$380,Macroeconomics!$J$66,0)</f>
        <v>1.5432497345236211</v>
      </c>
      <c r="BR200" s="429">
        <f>VLOOKUP(EOMONTH(BR172,0),Macroeconomics!$B$67:$R$380,Macroeconomics!$J$66,0)</f>
        <v>1.5483019325733989</v>
      </c>
      <c r="BS200" s="429">
        <f>VLOOKUP(EOMONTH(BS172,0),Macroeconomics!$B$67:$R$380,Macroeconomics!$J$66,0)</f>
        <v>1.5533706702049199</v>
      </c>
      <c r="BT200" s="429">
        <f>VLOOKUP(EOMONTH(BT172,0),Macroeconomics!$B$67:$R$380,Macroeconomics!$J$66,0)</f>
        <v>1.5584560015644708</v>
      </c>
      <c r="BU200" s="429">
        <f>VLOOKUP(EOMONTH(BU172,0),Macroeconomics!$B$67:$R$380,Macroeconomics!$J$66,0)</f>
        <v>1.5635579809755991</v>
      </c>
      <c r="BV200" s="429">
        <f>VLOOKUP(EOMONTH(BV172,0),Macroeconomics!$B$67:$R$380,Macroeconomics!$J$66,0)</f>
        <v>1.5686766629396935</v>
      </c>
      <c r="BW200" s="429">
        <f>VLOOKUP(EOMONTH(BW172,0),Macroeconomics!$B$67:$R$380,Macroeconomics!$J$66,0)</f>
        <v>1.5738121021365663</v>
      </c>
      <c r="BX200" s="429">
        <f>VLOOKUP(EOMONTH(BX172,0),Macroeconomics!$B$67:$R$380,Macroeconomics!$J$66,0)</f>
        <v>1.5789643534250368</v>
      </c>
      <c r="BY200" s="429">
        <f>VLOOKUP(EOMONTH(BY172,0),Macroeconomics!$B$67:$R$380,Macroeconomics!$J$66,0)</f>
        <v>1.5841334718435183</v>
      </c>
      <c r="BZ200" s="429">
        <f>VLOOKUP(EOMONTH(BZ172,0),Macroeconomics!$B$67:$R$380,Macroeconomics!$J$66,0)</f>
        <v>1.5893195126106054</v>
      </c>
      <c r="CA200" s="429">
        <f>VLOOKUP(EOMONTH(CA172,0),Macroeconomics!$B$67:$R$380,Macroeconomics!$J$66,0)</f>
        <v>1.5945225311256637</v>
      </c>
      <c r="CB200" s="429">
        <f>VLOOKUP(EOMONTH(CB172,0),Macroeconomics!$B$67:$R$380,Macroeconomics!$J$66,0)</f>
        <v>1.5997425829694223</v>
      </c>
      <c r="CC200" s="429">
        <f>VLOOKUP(EOMONTH(CC172,0),Macroeconomics!$B$67:$R$380,Macroeconomics!$J$66,0)</f>
        <v>1.6049797239045671</v>
      </c>
      <c r="CD200" s="429">
        <f>VLOOKUP(EOMONTH(CD172,0),Macroeconomics!$B$67:$R$380,Macroeconomics!$J$66,0)</f>
        <v>1.6102340098763359</v>
      </c>
      <c r="CE200" s="429">
        <f>VLOOKUP(EOMONTH(CE172,0),Macroeconomics!$B$67:$R$380,Macroeconomics!$J$66,0)</f>
        <v>1.615505497013118</v>
      </c>
      <c r="CF200" s="429">
        <f>VLOOKUP(EOMONTH(CF172,0),Macroeconomics!$B$67:$R$380,Macroeconomics!$J$66,0)</f>
        <v>1.6207942416270507</v>
      </c>
      <c r="CG200" s="429">
        <f>VLOOKUP(EOMONTH(CG172,0),Macroeconomics!$B$67:$R$380,Macroeconomics!$J$66,0)</f>
        <v>1.6261003002146242</v>
      </c>
      <c r="CH200" s="429">
        <f>VLOOKUP(EOMONTH(CH172,0),Macroeconomics!$B$67:$R$380,Macroeconomics!$J$66,0)</f>
        <v>1.6314237294572822</v>
      </c>
      <c r="CI200" s="429">
        <f>VLOOKUP(EOMONTH(CI172,0),Macroeconomics!$B$67:$R$380,Macroeconomics!$J$66,0)</f>
        <v>1.6367645862220299</v>
      </c>
      <c r="CJ200" s="429">
        <f>VLOOKUP(EOMONTH(CJ172,0),Macroeconomics!$B$67:$R$380,Macroeconomics!$J$66,0)</f>
        <v>1.6421229275620393</v>
      </c>
      <c r="CK200" s="429">
        <f>VLOOKUP(EOMONTH(CK172,0),Macroeconomics!$B$67:$R$380,Macroeconomics!$J$66,0)</f>
        <v>1.6474988107172601</v>
      </c>
      <c r="CL200" s="429">
        <f>VLOOKUP(EOMONTH(CL172,0),Macroeconomics!$B$67:$R$380,Macroeconomics!$J$66,0)</f>
        <v>1.6528922931150307</v>
      </c>
      <c r="CM200" s="429">
        <f>VLOOKUP(EOMONTH(CM172,0),Macroeconomics!$B$67:$R$380,Macroeconomics!$J$66,0)</f>
        <v>1.6583034323706913</v>
      </c>
      <c r="CN200" s="429">
        <f>VLOOKUP(EOMONTH(CN172,0),Macroeconomics!$B$67:$R$380,Macroeconomics!$J$66,0)</f>
        <v>1.6637322862882002</v>
      </c>
      <c r="CO200" s="429">
        <f>VLOOKUP(EOMONTH(CO172,0),Macroeconomics!$B$67:$R$380,Macroeconomics!$J$66,0)</f>
        <v>1.6691789128607506</v>
      </c>
      <c r="CP200" s="429">
        <f>VLOOKUP(EOMONTH(CP172,0),Macroeconomics!$B$67:$R$380,Macroeconomics!$J$66,0)</f>
        <v>1.6746433702713903</v>
      </c>
      <c r="CQ200" s="429">
        <f>VLOOKUP(EOMONTH(CQ172,0),Macroeconomics!$B$67:$R$380,Macroeconomics!$J$66,0)</f>
        <v>1.6801257168936437</v>
      </c>
      <c r="CR200" s="429">
        <f>VLOOKUP(EOMONTH(CR172,0),Macroeconomics!$B$67:$R$380,Macroeconomics!$J$66,0)</f>
        <v>1.6856260112921337</v>
      </c>
      <c r="CS200" s="429">
        <f>VLOOKUP(EOMONTH(CS172,0),Macroeconomics!$B$67:$R$380,Macroeconomics!$J$66,0)</f>
        <v>1.6911443122232102</v>
      </c>
      <c r="CT200" s="429">
        <f>VLOOKUP(EOMONTH(CT172,0),Macroeconomics!$B$67:$R$380,Macroeconomics!$J$66,0)</f>
        <v>1.6966806786355746</v>
      </c>
      <c r="CU200" s="429">
        <f>VLOOKUP(EOMONTH(CU172,0),Macroeconomics!$B$67:$R$380,Macroeconomics!$J$66,0)</f>
        <v>1.7022351696709122</v>
      </c>
      <c r="CV200" s="429">
        <f>VLOOKUP(EOMONTH(CV172,0),Macroeconomics!$B$67:$R$380,Macroeconomics!$J$66,0)</f>
        <v>1.707807844664522</v>
      </c>
      <c r="CW200" s="429">
        <f>VLOOKUP(EOMONTH(CW172,0),Macroeconomics!$B$67:$R$380,Macroeconomics!$J$66,0)</f>
        <v>1.7133987631459517</v>
      </c>
      <c r="CX200" s="429">
        <f>VLOOKUP(EOMONTH(CX172,0),Macroeconomics!$B$67:$R$380,Macroeconomics!$J$66,0)</f>
        <v>1.7190079848396329</v>
      </c>
      <c r="CY200" s="429">
        <f>VLOOKUP(EOMONTH(CY172,0),Macroeconomics!$B$67:$R$380,Macroeconomics!$J$66,0)</f>
        <v>1.72463556966552</v>
      </c>
      <c r="CZ200" s="429">
        <f>VLOOKUP(EOMONTH(CZ172,0),Macroeconomics!$B$67:$R$380,Macroeconomics!$J$66,0)</f>
        <v>1.7302815777397293</v>
      </c>
      <c r="DA200" s="429">
        <f>VLOOKUP(EOMONTH(DA172,0),Macroeconomics!$B$67:$R$380,Macroeconomics!$J$66,0)</f>
        <v>1.735946069375182</v>
      </c>
      <c r="DB200" s="429">
        <f>VLOOKUP(EOMONTH(DB172,0),Macroeconomics!$B$67:$R$380,Macroeconomics!$J$66,0)</f>
        <v>1.7416291050822474</v>
      </c>
      <c r="DC200" s="429">
        <f>VLOOKUP(EOMONTH(DC172,0),Macroeconomics!$B$67:$R$380,Macroeconomics!$J$66,0)</f>
        <v>1.7473307455693907</v>
      </c>
      <c r="DD200" s="429">
        <f>VLOOKUP(EOMONTH(DD172,0),Macroeconomics!$B$67:$R$380,Macroeconomics!$J$66,0)</f>
        <v>1.7530510517438205</v>
      </c>
      <c r="DE200" s="429">
        <f>VLOOKUP(EOMONTH(DE172,0),Macroeconomics!$B$67:$R$380,Macroeconomics!$J$66,0)</f>
        <v>1.7587900847121398</v>
      </c>
      <c r="DF200" s="429">
        <f>VLOOKUP(EOMONTH(DF172,0),Macroeconomics!$B$67:$R$380,Macroeconomics!$J$66,0)</f>
        <v>1.7645479057809992</v>
      </c>
      <c r="DG200" s="429">
        <f>VLOOKUP(EOMONTH(DG172,0),Macroeconomics!$B$67:$R$380,Macroeconomics!$J$66,0)</f>
        <v>1.7703245764577502</v>
      </c>
      <c r="DH200" s="429">
        <f>VLOOKUP(EOMONTH(DH172,0),Macroeconomics!$B$67:$R$380,Macroeconomics!$J$66,0)</f>
        <v>1.7761201584511044</v>
      </c>
      <c r="DI200" s="429">
        <f>VLOOKUP(EOMONTH(DI172,0),Macroeconomics!$B$67:$R$380,Macroeconomics!$J$66,0)</f>
        <v>1.7819347136717911</v>
      </c>
      <c r="DJ200" s="429">
        <f>VLOOKUP(EOMONTH(DJ172,0),Macroeconomics!$B$67:$R$380,Macroeconomics!$J$66,0)</f>
        <v>1.7877683042332195</v>
      </c>
      <c r="DK200" s="429">
        <f>VLOOKUP(EOMONTH(DK172,0),Macroeconomics!$B$67:$R$380,Macroeconomics!$J$66,0)</f>
        <v>1.7936209924521422</v>
      </c>
      <c r="DL200" s="429">
        <f>VLOOKUP(EOMONTH(DL172,0),Macroeconomics!$B$67:$R$380,Macroeconomics!$J$66,0)</f>
        <v>1.7994928408493198</v>
      </c>
      <c r="DM200" s="429">
        <f>VLOOKUP(EOMONTH(DM172,0),Macroeconomics!$B$67:$R$380,Macroeconomics!$J$66,0)</f>
        <v>1.8053839121501905</v>
      </c>
      <c r="DN200" s="429">
        <f>VLOOKUP(EOMONTH(DN172,0),Macroeconomics!$B$67:$R$380,Macroeconomics!$J$66,0)</f>
        <v>1.8112942692855383</v>
      </c>
      <c r="DO200" s="429">
        <f>VLOOKUP(EOMONTH(DO172,0),Macroeconomics!$B$67:$R$380,Macroeconomics!$J$66,0)</f>
        <v>1.8172239753921673</v>
      </c>
      <c r="DP200" s="429">
        <f>VLOOKUP(EOMONTH(DP172,0),Macroeconomics!$B$67:$R$380,Macroeconomics!$J$66,0)</f>
        <v>1.8231730938135744</v>
      </c>
      <c r="DQ200" s="429">
        <f>VLOOKUP(EOMONTH(DQ172,0),Macroeconomics!$B$67:$R$380,Macroeconomics!$J$66,0)</f>
        <v>1.8291416881006266</v>
      </c>
      <c r="DR200" s="429">
        <f>VLOOKUP(EOMONTH(DR172,0),Macroeconomics!$B$67:$R$380,Macroeconomics!$J$66,0)</f>
        <v>1.8351298220122401</v>
      </c>
      <c r="DS200" s="429">
        <f>VLOOKUP(EOMONTH(DS172,0),Macroeconomics!$B$67:$R$380,Macroeconomics!$J$66,0)</f>
        <v>1.8411375595160611</v>
      </c>
      <c r="DT200" s="429">
        <f>VLOOKUP(EOMONTH(DT172,0),Macroeconomics!$B$67:$R$380,Macroeconomics!$J$66,0)</f>
        <v>1.8471649647891495</v>
      </c>
      <c r="DU200" s="429">
        <f>VLOOKUP(EOMONTH(DU172,0),Macroeconomics!$B$67:$R$380,Macroeconomics!$J$66,0)</f>
        <v>1.8532121022186638</v>
      </c>
      <c r="DV200" s="429">
        <f>VLOOKUP(EOMONTH(DV172,0),Macroeconomics!$B$67:$R$380,Macroeconomics!$J$66,0)</f>
        <v>1.8592790364025495</v>
      </c>
      <c r="DW200" s="429">
        <f>VLOOKUP(EOMONTH(DW172,0),Macroeconomics!$B$67:$R$380,Macroeconomics!$J$66,0)</f>
        <v>1.8653658321502289</v>
      </c>
      <c r="DX200" s="429">
        <f>VLOOKUP(EOMONTH(DX172,0),Macroeconomics!$B$67:$R$380,Macroeconomics!$J$66,0)</f>
        <v>1.8714725544832937</v>
      </c>
      <c r="DY200" s="429">
        <f>VLOOKUP(EOMONTH(DY172,0),Macroeconomics!$B$67:$R$380,Macroeconomics!$J$66,0)</f>
        <v>1.8775992686361991</v>
      </c>
      <c r="DZ200" s="429">
        <f>VLOOKUP(EOMONTH(DZ172,0),Macroeconomics!$B$67:$R$380,Macroeconomics!$J$66,0)</f>
        <v>1.8837460400569608</v>
      </c>
      <c r="EA200" s="429">
        <f>VLOOKUP(EOMONTH(EA172,0),Macroeconomics!$B$67:$R$380,Macroeconomics!$J$66,0)</f>
        <v>1.8899129344078549</v>
      </c>
      <c r="EB200" s="429">
        <f>VLOOKUP(EOMONTH(EB172,0),Macroeconomics!$B$67:$R$380,Macroeconomics!$J$66,0)</f>
        <v>1.8961000175661182</v>
      </c>
      <c r="EC200" s="429">
        <f>VLOOKUP(EOMONTH(EC172,0),Macroeconomics!$B$67:$R$380,Macroeconomics!$J$66,0)</f>
        <v>1.9023073556246526</v>
      </c>
      <c r="ED200" s="429">
        <f>VLOOKUP(EOMONTH(ED172,0),Macroeconomics!$B$67:$R$380,Macroeconomics!$J$66,0)</f>
        <v>1.9085350148927307</v>
      </c>
      <c r="EE200" s="429">
        <f>VLOOKUP(EOMONTH(EE172,0),Macroeconomics!$B$67:$R$380,Macroeconomics!$J$66,0)</f>
        <v>1.9147830618967046</v>
      </c>
      <c r="EF200" s="429">
        <f>VLOOKUP(EOMONTH(EF172,0),Macroeconomics!$B$67:$R$380,Macroeconomics!$J$66,0)</f>
        <v>1.9210515633807161</v>
      </c>
      <c r="EG200" s="429">
        <f>VLOOKUP(EOMONTH(EG172,0),Macroeconomics!$B$67:$R$380,Macroeconomics!$J$66,0)</f>
        <v>1.9273405863074111</v>
      </c>
      <c r="EH200" s="429">
        <f>VLOOKUP(EOMONTH(EH172,0),Macroeconomics!$B$67:$R$380,Macroeconomics!$J$66,0)</f>
        <v>1.9336501978586522</v>
      </c>
      <c r="EI200" s="429">
        <f>VLOOKUP(EOMONTH(EI172,0),Macroeconomics!$B$67:$R$380,Macroeconomics!$J$66,0)</f>
        <v>1.9399804654362389</v>
      </c>
      <c r="EJ200" s="429">
        <f>VLOOKUP(EOMONTH(EJ172,0),Macroeconomics!$B$67:$R$380,Macroeconomics!$J$66,0)</f>
        <v>1.9463314566626264</v>
      </c>
      <c r="EK200" s="429">
        <f>VLOOKUP(EOMONTH(EK172,0),Macroeconomics!$B$67:$R$380,Macroeconomics!$J$66,0)</f>
        <v>1.9527032393816479</v>
      </c>
      <c r="EL200" s="429">
        <f>VLOOKUP(EOMONTH(EL172,0),Macroeconomics!$B$67:$R$380,Macroeconomics!$J$66,0)</f>
        <v>1.9590958816592405</v>
      </c>
      <c r="EM200" s="429">
        <f>VLOOKUP(EOMONTH(EM172,0),Macroeconomics!$B$67:$R$380,Macroeconomics!$J$66,0)</f>
        <v>1.9655094517841702</v>
      </c>
      <c r="EN200" s="429">
        <f>VLOOKUP(EOMONTH(EN172,0),Macroeconomics!$B$67:$R$380,Macroeconomics!$J$66,0)</f>
        <v>1.9719440182687642</v>
      </c>
      <c r="EO200" s="429">
        <f>VLOOKUP(EOMONTH(EO172,0),Macroeconomics!$B$67:$R$380,Macroeconomics!$J$66,0)</f>
        <v>1.9783996498496399</v>
      </c>
      <c r="EP200" s="429">
        <f>VLOOKUP(EOMONTH(EP172,0),Macroeconomics!$B$67:$R$380,Macroeconomics!$J$66,0)</f>
        <v>1.9848764154884411</v>
      </c>
      <c r="EQ200" s="429">
        <f>VLOOKUP(EOMONTH(EQ172,0),Macroeconomics!$B$67:$R$380,Macroeconomics!$J$66,0)</f>
        <v>1.991374384372574</v>
      </c>
      <c r="ER200" s="429">
        <f>VLOOKUP(EOMONTH(ER172,0),Macroeconomics!$B$67:$R$380,Macroeconomics!$J$66,0)</f>
        <v>1.9978936259159463</v>
      </c>
      <c r="ES200" s="429">
        <f>VLOOKUP(EOMONTH(ES172,0),Macroeconomics!$B$67:$R$380,Macroeconomics!$J$66,0)</f>
        <v>2.004434209759709</v>
      </c>
      <c r="ET200" s="429">
        <f>VLOOKUP(EOMONTH(ET172,0),Macroeconomics!$B$67:$R$380,Macroeconomics!$J$66,0)</f>
        <v>2.010996205773</v>
      </c>
      <c r="EU200" s="429">
        <f>VLOOKUP(EOMONTH(EU172,0),Macroeconomics!$B$67:$R$380,Macroeconomics!$J$66,0)</f>
        <v>2.0175796840536897</v>
      </c>
      <c r="EV200" s="429">
        <f>VLOOKUP(EOMONTH(EV172,0),Macroeconomics!$B$67:$R$380,Macroeconomics!$J$66,0)</f>
        <v>2.0241847149291323</v>
      </c>
      <c r="EW200" s="429">
        <f>VLOOKUP(EOMONTH(EW172,0),Macroeconomics!$B$67:$R$380,Macroeconomics!$J$66,0)</f>
        <v>2.0308113689569152</v>
      </c>
      <c r="EX200" s="429">
        <f>VLOOKUP(EOMONTH(EX172,0),Macroeconomics!$B$67:$R$380,Macroeconomics!$J$66,0)</f>
        <v>2.0374597169256115</v>
      </c>
      <c r="EY200" s="429">
        <f>VLOOKUP(EOMONTH(EY172,0),Macroeconomics!$B$67:$R$380,Macroeconomics!$J$66,0)</f>
        <v>2.0441298298555384</v>
      </c>
      <c r="EZ200" s="429">
        <f>VLOOKUP(EOMONTH(EZ172,0),Macroeconomics!$B$67:$R$380,Macroeconomics!$J$66,0)</f>
        <v>2.0504100079442016</v>
      </c>
      <c r="FA200" s="429">
        <f>VLOOKUP(EOMONTH(FA172,0),Macroeconomics!$B$67:$R$380,Macroeconomics!$J$66,0)</f>
        <v>2.0562965274095903</v>
      </c>
      <c r="FB200" s="429">
        <f>VLOOKUP(EOMONTH(FB172,0),Macroeconomics!$B$67:$R$380,Macroeconomics!$J$66,0)</f>
        <v>2.0621999464761722</v>
      </c>
      <c r="FC200" s="429">
        <f>VLOOKUP(EOMONTH(FC172,0),Macroeconomics!$B$67:$R$380,Macroeconomics!$J$66,0)</f>
        <v>2.0681203136609905</v>
      </c>
      <c r="FD200" s="429">
        <f>VLOOKUP(EOMONTH(FD172,0),Macroeconomics!$B$67:$R$380,Macroeconomics!$J$66,0)</f>
        <v>2.0740576776203765</v>
      </c>
      <c r="FE200" s="429">
        <f>VLOOKUP(EOMONTH(FE172,0),Macroeconomics!$B$67:$R$380,Macroeconomics!$J$66,0)</f>
        <v>2.0800120871503478</v>
      </c>
      <c r="FF200" s="429">
        <f>VLOOKUP(EOMONTH(FF172,0),Macroeconomics!$B$67:$R$380,Macroeconomics!$J$66,0)</f>
        <v>2.0859835911870115</v>
      </c>
      <c r="FG200" s="429">
        <f>VLOOKUP(EOMONTH(FG172,0),Macroeconomics!$B$67:$R$380,Macroeconomics!$J$66,0)</f>
        <v>2.0919722388069655</v>
      </c>
      <c r="FH200" s="429">
        <f>VLOOKUP(EOMONTH(FH172,0),Macroeconomics!$B$67:$R$380,Macroeconomics!$J$66,0)</f>
        <v>2.0979780792277003</v>
      </c>
      <c r="FI200" s="429">
        <f>VLOOKUP(EOMONTH(FI172,0),Macroeconomics!$B$67:$R$380,Macroeconomics!$J$66,0)</f>
        <v>2.1040011618080059</v>
      </c>
      <c r="FJ200" s="429">
        <f>VLOOKUP(EOMONTH(FJ172,0),Macroeconomics!$B$67:$R$380,Macroeconomics!$J$66,0)</f>
        <v>2.1100415360483762</v>
      </c>
      <c r="FK200" s="429">
        <f>VLOOKUP(EOMONTH(FK172,0),Macroeconomics!$B$67:$R$380,Macroeconomics!$J$66,0)</f>
        <v>2.1160992515914159</v>
      </c>
      <c r="FL200" s="429">
        <f>VLOOKUP(EOMONTH(FL172,0),Macroeconomics!$B$67:$R$380,Macroeconomics!$J$66,0)</f>
        <v>2.122174358222249</v>
      </c>
      <c r="FM200" s="429">
        <f>VLOOKUP(EOMONTH(FM172,0),Macroeconomics!$B$67:$R$380,Macroeconomics!$J$66,0)</f>
        <v>2.1282669058689265</v>
      </c>
      <c r="FN200" s="429">
        <f>VLOOKUP(EOMONTH(FN172,0),Macroeconomics!$B$67:$R$380,Macroeconomics!$J$66,0)</f>
        <v>2.1343769446028391</v>
      </c>
      <c r="FO200" s="429">
        <f>VLOOKUP(EOMONTH(FO172,0),Macroeconomics!$B$67:$R$380,Macroeconomics!$J$66,0)</f>
        <v>2.1405045246391259</v>
      </c>
      <c r="FP200" s="429">
        <f>VLOOKUP(EOMONTH(FP172,0),Macroeconomics!$B$67:$R$380,Macroeconomics!$J$66,0)</f>
        <v>2.1466496963370902</v>
      </c>
      <c r="FQ200" s="429">
        <f>VLOOKUP(EOMONTH(FQ172,0),Macroeconomics!$B$67:$R$380,Macroeconomics!$J$66,0)</f>
        <v>2.1528125102006106</v>
      </c>
      <c r="FR200" s="429">
        <f>VLOOKUP(EOMONTH(FR172,0),Macroeconomics!$B$67:$R$380,Macroeconomics!$J$66,0)</f>
        <v>2.1589930168785578</v>
      </c>
      <c r="FS200" s="429">
        <f>VLOOKUP(EOMONTH(FS172,0),Macroeconomics!$B$67:$R$380,Macroeconomics!$J$66,0)</f>
        <v>2.1651912671652096</v>
      </c>
      <c r="FT200" s="429">
        <f>VLOOKUP(EOMONTH(FT172,0),Macroeconomics!$B$67:$R$380,Macroeconomics!$J$66,0)</f>
        <v>2.1714073120006701</v>
      </c>
      <c r="FU200" s="429">
        <f>VLOOKUP(EOMONTH(FU172,0),Macroeconomics!$B$67:$R$380,Macroeconomics!$J$66,0)</f>
        <v>2.1776412024712863</v>
      </c>
      <c r="FV200" s="429">
        <f>VLOOKUP(EOMONTH(FV172,0),Macroeconomics!$B$67:$R$380,Macroeconomics!$J$66,0)</f>
        <v>2.1838929898100692</v>
      </c>
      <c r="FW200" s="429">
        <f>VLOOKUP(EOMONTH(FW172,0),Macroeconomics!$B$67:$R$380,Macroeconomics!$J$66,0)</f>
        <v>2.1901627253971152</v>
      </c>
      <c r="FX200" s="429">
        <f>VLOOKUP(EOMONTH(FX172,0),Macroeconomics!$B$67:$R$380,Macroeconomics!$J$66,0)</f>
        <v>2.1964504607600275</v>
      </c>
      <c r="FY200" s="429">
        <f>VLOOKUP(EOMONTH(FY172,0),Macroeconomics!$B$67:$R$380,Macroeconomics!$J$66,0)</f>
        <v>2.2027562475743387</v>
      </c>
      <c r="FZ200" s="429">
        <f>VLOOKUP(EOMONTH(FZ172,0),Macroeconomics!$B$67:$R$380,Macroeconomics!$J$66,0)</f>
        <v>2.2090801376639377</v>
      </c>
      <c r="GA200" s="429">
        <f>VLOOKUP(EOMONTH(GA172,0),Macroeconomics!$B$67:$R$380,Macroeconomics!$J$66,0)</f>
        <v>2.2154221830014946</v>
      </c>
      <c r="GB200" s="429">
        <f>VLOOKUP(EOMONTH(GB172,0),Macroeconomics!$B$67:$R$380,Macroeconomics!$J$66,0)</f>
        <v>2.2217824357088878</v>
      </c>
      <c r="GC200" s="429">
        <f>VLOOKUP(EOMONTH(GC172,0),Macroeconomics!$B$67:$R$380,Macroeconomics!$J$66,0)</f>
        <v>2.2281609480576314</v>
      </c>
      <c r="GD200" s="429">
        <f>VLOOKUP(EOMONTH(GD172,0),Macroeconomics!$B$67:$R$380,Macroeconomics!$J$66,0)</f>
        <v>2.2345577724693069</v>
      </c>
      <c r="GE200" s="429">
        <f>VLOOKUP(EOMONTH(GE172,0),Macroeconomics!$B$67:$R$380,Macroeconomics!$J$66,0)</f>
        <v>2.2409729615159919</v>
      </c>
      <c r="GF200" s="429">
        <f>VLOOKUP(EOMONTH(GF172,0),Macroeconomics!$B$67:$R$380,Macroeconomics!$J$66,0)</f>
        <v>2.2474065679206934</v>
      </c>
      <c r="GG200" s="429">
        <f>VLOOKUP(EOMONTH(GG172,0),Macroeconomics!$B$67:$R$380,Macroeconomics!$J$66,0)</f>
        <v>2.2538586445577811</v>
      </c>
      <c r="GH200" s="429">
        <f>VLOOKUP(EOMONTH(GH172,0),Macroeconomics!$B$67:$R$380,Macroeconomics!$J$66,0)</f>
        <v>2.260329244453422</v>
      </c>
      <c r="GI200" s="429">
        <f>VLOOKUP(EOMONTH(GI172,0),Macroeconomics!$B$67:$R$380,Macroeconomics!$J$66,0)</f>
        <v>2.2668184207860147</v>
      </c>
      <c r="GJ200" s="429">
        <f>VLOOKUP(EOMONTH(GJ172,0),Macroeconomics!$B$67:$R$380,Macroeconomics!$J$66,0)</f>
        <v>2.2733262268866286</v>
      </c>
      <c r="GK200" s="429">
        <f>VLOOKUP(EOMONTH(GK172,0),Macroeconomics!$B$67:$R$380,Macroeconomics!$J$66,0)</f>
        <v>2.2798527162394402</v>
      </c>
      <c r="GL200" s="429">
        <f>VLOOKUP(EOMONTH(GL172,0),Macroeconomics!$B$67:$R$380,Macroeconomics!$J$66,0)</f>
        <v>2.2863979424821754</v>
      </c>
      <c r="GM200" s="429">
        <f>VLOOKUP(EOMONTH(GM172,0),Macroeconomics!$B$67:$R$380,Macroeconomics!$J$66,0)</f>
        <v>2.2929619594065471</v>
      </c>
      <c r="GN200" s="429">
        <f>VLOOKUP(EOMONTH(GN172,0),Macroeconomics!$B$67:$R$380,Macroeconomics!$J$66,0)</f>
        <v>2.2995448209586988</v>
      </c>
      <c r="GO200" s="429">
        <f>VLOOKUP(EOMONTH(GO172,0),Macroeconomics!$B$67:$R$380,Macroeconomics!$J$66,0)</f>
        <v>2.3061465812396484</v>
      </c>
      <c r="GP200" s="429">
        <f>VLOOKUP(EOMONTH(GP172,0),Macroeconomics!$B$67:$R$380,Macroeconomics!$J$66,0)</f>
        <v>2.3127672945057327</v>
      </c>
      <c r="GQ200" s="429">
        <f>VLOOKUP(EOMONTH(GQ172,0),Macroeconomics!$B$67:$R$380,Macroeconomics!$J$66,0)</f>
        <v>2.3194070151690513</v>
      </c>
    </row>
    <row r="201" spans="2:199" s="315" customFormat="1"/>
    <row r="202" spans="2:199" s="315" customFormat="1"/>
    <row r="203" spans="2:199" s="315" customFormat="1"/>
    <row r="204" spans="2:199" s="315" customFormat="1"/>
    <row r="205" spans="2:199" s="315" customFormat="1"/>
    <row r="206" spans="2:199" s="315" customFormat="1"/>
    <row r="207" spans="2:199" s="315" customFormat="1"/>
    <row r="208" spans="2:199" s="315" customFormat="1"/>
    <row r="209" s="315" customFormat="1"/>
    <row r="210" s="315" customFormat="1"/>
    <row r="211" s="315" customFormat="1"/>
    <row r="212" s="315" customFormat="1"/>
    <row r="213" s="315" customFormat="1"/>
    <row r="214" s="315" customFormat="1"/>
    <row r="215" s="315" customFormat="1"/>
    <row r="216" s="315" customFormat="1"/>
    <row r="217" s="315" customFormat="1"/>
    <row r="218" s="315" customFormat="1"/>
    <row r="219" s="315" customFormat="1"/>
    <row r="220" s="315" customFormat="1"/>
    <row r="221" s="315" customFormat="1"/>
    <row r="222" s="315" customFormat="1"/>
    <row r="223" s="315" customFormat="1"/>
    <row r="224" s="315" customFormat="1"/>
    <row r="225" s="315" customFormat="1"/>
    <row r="226" s="315" customFormat="1"/>
    <row r="227" s="315" customFormat="1"/>
    <row r="228" s="315" customFormat="1"/>
    <row r="229" s="315" customFormat="1"/>
    <row r="230" s="315" customFormat="1"/>
    <row r="231" s="315" customFormat="1"/>
    <row r="232" s="315" customFormat="1"/>
    <row r="233" s="315" customFormat="1"/>
    <row r="234" s="315" customFormat="1"/>
    <row r="235" s="315" customFormat="1"/>
    <row r="236" s="315" customFormat="1"/>
    <row r="237" s="315" customFormat="1"/>
    <row r="238" s="315" customFormat="1"/>
    <row r="239" s="315" customFormat="1"/>
    <row r="240" s="315" customFormat="1"/>
    <row r="241" s="315" customFormat="1"/>
    <row r="242" s="315" customFormat="1"/>
    <row r="243" s="315" customFormat="1"/>
    <row r="244" s="315" customFormat="1"/>
    <row r="245" s="315" customFormat="1"/>
    <row r="246" s="315" customFormat="1"/>
    <row r="247" s="315" customFormat="1"/>
    <row r="248" s="315" customFormat="1"/>
    <row r="249" s="315" customFormat="1"/>
    <row r="250" s="315" customFormat="1"/>
    <row r="251" s="315" customFormat="1"/>
    <row r="252" s="315" customFormat="1"/>
    <row r="253" s="315" customFormat="1"/>
    <row r="254" s="315" customFormat="1"/>
    <row r="255" s="315" customFormat="1"/>
    <row r="256" s="315" customFormat="1"/>
    <row r="257" s="315" customFormat="1"/>
    <row r="258" s="315" customFormat="1"/>
    <row r="259" s="315" customFormat="1"/>
    <row r="260" s="315" customFormat="1"/>
    <row r="261" s="315" customFormat="1"/>
    <row r="262" s="315" customFormat="1"/>
    <row r="263" s="315" customFormat="1"/>
    <row r="264" s="315" customFormat="1"/>
    <row r="265" s="315" customFormat="1"/>
    <row r="266" s="315" customFormat="1"/>
    <row r="267" s="315" customFormat="1"/>
    <row r="268" s="315" customFormat="1"/>
    <row r="269" s="315" customFormat="1"/>
    <row r="270" s="315" customFormat="1"/>
    <row r="271" s="315" customFormat="1"/>
    <row r="272" s="315" customFormat="1"/>
    <row r="273" s="315" customFormat="1"/>
    <row r="274" s="315" customFormat="1"/>
    <row r="275" s="315" customFormat="1"/>
    <row r="276" s="315" customFormat="1"/>
    <row r="277" s="315" customFormat="1"/>
    <row r="278" s="315" customFormat="1"/>
    <row r="279" s="315" customFormat="1"/>
    <row r="280" s="315" customFormat="1"/>
    <row r="281" s="315" customFormat="1"/>
    <row r="282" s="315" customFormat="1"/>
    <row r="283" s="315" customFormat="1"/>
    <row r="284" s="315" customFormat="1"/>
    <row r="285" s="315" customFormat="1"/>
    <row r="286" s="315" customFormat="1"/>
    <row r="287" s="315" customFormat="1"/>
    <row r="288" s="315" customFormat="1"/>
    <row r="289" s="315" customFormat="1"/>
    <row r="290" s="315" customFormat="1"/>
    <row r="291" s="315" customFormat="1"/>
    <row r="292" s="315" customFormat="1"/>
    <row r="293" s="315" customFormat="1"/>
    <row r="294" s="315" customFormat="1"/>
    <row r="295" s="315" customFormat="1"/>
    <row r="296" s="315" customFormat="1"/>
    <row r="297" s="315" customFormat="1"/>
    <row r="298" s="315" customFormat="1"/>
    <row r="299" s="315" customFormat="1"/>
    <row r="300" s="315" customFormat="1"/>
    <row r="301" s="315" customFormat="1"/>
    <row r="302" s="315" customFormat="1"/>
    <row r="303" s="315" customFormat="1"/>
    <row r="304" s="315" customFormat="1"/>
    <row r="305" spans="2:2" s="315" customFormat="1"/>
    <row r="306" spans="2:2" s="315" customFormat="1"/>
    <row r="307" spans="2:2" s="315" customFormat="1"/>
    <row r="308" spans="2:2" s="315" customFormat="1"/>
    <row r="309" spans="2:2" s="315" customFormat="1"/>
    <row r="310" spans="2:2" s="315" customFormat="1"/>
    <row r="311" spans="2:2" s="315" customFormat="1"/>
    <row r="312" spans="2:2" s="315" customFormat="1"/>
    <row r="313" spans="2:2" s="315" customFormat="1"/>
    <row r="314" spans="2:2" s="315" customFormat="1"/>
    <row r="315" spans="2:2" s="315" customFormat="1"/>
    <row r="316" spans="2:2" s="315" customFormat="1"/>
    <row r="317" spans="2:2" s="315" customFormat="1"/>
    <row r="318" spans="2:2" s="315" customFormat="1"/>
    <row r="320" spans="2:2">
      <c r="B320" s="1" t="s">
        <v>477</v>
      </c>
    </row>
    <row r="322" spans="2:61" s="315" customFormat="1"/>
    <row r="323" spans="2:61" s="315" customFormat="1">
      <c r="B323" s="319"/>
      <c r="C323" s="319"/>
      <c r="D323" s="319"/>
      <c r="E323" s="319">
        <v>40908</v>
      </c>
      <c r="F323" s="318">
        <f>EOMONTH(E323,3)</f>
        <v>40999</v>
      </c>
      <c r="G323" s="318">
        <f t="shared" ref="G323:BI323" si="3269">EOMONTH(F323,3)</f>
        <v>41090</v>
      </c>
      <c r="H323" s="318">
        <f t="shared" si="3269"/>
        <v>41182</v>
      </c>
      <c r="I323" s="318">
        <f t="shared" si="3269"/>
        <v>41274</v>
      </c>
      <c r="J323" s="318">
        <f t="shared" si="3269"/>
        <v>41364</v>
      </c>
      <c r="K323" s="318">
        <f t="shared" si="3269"/>
        <v>41455</v>
      </c>
      <c r="L323" s="318">
        <f t="shared" si="3269"/>
        <v>41547</v>
      </c>
      <c r="M323" s="318">
        <f t="shared" si="3269"/>
        <v>41639</v>
      </c>
      <c r="N323" s="318">
        <f t="shared" si="3269"/>
        <v>41729</v>
      </c>
      <c r="O323" s="318">
        <f t="shared" si="3269"/>
        <v>41820</v>
      </c>
      <c r="P323" s="318">
        <f t="shared" si="3269"/>
        <v>41912</v>
      </c>
      <c r="Q323" s="318">
        <f t="shared" si="3269"/>
        <v>42004</v>
      </c>
      <c r="R323" s="318">
        <f t="shared" si="3269"/>
        <v>42094</v>
      </c>
      <c r="S323" s="318">
        <f t="shared" si="3269"/>
        <v>42185</v>
      </c>
      <c r="T323" s="318">
        <f t="shared" si="3269"/>
        <v>42277</v>
      </c>
      <c r="U323" s="318">
        <f t="shared" si="3269"/>
        <v>42369</v>
      </c>
      <c r="V323" s="318">
        <f t="shared" si="3269"/>
        <v>42460</v>
      </c>
      <c r="W323" s="318">
        <f t="shared" si="3269"/>
        <v>42551</v>
      </c>
      <c r="X323" s="318">
        <f t="shared" si="3269"/>
        <v>42643</v>
      </c>
      <c r="Y323" s="318">
        <f t="shared" si="3269"/>
        <v>42735</v>
      </c>
      <c r="Z323" s="318">
        <f t="shared" si="3269"/>
        <v>42825</v>
      </c>
      <c r="AA323" s="318">
        <f t="shared" si="3269"/>
        <v>42916</v>
      </c>
      <c r="AB323" s="318">
        <f t="shared" si="3269"/>
        <v>43008</v>
      </c>
      <c r="AC323" s="318">
        <f t="shared" si="3269"/>
        <v>43100</v>
      </c>
      <c r="AD323" s="318">
        <f t="shared" si="3269"/>
        <v>43190</v>
      </c>
      <c r="AE323" s="318">
        <f t="shared" si="3269"/>
        <v>43281</v>
      </c>
      <c r="AF323" s="318">
        <f t="shared" si="3269"/>
        <v>43373</v>
      </c>
      <c r="AG323" s="318">
        <f t="shared" si="3269"/>
        <v>43465</v>
      </c>
      <c r="AH323" s="318">
        <f t="shared" si="3269"/>
        <v>43555</v>
      </c>
      <c r="AI323" s="318">
        <f t="shared" si="3269"/>
        <v>43646</v>
      </c>
      <c r="AJ323" s="318">
        <f t="shared" si="3269"/>
        <v>43738</v>
      </c>
      <c r="AK323" s="318">
        <f t="shared" si="3269"/>
        <v>43830</v>
      </c>
      <c r="AL323" s="318">
        <f t="shared" si="3269"/>
        <v>43921</v>
      </c>
      <c r="AM323" s="318">
        <f t="shared" si="3269"/>
        <v>44012</v>
      </c>
      <c r="AN323" s="318">
        <f t="shared" si="3269"/>
        <v>44104</v>
      </c>
      <c r="AO323" s="318">
        <f t="shared" si="3269"/>
        <v>44196</v>
      </c>
      <c r="AP323" s="318">
        <f t="shared" si="3269"/>
        <v>44286</v>
      </c>
      <c r="AQ323" s="318">
        <f t="shared" si="3269"/>
        <v>44377</v>
      </c>
      <c r="AR323" s="318">
        <f t="shared" si="3269"/>
        <v>44469</v>
      </c>
      <c r="AS323" s="318">
        <f t="shared" si="3269"/>
        <v>44561</v>
      </c>
      <c r="AT323" s="318">
        <f t="shared" si="3269"/>
        <v>44651</v>
      </c>
      <c r="AU323" s="318">
        <f t="shared" si="3269"/>
        <v>44742</v>
      </c>
      <c r="AV323" s="318">
        <f t="shared" si="3269"/>
        <v>44834</v>
      </c>
      <c r="AW323" s="318">
        <f t="shared" si="3269"/>
        <v>44926</v>
      </c>
      <c r="AX323" s="318">
        <f t="shared" si="3269"/>
        <v>45016</v>
      </c>
      <c r="AY323" s="318">
        <f t="shared" si="3269"/>
        <v>45107</v>
      </c>
      <c r="AZ323" s="318">
        <f t="shared" si="3269"/>
        <v>45199</v>
      </c>
      <c r="BA323" s="318">
        <f t="shared" si="3269"/>
        <v>45291</v>
      </c>
      <c r="BB323" s="318">
        <f t="shared" si="3269"/>
        <v>45382</v>
      </c>
      <c r="BC323" s="318">
        <f t="shared" si="3269"/>
        <v>45473</v>
      </c>
      <c r="BD323" s="318">
        <f t="shared" si="3269"/>
        <v>45565</v>
      </c>
      <c r="BE323" s="318">
        <f t="shared" si="3269"/>
        <v>45657</v>
      </c>
      <c r="BF323" s="318">
        <f t="shared" si="3269"/>
        <v>45747</v>
      </c>
      <c r="BG323" s="318">
        <f t="shared" si="3269"/>
        <v>45838</v>
      </c>
      <c r="BH323" s="318">
        <f t="shared" si="3269"/>
        <v>45930</v>
      </c>
      <c r="BI323" s="318">
        <f t="shared" si="3269"/>
        <v>46022</v>
      </c>
    </row>
    <row r="325" spans="2:61">
      <c r="B325" s="315" t="s">
        <v>471</v>
      </c>
      <c r="F325" s="313" t="e">
        <f>#REF!</f>
        <v>#REF!</v>
      </c>
      <c r="G325" s="313" t="e">
        <f>#REF!</f>
        <v>#REF!</v>
      </c>
      <c r="H325" s="313" t="e">
        <f>#REF!</f>
        <v>#REF!</v>
      </c>
      <c r="I325" s="313" t="e">
        <f>#REF!</f>
        <v>#REF!</v>
      </c>
      <c r="J325" s="313" t="e">
        <f>#REF!</f>
        <v>#REF!</v>
      </c>
      <c r="K325" s="313" t="e">
        <f>#REF!</f>
        <v>#REF!</v>
      </c>
      <c r="L325" s="313" t="e">
        <f>#REF!</f>
        <v>#REF!</v>
      </c>
      <c r="M325" s="313" t="e">
        <f>#REF!</f>
        <v>#REF!</v>
      </c>
      <c r="N325" s="313" t="e">
        <f>#REF!</f>
        <v>#REF!</v>
      </c>
      <c r="O325" s="313" t="e">
        <f>#REF!</f>
        <v>#REF!</v>
      </c>
      <c r="P325" s="313" t="e">
        <f>#REF!</f>
        <v>#REF!</v>
      </c>
      <c r="Q325" s="313" t="e">
        <f>#REF!</f>
        <v>#REF!</v>
      </c>
      <c r="R325" s="313" t="e">
        <f>#REF!</f>
        <v>#REF!</v>
      </c>
      <c r="S325" s="313" t="e">
        <f>#REF!</f>
        <v>#REF!</v>
      </c>
      <c r="T325" s="313" t="e">
        <f>#REF!</f>
        <v>#REF!</v>
      </c>
      <c r="U325" s="313" t="e">
        <f>#REF!</f>
        <v>#REF!</v>
      </c>
      <c r="V325" s="313" t="e">
        <f>#REF!</f>
        <v>#REF!</v>
      </c>
      <c r="W325" s="313" t="e">
        <f>#REF!</f>
        <v>#REF!</v>
      </c>
      <c r="X325" s="313" t="e">
        <f>#REF!</f>
        <v>#REF!</v>
      </c>
      <c r="Y325" s="313" t="e">
        <f>#REF!</f>
        <v>#REF!</v>
      </c>
      <c r="Z325" s="313" t="e">
        <f>#REF!</f>
        <v>#REF!</v>
      </c>
      <c r="AA325" s="313" t="e">
        <f>#REF!</f>
        <v>#REF!</v>
      </c>
      <c r="AB325" s="313" t="e">
        <f>#REF!</f>
        <v>#REF!</v>
      </c>
      <c r="AC325" s="313" t="e">
        <f>#REF!</f>
        <v>#REF!</v>
      </c>
      <c r="AD325" s="313" t="e">
        <f>#REF!</f>
        <v>#REF!</v>
      </c>
      <c r="AE325" s="313" t="e">
        <f>#REF!</f>
        <v>#REF!</v>
      </c>
      <c r="AF325" s="313" t="e">
        <f>#REF!</f>
        <v>#REF!</v>
      </c>
      <c r="AG325" s="313" t="e">
        <f>#REF!</f>
        <v>#REF!</v>
      </c>
      <c r="AH325" s="313" t="e">
        <f>#REF!</f>
        <v>#REF!</v>
      </c>
      <c r="AI325" s="313" t="e">
        <f>#REF!</f>
        <v>#REF!</v>
      </c>
      <c r="AJ325" s="313" t="e">
        <f>#REF!</f>
        <v>#REF!</v>
      </c>
      <c r="AK325" s="313" t="e">
        <f>#REF!</f>
        <v>#REF!</v>
      </c>
      <c r="AL325" s="313" t="e">
        <f>#REF!</f>
        <v>#REF!</v>
      </c>
      <c r="AM325" s="313" t="e">
        <f>#REF!</f>
        <v>#REF!</v>
      </c>
      <c r="AN325" s="313" t="e">
        <f>#REF!</f>
        <v>#REF!</v>
      </c>
      <c r="AO325" s="313" t="e">
        <f>#REF!</f>
        <v>#REF!</v>
      </c>
      <c r="AP325" s="313" t="e">
        <f>#REF!</f>
        <v>#REF!</v>
      </c>
      <c r="AQ325" s="313" t="e">
        <f>#REF!</f>
        <v>#REF!</v>
      </c>
      <c r="AR325" s="313" t="e">
        <f>#REF!</f>
        <v>#REF!</v>
      </c>
      <c r="AS325" s="313" t="e">
        <f>#REF!</f>
        <v>#REF!</v>
      </c>
      <c r="AT325" s="313" t="e">
        <f>#REF!</f>
        <v>#REF!</v>
      </c>
      <c r="AU325" s="313" t="e">
        <f>#REF!</f>
        <v>#REF!</v>
      </c>
      <c r="AV325" s="313" t="e">
        <f>#REF!</f>
        <v>#REF!</v>
      </c>
      <c r="AW325" s="313" t="e">
        <f>#REF!</f>
        <v>#REF!</v>
      </c>
      <c r="AX325" s="313" t="e">
        <f>#REF!</f>
        <v>#REF!</v>
      </c>
      <c r="AY325" s="313" t="e">
        <f>#REF!</f>
        <v>#REF!</v>
      </c>
      <c r="AZ325" s="313" t="e">
        <f>#REF!</f>
        <v>#REF!</v>
      </c>
      <c r="BA325" s="313" t="e">
        <f>#REF!</f>
        <v>#REF!</v>
      </c>
      <c r="BB325" s="313" t="e">
        <f>#REF!</f>
        <v>#REF!</v>
      </c>
      <c r="BC325" s="313" t="e">
        <f>#REF!</f>
        <v>#REF!</v>
      </c>
      <c r="BD325" s="313" t="e">
        <f>#REF!</f>
        <v>#REF!</v>
      </c>
      <c r="BE325" s="313" t="e">
        <f>#REF!</f>
        <v>#REF!</v>
      </c>
      <c r="BF325" s="313" t="e">
        <f>#REF!</f>
        <v>#REF!</v>
      </c>
      <c r="BG325" s="313" t="e">
        <f>#REF!</f>
        <v>#REF!</v>
      </c>
      <c r="BH325" s="313" t="e">
        <f>#REF!</f>
        <v>#REF!</v>
      </c>
      <c r="BI325" s="313" t="e">
        <f>#REF!</f>
        <v>#REF!</v>
      </c>
    </row>
    <row r="326" spans="2:61" s="315" customFormat="1" ht="3" customHeight="1">
      <c r="F326" s="313"/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  <c r="T326" s="313"/>
      <c r="U326" s="313"/>
      <c r="V326" s="313"/>
      <c r="W326" s="313"/>
      <c r="X326" s="313"/>
      <c r="Y326" s="313"/>
      <c r="Z326" s="313"/>
      <c r="AA326" s="313"/>
      <c r="AB326" s="313"/>
      <c r="AC326" s="313"/>
      <c r="AD326" s="313"/>
      <c r="AE326" s="313"/>
      <c r="AF326" s="313"/>
      <c r="AG326" s="313"/>
      <c r="AH326" s="313"/>
      <c r="AI326" s="313"/>
      <c r="AJ326" s="313"/>
      <c r="AK326" s="313"/>
      <c r="AL326" s="313"/>
      <c r="AM326" s="313"/>
      <c r="AN326" s="313"/>
      <c r="AO326" s="313"/>
      <c r="AP326" s="313"/>
      <c r="AQ326" s="313"/>
      <c r="AR326" s="313"/>
      <c r="AS326" s="313"/>
      <c r="AT326" s="313"/>
      <c r="AU326" s="313"/>
      <c r="AV326" s="313"/>
      <c r="AW326" s="313"/>
      <c r="AX326" s="313"/>
      <c r="AY326" s="313"/>
      <c r="AZ326" s="313"/>
      <c r="BA326" s="313"/>
      <c r="BB326" s="313"/>
      <c r="BC326" s="313"/>
      <c r="BD326" s="313"/>
      <c r="BE326" s="313"/>
      <c r="BF326" s="313"/>
      <c r="BG326" s="313"/>
      <c r="BH326" s="313"/>
      <c r="BI326" s="313"/>
    </row>
    <row r="327" spans="2:61" s="315" customFormat="1">
      <c r="B327" s="315" t="s">
        <v>475</v>
      </c>
      <c r="C327" s="304">
        <v>0.02</v>
      </c>
      <c r="F327" s="306">
        <f>(1+HLOOKUP(F323,Macroeconomics!$B$5:$GB$36,Macroeconomics!$A$24,0))*(1+$C$327)^(1/4)-1</f>
        <v>2.968343533167439E-2</v>
      </c>
      <c r="G327" s="306">
        <f>(1+HLOOKUP(G323,Macroeconomics!$B$5:$GB$36,Macroeconomics!$A$24,0))*(1+$C$327)^(1/4)-1</f>
        <v>2.5969355529880556E-2</v>
      </c>
      <c r="H327" s="306">
        <f>(1+HLOOKUP(H323,Macroeconomics!$B$5:$GB$36,Macroeconomics!$A$24,0))*(1+$C$327)^(1/4)-1</f>
        <v>2.5106095810365714E-2</v>
      </c>
      <c r="I327" s="306">
        <f>(1+HLOOKUP(I323,Macroeconomics!$B$5:$GB$36,Macroeconomics!$A$24,0))*(1+$C$327)^(1/4)-1</f>
        <v>2.4345911424824562E-2</v>
      </c>
      <c r="J327" s="306">
        <f>(1+HLOOKUP(J323,Macroeconomics!$B$5:$GB$36,Macroeconomics!$A$24,0))*(1+$C$327)^(1/4)-1</f>
        <v>2.3708213989851235E-2</v>
      </c>
      <c r="K327" s="306">
        <f>(1+HLOOKUP(K323,Macroeconomics!$B$5:$GB$36,Macroeconomics!$A$24,0))*(1+$C$327)^(1/4)-1</f>
        <v>2.4664909081584918E-2</v>
      </c>
      <c r="L327" s="306">
        <f>(1+HLOOKUP(L323,Macroeconomics!$B$5:$GB$36,Macroeconomics!$A$24,0))*(1+$C$327)^(1/4)-1</f>
        <v>2.5819850139993994E-2</v>
      </c>
      <c r="M327" s="306">
        <f>(1+HLOOKUP(M323,Macroeconomics!$B$5:$GB$36,Macroeconomics!$A$24,0))*(1+$C$327)^(1/4)-1</f>
        <v>2.7969622622962653E-2</v>
      </c>
      <c r="N327" s="306">
        <f>(1+HLOOKUP(N323,Macroeconomics!$B$5:$GB$36,Macroeconomics!$A$24,0))*(1+$C$327)^(1/4)-1</f>
        <v>2.7446939296292383E-2</v>
      </c>
      <c r="O327" s="306">
        <f>(1+HLOOKUP(O323,Macroeconomics!$B$5:$GB$36,Macroeconomics!$A$24,0))*(1+$C$327)^(1/4)-1</f>
        <v>2.7446939315151742E-2</v>
      </c>
      <c r="P327" s="306">
        <f>(1+HLOOKUP(P323,Macroeconomics!$B$5:$GB$36,Macroeconomics!$A$24,0))*(1+$C$327)^(1/4)-1</f>
        <v>2.9329017825510562E-2</v>
      </c>
      <c r="Q327" s="306">
        <f>(1+HLOOKUP(Q323,Macroeconomics!$B$5:$GB$36,Macroeconomics!$A$24,0))*(1+$C$327)^(1/4)-1</f>
        <v>2.8952326510291115E-2</v>
      </c>
      <c r="R327" s="306">
        <f>(1+HLOOKUP(R323,Macroeconomics!$B$5:$GB$36,Macroeconomics!$A$24,0))*(1+$C$327)^(1/4)-1</f>
        <v>2.7446939277390392E-2</v>
      </c>
      <c r="S327" s="306">
        <f>(1+HLOOKUP(S323,Macroeconomics!$B$5:$GB$36,Macroeconomics!$A$24,0))*(1+$C$327)^(1/4)-1</f>
        <v>2.7446939315151742E-2</v>
      </c>
      <c r="T327" s="306">
        <f>(1+HLOOKUP(T323,Macroeconomics!$B$5:$GB$36,Macroeconomics!$A$24,0))*(1+$C$327)^(1/4)-1</f>
        <v>2.8952326519725124E-2</v>
      </c>
      <c r="U327" s="306">
        <f>(1+HLOOKUP(U323,Macroeconomics!$B$5:$GB$36,Macroeconomics!$A$24,0))*(1+$C$327)^(1/4)-1</f>
        <v>2.8199357417408422E-2</v>
      </c>
      <c r="V327" s="306">
        <f>(1+HLOOKUP(V323,Macroeconomics!$B$5:$GB$36,Macroeconomics!$A$24,0))*(1+$C$327)^(1/4)-1</f>
        <v>2.8423528117929475E-2</v>
      </c>
      <c r="W327" s="306">
        <f>(1+HLOOKUP(W323,Macroeconomics!$B$5:$GB$36,Macroeconomics!$A$24,0))*(1+$C$327)^(1/4)-1</f>
        <v>2.8423528117929475E-2</v>
      </c>
      <c r="X327" s="306">
        <f>(1+HLOOKUP(X323,Macroeconomics!$B$5:$GB$36,Macroeconomics!$A$24,0))*(1+$C$327)^(1/4)-1</f>
        <v>2.8423528117929475E-2</v>
      </c>
      <c r="Y327" s="306">
        <f>(1+HLOOKUP(Y323,Macroeconomics!$B$5:$GB$36,Macroeconomics!$A$24,0))*(1+$C$327)^(1/4)-1</f>
        <v>2.8423528117929475E-2</v>
      </c>
      <c r="Z327" s="306">
        <f>(1+HLOOKUP(Z323,Macroeconomics!$B$5:$GB$36,Macroeconomics!$A$24,0))*(1+$C$327)^(1/4)-1</f>
        <v>2.8423528117929475E-2</v>
      </c>
      <c r="AA327" s="306">
        <f>(1+HLOOKUP(AA323,Macroeconomics!$B$5:$GB$36,Macroeconomics!$A$24,0))*(1+$C$327)^(1/4)-1</f>
        <v>2.8423528117929475E-2</v>
      </c>
      <c r="AB327" s="306">
        <f>(1+HLOOKUP(AB323,Macroeconomics!$B$5:$GB$36,Macroeconomics!$A$24,0))*(1+$C$327)^(1/4)-1</f>
        <v>2.8423528117929475E-2</v>
      </c>
      <c r="AC327" s="306">
        <f>(1+HLOOKUP(AC323,Macroeconomics!$B$5:$GB$36,Macroeconomics!$A$24,0))*(1+$C$327)^(1/4)-1</f>
        <v>2.8423528117929475E-2</v>
      </c>
      <c r="AD327" s="306">
        <f>(1+HLOOKUP(AD323,Macroeconomics!$B$5:$GB$36,Macroeconomics!$A$24,0))*(1+$C$327)^(1/4)-1</f>
        <v>2.7860419568760397E-2</v>
      </c>
      <c r="AE327" s="306">
        <f>(1+HLOOKUP(AE323,Macroeconomics!$B$5:$GB$36,Macroeconomics!$A$24,0))*(1+$C$327)^(1/4)-1</f>
        <v>2.7860419568760397E-2</v>
      </c>
      <c r="AF327" s="306">
        <f>(1+HLOOKUP(AF323,Macroeconomics!$B$5:$GB$36,Macroeconomics!$A$24,0))*(1+$C$327)^(1/4)-1</f>
        <v>2.7860419568760397E-2</v>
      </c>
      <c r="AG327" s="306">
        <f>(1+HLOOKUP(AG323,Macroeconomics!$B$5:$GB$36,Macroeconomics!$A$24,0))*(1+$C$327)^(1/4)-1</f>
        <v>2.7860419568760397E-2</v>
      </c>
      <c r="AH327" s="306">
        <f>(1+HLOOKUP(AH323,Macroeconomics!$B$5:$GB$36,Macroeconomics!$A$24,0))*(1+$C$327)^(1/4)-1</f>
        <v>2.783693661973663E-2</v>
      </c>
      <c r="AI327" s="306">
        <f>(1+HLOOKUP(AI323,Macroeconomics!$B$5:$GB$36,Macroeconomics!$A$24,0))*(1+$C$327)^(1/4)-1</f>
        <v>2.783693661973663E-2</v>
      </c>
      <c r="AJ327" s="306">
        <f>(1+HLOOKUP(AJ323,Macroeconomics!$B$5:$GB$36,Macroeconomics!$A$24,0))*(1+$C$327)^(1/4)-1</f>
        <v>2.783693661973663E-2</v>
      </c>
      <c r="AK327" s="306">
        <f>(1+HLOOKUP(AK323,Macroeconomics!$B$5:$GB$36,Macroeconomics!$A$24,0))*(1+$C$327)^(1/4)-1</f>
        <v>2.783693661973663E-2</v>
      </c>
      <c r="AL327" s="306">
        <f>(1+HLOOKUP(AL323,Macroeconomics!$B$5:$GB$36,Macroeconomics!$A$24,0))*(1+$C$327)^(1/4)-1</f>
        <v>2.783693661973663E-2</v>
      </c>
      <c r="AM327" s="306">
        <f>(1+HLOOKUP(AM323,Macroeconomics!$B$5:$GB$36,Macroeconomics!$A$24,0))*(1+$C$327)^(1/4)-1</f>
        <v>2.783693661973663E-2</v>
      </c>
      <c r="AN327" s="306">
        <f>(1+HLOOKUP(AN323,Macroeconomics!$B$5:$GB$36,Macroeconomics!$A$24,0))*(1+$C$327)^(1/4)-1</f>
        <v>2.783693661973663E-2</v>
      </c>
      <c r="AO327" s="306">
        <f>(1+HLOOKUP(AO323,Macroeconomics!$B$5:$GB$36,Macroeconomics!$A$24,0))*(1+$C$327)^(1/4)-1</f>
        <v>2.783693661973663E-2</v>
      </c>
      <c r="AP327" s="306">
        <f>(1+HLOOKUP(AP323,Macroeconomics!$B$5:$GB$36,Macroeconomics!$A$24,0))*(1+$C$327)^(1/4)-1</f>
        <v>2.783693661973663E-2</v>
      </c>
      <c r="AQ327" s="306">
        <f>(1+HLOOKUP(AQ323,Macroeconomics!$B$5:$GB$36,Macroeconomics!$A$24,0))*(1+$C$327)^(1/4)-1</f>
        <v>2.783693661973663E-2</v>
      </c>
      <c r="AR327" s="306">
        <f>(1+HLOOKUP(AR323,Macroeconomics!$B$5:$GB$36,Macroeconomics!$A$24,0))*(1+$C$327)^(1/4)-1</f>
        <v>2.783693661973663E-2</v>
      </c>
      <c r="AS327" s="306">
        <f>(1+HLOOKUP(AS323,Macroeconomics!$B$5:$GB$36,Macroeconomics!$A$24,0))*(1+$C$327)^(1/4)-1</f>
        <v>2.783693661973663E-2</v>
      </c>
      <c r="AT327" s="306">
        <f>(1+HLOOKUP(AT323,Macroeconomics!$B$5:$GB$36,Macroeconomics!$A$24,0))*(1+$C$327)^(1/4)-1</f>
        <v>2.7272862354477789E-2</v>
      </c>
      <c r="AU327" s="306">
        <f>(1+HLOOKUP(AU323,Macroeconomics!$B$5:$GB$36,Macroeconomics!$A$24,0))*(1+$C$327)^(1/4)-1</f>
        <v>2.7272862354477789E-2</v>
      </c>
      <c r="AV327" s="306">
        <f>(1+HLOOKUP(AV323,Macroeconomics!$B$5:$GB$36,Macroeconomics!$A$24,0))*(1+$C$327)^(1/4)-1</f>
        <v>2.7272862354477789E-2</v>
      </c>
      <c r="AW327" s="306">
        <f>(1+HLOOKUP(AW323,Macroeconomics!$B$5:$GB$36,Macroeconomics!$A$24,0))*(1+$C$327)^(1/4)-1</f>
        <v>2.7272862354477789E-2</v>
      </c>
      <c r="AX327" s="306">
        <f>(1+HLOOKUP(AX323,Macroeconomics!$B$5:$GB$36,Macroeconomics!$A$24,0))*(1+$C$327)^(1/4)-1</f>
        <v>2.7272862354477789E-2</v>
      </c>
      <c r="AY327" s="306">
        <f>(1+HLOOKUP(AY323,Macroeconomics!$B$5:$GB$36,Macroeconomics!$A$24,0))*(1+$C$327)^(1/4)-1</f>
        <v>2.7272862354477789E-2</v>
      </c>
      <c r="AZ327" s="306">
        <f>(1+HLOOKUP(AZ323,Macroeconomics!$B$5:$GB$36,Macroeconomics!$A$24,0))*(1+$C$327)^(1/4)-1</f>
        <v>2.7272862354477789E-2</v>
      </c>
      <c r="BA327" s="306">
        <f>(1+HLOOKUP(BA323,Macroeconomics!$B$5:$GB$36,Macroeconomics!$A$24,0))*(1+$C$327)^(1/4)-1</f>
        <v>2.7272862354477789E-2</v>
      </c>
      <c r="BB327" s="306">
        <f>(1+HLOOKUP(BB323,Macroeconomics!$B$5:$GB$36,Macroeconomics!$A$24,0))*(1+$C$327)^(1/4)-1</f>
        <v>2.7272862354477789E-2</v>
      </c>
      <c r="BC327" s="306">
        <f>(1+HLOOKUP(BC323,Macroeconomics!$B$5:$GB$36,Macroeconomics!$A$24,0))*(1+$C$327)^(1/4)-1</f>
        <v>2.7272862354477789E-2</v>
      </c>
      <c r="BD327" s="306">
        <f>(1+HLOOKUP(BD323,Macroeconomics!$B$5:$GB$36,Macroeconomics!$A$24,0))*(1+$C$327)^(1/4)-1</f>
        <v>2.7272862354477789E-2</v>
      </c>
      <c r="BE327" s="306">
        <f>(1+HLOOKUP(BE323,Macroeconomics!$B$5:$GB$36,Macroeconomics!$A$24,0))*(1+$C$327)^(1/4)-1</f>
        <v>2.7272862354477789E-2</v>
      </c>
      <c r="BF327" s="306">
        <f>(1+HLOOKUP(BF323,Macroeconomics!$B$5:$GB$36,Macroeconomics!$A$24,0))*(1+$C$327)^(1/4)-1</f>
        <v>2.7272862354477789E-2</v>
      </c>
      <c r="BG327" s="306">
        <f>(1+HLOOKUP(BG323,Macroeconomics!$B$5:$GB$36,Macroeconomics!$A$24,0))*(1+$C$327)^(1/4)-1</f>
        <v>2.7272862354477789E-2</v>
      </c>
      <c r="BH327" s="306">
        <f>(1+HLOOKUP(BH323,Macroeconomics!$B$5:$GB$36,Macroeconomics!$A$24,0))*(1+$C$327)^(1/4)-1</f>
        <v>2.7272862354477789E-2</v>
      </c>
      <c r="BI327" s="306">
        <f>(1+HLOOKUP(BI323,Macroeconomics!$B$5:$GB$36,Macroeconomics!$A$24,0))*(1+$C$327)^(1/4)-1</f>
        <v>2.7272862354477789E-2</v>
      </c>
    </row>
    <row r="328" spans="2:61" s="315" customFormat="1">
      <c r="B328" s="308" t="s">
        <v>476</v>
      </c>
      <c r="C328" s="308"/>
      <c r="D328" s="308"/>
      <c r="E328" s="308"/>
      <c r="F328" s="305" t="e">
        <f>F325*-F327</f>
        <v>#REF!</v>
      </c>
      <c r="G328" s="305" t="e">
        <f>(G325*60%)*-G327</f>
        <v>#REF!</v>
      </c>
      <c r="H328" s="305" t="e">
        <f t="shared" ref="H328:T328" si="3270">(H325*60%)*-H327</f>
        <v>#REF!</v>
      </c>
      <c r="I328" s="305" t="e">
        <f t="shared" si="3270"/>
        <v>#REF!</v>
      </c>
      <c r="J328" s="305" t="e">
        <f t="shared" si="3270"/>
        <v>#REF!</v>
      </c>
      <c r="K328" s="305" t="e">
        <f t="shared" si="3270"/>
        <v>#REF!</v>
      </c>
      <c r="L328" s="305" t="e">
        <f t="shared" si="3270"/>
        <v>#REF!</v>
      </c>
      <c r="M328" s="305" t="e">
        <f t="shared" si="3270"/>
        <v>#REF!</v>
      </c>
      <c r="N328" s="305" t="e">
        <f t="shared" si="3270"/>
        <v>#REF!</v>
      </c>
      <c r="O328" s="305" t="e">
        <f t="shared" si="3270"/>
        <v>#REF!</v>
      </c>
      <c r="P328" s="305" t="e">
        <f t="shared" si="3270"/>
        <v>#REF!</v>
      </c>
      <c r="Q328" s="305" t="e">
        <f t="shared" si="3270"/>
        <v>#REF!</v>
      </c>
      <c r="R328" s="305" t="e">
        <f t="shared" si="3270"/>
        <v>#REF!</v>
      </c>
      <c r="S328" s="305" t="e">
        <f t="shared" si="3270"/>
        <v>#REF!</v>
      </c>
      <c r="T328" s="305" t="e">
        <f t="shared" si="3270"/>
        <v>#REF!</v>
      </c>
      <c r="U328" s="305" t="e">
        <f t="shared" ref="U328" si="3271">(U325*60%)*-U327</f>
        <v>#REF!</v>
      </c>
      <c r="V328" s="305" t="e">
        <f t="shared" ref="V328" si="3272">(V325*60%)*-V327</f>
        <v>#REF!</v>
      </c>
      <c r="W328" s="305" t="e">
        <f t="shared" ref="W328" si="3273">(W325*60%)*-W327</f>
        <v>#REF!</v>
      </c>
      <c r="X328" s="305" t="e">
        <f t="shared" ref="X328" si="3274">(X325*60%)*-X327</f>
        <v>#REF!</v>
      </c>
      <c r="Y328" s="305" t="e">
        <f t="shared" ref="Y328" si="3275">(Y325*60%)*-Y327</f>
        <v>#REF!</v>
      </c>
      <c r="Z328" s="305" t="e">
        <f t="shared" ref="Z328" si="3276">(Z325*60%)*-Z327</f>
        <v>#REF!</v>
      </c>
      <c r="AA328" s="305" t="e">
        <f t="shared" ref="AA328" si="3277">(AA325*60%)*-AA327</f>
        <v>#REF!</v>
      </c>
      <c r="AB328" s="305" t="e">
        <f t="shared" ref="AB328" si="3278">(AB325*60%)*-AB327</f>
        <v>#REF!</v>
      </c>
      <c r="AC328" s="305" t="e">
        <f t="shared" ref="AC328" si="3279">(AC325*60%)*-AC327</f>
        <v>#REF!</v>
      </c>
      <c r="AD328" s="305" t="e">
        <f t="shared" ref="AD328" si="3280">(AD325*60%)*-AD327</f>
        <v>#REF!</v>
      </c>
      <c r="AE328" s="305" t="e">
        <f t="shared" ref="AE328" si="3281">(AE325*60%)*-AE327</f>
        <v>#REF!</v>
      </c>
      <c r="AF328" s="305" t="e">
        <f t="shared" ref="AF328:AG328" si="3282">(AF325*60%)*-AF327</f>
        <v>#REF!</v>
      </c>
      <c r="AG328" s="305" t="e">
        <f t="shared" si="3282"/>
        <v>#REF!</v>
      </c>
      <c r="AH328" s="305" t="e">
        <f t="shared" ref="AH328" si="3283">(AH325*60%)*-AH327</f>
        <v>#REF!</v>
      </c>
      <c r="AI328" s="305" t="e">
        <f t="shared" ref="AI328" si="3284">(AI325*60%)*-AI327</f>
        <v>#REF!</v>
      </c>
      <c r="AJ328" s="305" t="e">
        <f t="shared" ref="AJ328" si="3285">(AJ325*60%)*-AJ327</f>
        <v>#REF!</v>
      </c>
      <c r="AK328" s="305" t="e">
        <f t="shared" ref="AK328" si="3286">(AK325*60%)*-AK327</f>
        <v>#REF!</v>
      </c>
      <c r="AL328" s="305" t="e">
        <f t="shared" ref="AL328" si="3287">(AL325*60%)*-AL327</f>
        <v>#REF!</v>
      </c>
      <c r="AM328" s="305" t="e">
        <f t="shared" ref="AM328" si="3288">(AM325*60%)*-AM327</f>
        <v>#REF!</v>
      </c>
      <c r="AN328" s="305" t="e">
        <f t="shared" ref="AN328" si="3289">(AN325*60%)*-AN327</f>
        <v>#REF!</v>
      </c>
      <c r="AO328" s="305" t="e">
        <f t="shared" ref="AO328" si="3290">(AO325*60%)*-AO327</f>
        <v>#REF!</v>
      </c>
      <c r="AP328" s="305" t="e">
        <f t="shared" ref="AP328" si="3291">(AP325*60%)*-AP327</f>
        <v>#REF!</v>
      </c>
      <c r="AQ328" s="305" t="e">
        <f t="shared" ref="AQ328" si="3292">(AQ325*60%)*-AQ327</f>
        <v>#REF!</v>
      </c>
      <c r="AR328" s="305" t="e">
        <f t="shared" ref="AR328" si="3293">(AR325*60%)*-AR327</f>
        <v>#REF!</v>
      </c>
      <c r="AS328" s="305" t="e">
        <f t="shared" ref="AS328:AT328" si="3294">(AS325*60%)*-AS327</f>
        <v>#REF!</v>
      </c>
      <c r="AT328" s="305" t="e">
        <f t="shared" si="3294"/>
        <v>#REF!</v>
      </c>
      <c r="AU328" s="305" t="e">
        <f t="shared" ref="AU328" si="3295">(AU325*60%)*-AU327</f>
        <v>#REF!</v>
      </c>
      <c r="AV328" s="305" t="e">
        <f t="shared" ref="AV328" si="3296">(AV325*60%)*-AV327</f>
        <v>#REF!</v>
      </c>
      <c r="AW328" s="305" t="e">
        <f t="shared" ref="AW328" si="3297">(AW325*60%)*-AW327</f>
        <v>#REF!</v>
      </c>
      <c r="AX328" s="305" t="e">
        <f t="shared" ref="AX328" si="3298">(AX325*60%)*-AX327</f>
        <v>#REF!</v>
      </c>
      <c r="AY328" s="305" t="e">
        <f t="shared" ref="AY328" si="3299">(AY325*60%)*-AY327</f>
        <v>#REF!</v>
      </c>
      <c r="AZ328" s="305" t="e">
        <f t="shared" ref="AZ328" si="3300">(AZ325*60%)*-AZ327</f>
        <v>#REF!</v>
      </c>
      <c r="BA328" s="305" t="e">
        <f t="shared" ref="BA328" si="3301">(BA325*60%)*-BA327</f>
        <v>#REF!</v>
      </c>
      <c r="BB328" s="305" t="e">
        <f t="shared" ref="BB328" si="3302">(BB325*60%)*-BB327</f>
        <v>#REF!</v>
      </c>
      <c r="BC328" s="305" t="e">
        <f t="shared" ref="BC328" si="3303">(BC325*60%)*-BC327</f>
        <v>#REF!</v>
      </c>
      <c r="BD328" s="305" t="e">
        <f t="shared" ref="BD328" si="3304">(BD325*60%)*-BD327</f>
        <v>#REF!</v>
      </c>
      <c r="BE328" s="305" t="e">
        <f t="shared" ref="BE328" si="3305">(BE325*60%)*-BE327</f>
        <v>#REF!</v>
      </c>
      <c r="BF328" s="305" t="e">
        <f t="shared" ref="BF328:BG328" si="3306">(BF325*60%)*-BF327</f>
        <v>#REF!</v>
      </c>
      <c r="BG328" s="305" t="e">
        <f t="shared" si="3306"/>
        <v>#REF!</v>
      </c>
      <c r="BH328" s="305" t="e">
        <f t="shared" ref="BH328" si="3307">(BH325*60%)*-BH327</f>
        <v>#REF!</v>
      </c>
      <c r="BI328" s="305" t="e">
        <f t="shared" ref="BI328" si="3308">(BI325*60%)*-BI327</f>
        <v>#REF!</v>
      </c>
    </row>
    <row r="329" spans="2:61" s="315" customFormat="1">
      <c r="F329" s="313"/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  <c r="T329" s="313"/>
      <c r="U329" s="313"/>
      <c r="V329" s="313"/>
      <c r="W329" s="313"/>
      <c r="X329" s="313"/>
      <c r="Y329" s="313"/>
      <c r="Z329" s="313"/>
      <c r="AA329" s="313"/>
      <c r="AB329" s="313"/>
      <c r="AC329" s="313"/>
      <c r="AD329" s="313"/>
      <c r="AE329" s="313"/>
      <c r="AF329" s="313"/>
      <c r="AG329" s="313"/>
      <c r="AH329" s="313"/>
      <c r="AI329" s="313"/>
      <c r="AJ329" s="313"/>
      <c r="AK329" s="313"/>
      <c r="AL329" s="313"/>
      <c r="AM329" s="313"/>
      <c r="AN329" s="313"/>
      <c r="AO329" s="313"/>
      <c r="AP329" s="313"/>
      <c r="AQ329" s="313"/>
      <c r="AR329" s="313"/>
      <c r="AS329" s="313"/>
      <c r="AT329" s="313"/>
      <c r="AU329" s="313"/>
      <c r="AV329" s="313"/>
      <c r="AW329" s="313"/>
      <c r="AX329" s="313"/>
      <c r="AY329" s="313"/>
      <c r="AZ329" s="313"/>
      <c r="BA329" s="313"/>
      <c r="BB329" s="313"/>
      <c r="BC329" s="313"/>
      <c r="BD329" s="313"/>
      <c r="BE329" s="313"/>
      <c r="BF329" s="313"/>
      <c r="BG329" s="313"/>
      <c r="BH329" s="313"/>
      <c r="BI329" s="313"/>
    </row>
    <row r="330" spans="2:61" s="315" customFormat="1">
      <c r="F330" s="313"/>
      <c r="G330" s="313"/>
      <c r="H330" s="313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  <c r="T330" s="313"/>
      <c r="U330" s="313"/>
      <c r="V330" s="313"/>
      <c r="W330" s="313"/>
      <c r="X330" s="313"/>
      <c r="Y330" s="313"/>
      <c r="Z330" s="313"/>
      <c r="AA330" s="313"/>
      <c r="AB330" s="313"/>
      <c r="AC330" s="313"/>
      <c r="AD330" s="313"/>
      <c r="AE330" s="313"/>
      <c r="AF330" s="313"/>
      <c r="AG330" s="313"/>
      <c r="AH330" s="313"/>
      <c r="AI330" s="313"/>
      <c r="AJ330" s="313"/>
      <c r="AK330" s="313"/>
      <c r="AL330" s="313"/>
      <c r="AM330" s="313"/>
      <c r="AN330" s="313"/>
      <c r="AO330" s="313"/>
      <c r="AP330" s="313"/>
      <c r="AQ330" s="313"/>
      <c r="AR330" s="313"/>
      <c r="AS330" s="313"/>
      <c r="AT330" s="313"/>
      <c r="AU330" s="313"/>
      <c r="AV330" s="313"/>
      <c r="AW330" s="313"/>
      <c r="AX330" s="313"/>
      <c r="AY330" s="313"/>
      <c r="AZ330" s="313"/>
      <c r="BA330" s="313"/>
      <c r="BB330" s="313"/>
      <c r="BC330" s="313"/>
      <c r="BD330" s="313"/>
      <c r="BE330" s="313"/>
      <c r="BF330" s="313"/>
      <c r="BG330" s="313"/>
      <c r="BH330" s="313"/>
      <c r="BI330" s="313"/>
    </row>
    <row r="331" spans="2:61" hidden="1">
      <c r="B331" s="315" t="s">
        <v>472</v>
      </c>
      <c r="F331" s="161">
        <v>0</v>
      </c>
      <c r="G331" s="313" t="e">
        <f>MAX(0,G325-F325)</f>
        <v>#REF!</v>
      </c>
      <c r="H331" s="313" t="e">
        <f t="shared" ref="H331:J331" si="3309">MAX(0,H325-G325)</f>
        <v>#REF!</v>
      </c>
      <c r="I331" s="313" t="e">
        <f t="shared" si="3309"/>
        <v>#REF!</v>
      </c>
      <c r="J331" s="313" t="e">
        <f t="shared" si="3309"/>
        <v>#REF!</v>
      </c>
      <c r="K331" s="313" t="e">
        <f t="shared" ref="K331" si="3310">MAX(0,K325-J325)</f>
        <v>#REF!</v>
      </c>
      <c r="L331" s="313" t="e">
        <f t="shared" ref="L331:M331" si="3311">MAX(0,L325-K325)</f>
        <v>#REF!</v>
      </c>
      <c r="M331" s="313" t="e">
        <f t="shared" si="3311"/>
        <v>#REF!</v>
      </c>
      <c r="N331" s="313" t="e">
        <f t="shared" ref="N331" si="3312">MAX(0,N325-M325)</f>
        <v>#REF!</v>
      </c>
      <c r="O331" s="313" t="e">
        <f t="shared" ref="O331:P331" si="3313">MAX(0,O325-N325)</f>
        <v>#REF!</v>
      </c>
      <c r="P331" s="313" t="e">
        <f t="shared" si="3313"/>
        <v>#REF!</v>
      </c>
      <c r="Q331" s="313" t="e">
        <f t="shared" ref="Q331" si="3314">MAX(0,Q325-P325)</f>
        <v>#REF!</v>
      </c>
      <c r="R331" s="313" t="e">
        <f t="shared" ref="R331:S331" si="3315">MAX(0,R325-Q325)</f>
        <v>#REF!</v>
      </c>
      <c r="S331" s="313" t="e">
        <f t="shared" si="3315"/>
        <v>#REF!</v>
      </c>
      <c r="T331" s="313" t="e">
        <f t="shared" ref="T331" si="3316">MAX(0,T325-S325)</f>
        <v>#REF!</v>
      </c>
      <c r="U331" s="313" t="e">
        <f t="shared" ref="U331:V331" si="3317">MAX(0,U325-T325)</f>
        <v>#REF!</v>
      </c>
      <c r="V331" s="313" t="e">
        <f t="shared" si="3317"/>
        <v>#REF!</v>
      </c>
      <c r="W331" s="313" t="e">
        <f t="shared" ref="W331" si="3318">MAX(0,W325-V325)</f>
        <v>#REF!</v>
      </c>
      <c r="X331" s="313" t="e">
        <f t="shared" ref="X331:Y331" si="3319">MAX(0,X325-W325)</f>
        <v>#REF!</v>
      </c>
      <c r="Y331" s="313" t="e">
        <f t="shared" si="3319"/>
        <v>#REF!</v>
      </c>
      <c r="Z331" s="313" t="e">
        <f t="shared" ref="Z331" si="3320">MAX(0,Z325-Y325)</f>
        <v>#REF!</v>
      </c>
      <c r="AA331" s="313" t="e">
        <f t="shared" ref="AA331:AB331" si="3321">MAX(0,AA325-Z325)</f>
        <v>#REF!</v>
      </c>
      <c r="AB331" s="313" t="e">
        <f t="shared" si="3321"/>
        <v>#REF!</v>
      </c>
      <c r="AC331" s="313" t="e">
        <f t="shared" ref="AC331" si="3322">MAX(0,AC325-AB325)</f>
        <v>#REF!</v>
      </c>
      <c r="AD331" s="313" t="e">
        <f t="shared" ref="AD331:AE331" si="3323">MAX(0,AD325-AC325)</f>
        <v>#REF!</v>
      </c>
      <c r="AE331" s="313" t="e">
        <f t="shared" si="3323"/>
        <v>#REF!</v>
      </c>
      <c r="AF331" s="313" t="e">
        <f t="shared" ref="AF331" si="3324">MAX(0,AF325-AE325)</f>
        <v>#REF!</v>
      </c>
      <c r="AG331" s="313" t="e">
        <f t="shared" ref="AG331:AH331" si="3325">MAX(0,AG325-AF325)</f>
        <v>#REF!</v>
      </c>
      <c r="AH331" s="313" t="e">
        <f t="shared" si="3325"/>
        <v>#REF!</v>
      </c>
      <c r="AI331" s="313" t="e">
        <f t="shared" ref="AI331" si="3326">MAX(0,AI325-AH325)</f>
        <v>#REF!</v>
      </c>
      <c r="AJ331" s="313" t="e">
        <f t="shared" ref="AJ331:AK331" si="3327">MAX(0,AJ325-AI325)</f>
        <v>#REF!</v>
      </c>
      <c r="AK331" s="313" t="e">
        <f t="shared" si="3327"/>
        <v>#REF!</v>
      </c>
      <c r="AL331" s="313" t="e">
        <f t="shared" ref="AL331" si="3328">MAX(0,AL325-AK325)</f>
        <v>#REF!</v>
      </c>
      <c r="AM331" s="313" t="e">
        <f t="shared" ref="AM331:AN331" si="3329">MAX(0,AM325-AL325)</f>
        <v>#REF!</v>
      </c>
      <c r="AN331" s="313" t="e">
        <f t="shared" si="3329"/>
        <v>#REF!</v>
      </c>
      <c r="AO331" s="313" t="e">
        <f t="shared" ref="AO331" si="3330">MAX(0,AO325-AN325)</f>
        <v>#REF!</v>
      </c>
      <c r="AP331" s="313" t="e">
        <f t="shared" ref="AP331:AQ331" si="3331">MAX(0,AP325-AO325)</f>
        <v>#REF!</v>
      </c>
      <c r="AQ331" s="313" t="e">
        <f t="shared" si="3331"/>
        <v>#REF!</v>
      </c>
      <c r="AR331" s="313" t="e">
        <f t="shared" ref="AR331" si="3332">MAX(0,AR325-AQ325)</f>
        <v>#REF!</v>
      </c>
      <c r="AS331" s="313" t="e">
        <f t="shared" ref="AS331:AT331" si="3333">MAX(0,AS325-AR325)</f>
        <v>#REF!</v>
      </c>
      <c r="AT331" s="313" t="e">
        <f t="shared" si="3333"/>
        <v>#REF!</v>
      </c>
      <c r="AU331" s="313" t="e">
        <f t="shared" ref="AU331" si="3334">MAX(0,AU325-AT325)</f>
        <v>#REF!</v>
      </c>
      <c r="AV331" s="313" t="e">
        <f t="shared" ref="AV331:AW331" si="3335">MAX(0,AV325-AU325)</f>
        <v>#REF!</v>
      </c>
      <c r="AW331" s="313" t="e">
        <f t="shared" si="3335"/>
        <v>#REF!</v>
      </c>
      <c r="AX331" s="313" t="e">
        <f t="shared" ref="AX331" si="3336">MAX(0,AX325-AW325)</f>
        <v>#REF!</v>
      </c>
      <c r="AY331" s="313" t="e">
        <f t="shared" ref="AY331:AZ331" si="3337">MAX(0,AY325-AX325)</f>
        <v>#REF!</v>
      </c>
      <c r="AZ331" s="313" t="e">
        <f t="shared" si="3337"/>
        <v>#REF!</v>
      </c>
      <c r="BA331" s="313" t="e">
        <f t="shared" ref="BA331" si="3338">MAX(0,BA325-AZ325)</f>
        <v>#REF!</v>
      </c>
      <c r="BB331" s="313" t="e">
        <f t="shared" ref="BB331:BC331" si="3339">MAX(0,BB325-BA325)</f>
        <v>#REF!</v>
      </c>
      <c r="BC331" s="313" t="e">
        <f t="shared" si="3339"/>
        <v>#REF!</v>
      </c>
      <c r="BD331" s="313" t="e">
        <f t="shared" ref="BD331" si="3340">MAX(0,BD325-BC325)</f>
        <v>#REF!</v>
      </c>
      <c r="BE331" s="313" t="e">
        <f t="shared" ref="BE331:BF331" si="3341">MAX(0,BE325-BD325)</f>
        <v>#REF!</v>
      </c>
      <c r="BF331" s="313" t="e">
        <f t="shared" si="3341"/>
        <v>#REF!</v>
      </c>
      <c r="BG331" s="313" t="e">
        <f t="shared" ref="BG331" si="3342">MAX(0,BG325-BF325)</f>
        <v>#REF!</v>
      </c>
      <c r="BH331" s="313" t="e">
        <f t="shared" ref="BH331:BI331" si="3343">MAX(0,BH325-BG325)</f>
        <v>#REF!</v>
      </c>
      <c r="BI331" s="313" t="e">
        <f t="shared" si="3343"/>
        <v>#REF!</v>
      </c>
    </row>
    <row r="332" spans="2:61" hidden="1">
      <c r="B332" s="315" t="s">
        <v>433</v>
      </c>
      <c r="C332" s="316">
        <v>8</v>
      </c>
    </row>
    <row r="333" spans="2:61" s="315" customFormat="1" hidden="1">
      <c r="B333" s="315" t="s">
        <v>474</v>
      </c>
      <c r="C333" s="309"/>
      <c r="F333" s="308">
        <f>SUM(F334:F389)</f>
        <v>0</v>
      </c>
      <c r="G333" s="307" t="e">
        <f t="shared" ref="G333:M333" si="3344">SUM(G334:G389)</f>
        <v>#REF!</v>
      </c>
      <c r="H333" s="307" t="e">
        <f t="shared" si="3344"/>
        <v>#REF!</v>
      </c>
      <c r="I333" s="307" t="e">
        <f t="shared" si="3344"/>
        <v>#REF!</v>
      </c>
      <c r="J333" s="307" t="e">
        <f t="shared" si="3344"/>
        <v>#REF!</v>
      </c>
      <c r="K333" s="307" t="e">
        <f t="shared" si="3344"/>
        <v>#REF!</v>
      </c>
      <c r="L333" s="307" t="e">
        <f t="shared" si="3344"/>
        <v>#REF!</v>
      </c>
      <c r="M333" s="307" t="e">
        <f t="shared" si="3344"/>
        <v>#REF!</v>
      </c>
      <c r="N333" s="307" t="e">
        <f t="shared" ref="N333" si="3345">SUM(N334:N389)</f>
        <v>#REF!</v>
      </c>
      <c r="O333" s="307" t="e">
        <f t="shared" ref="O333" si="3346">SUM(O334:O389)</f>
        <v>#REF!</v>
      </c>
      <c r="P333" s="307" t="e">
        <f t="shared" ref="P333" si="3347">SUM(P334:P389)</f>
        <v>#REF!</v>
      </c>
      <c r="Q333" s="307" t="e">
        <f t="shared" ref="Q333" si="3348">SUM(Q334:Q389)</f>
        <v>#REF!</v>
      </c>
      <c r="R333" s="307" t="e">
        <f t="shared" ref="R333" si="3349">SUM(R334:R389)</f>
        <v>#REF!</v>
      </c>
      <c r="S333" s="307" t="e">
        <f t="shared" ref="S333" si="3350">SUM(S334:S389)</f>
        <v>#REF!</v>
      </c>
      <c r="T333" s="307">
        <f t="shared" ref="T333" si="3351">SUM(T334:T389)</f>
        <v>0</v>
      </c>
      <c r="U333" s="307">
        <f t="shared" ref="U333" si="3352">SUM(U334:U389)</f>
        <v>0</v>
      </c>
      <c r="V333" s="307">
        <f t="shared" ref="V333" si="3353">SUM(V334:V389)</f>
        <v>0</v>
      </c>
      <c r="W333" s="307">
        <f t="shared" ref="W333" si="3354">SUM(W334:W389)</f>
        <v>0</v>
      </c>
    </row>
    <row r="334" spans="2:61" hidden="1">
      <c r="B334" s="312"/>
      <c r="E334" s="310">
        <f t="array" ref="E334:E389">TRANSPOSE(F323:BI323)</f>
        <v>40999</v>
      </c>
      <c r="F334" s="161">
        <f>F331</f>
        <v>0</v>
      </c>
    </row>
    <row r="335" spans="2:61" hidden="1">
      <c r="E335" s="310">
        <v>41090</v>
      </c>
      <c r="G335" s="313" t="e">
        <f>G331</f>
        <v>#REF!</v>
      </c>
      <c r="H335" s="313" t="e">
        <f>G335*(C332-COUNT($G335:G335))/$C$332</f>
        <v>#REF!</v>
      </c>
      <c r="I335" s="313" t="e">
        <f>H335*($C$332-COUNT($G335:H335))/$C$332</f>
        <v>#REF!</v>
      </c>
      <c r="J335" s="313" t="e">
        <f>I335*($C$332-COUNT($G335:I335))/$C$332</f>
        <v>#REF!</v>
      </c>
      <c r="K335" s="313" t="e">
        <f>J335*($C$332-COUNT($G335:J335))/$C$332</f>
        <v>#REF!</v>
      </c>
      <c r="L335" s="313" t="e">
        <f>K335*($C$332-COUNT($G335:K335))/$C$332</f>
        <v>#REF!</v>
      </c>
      <c r="M335" s="313" t="e">
        <f>L335*($C$332-COUNT($G335:L335))/$C$332</f>
        <v>#REF!</v>
      </c>
      <c r="N335" s="313" t="e">
        <f>M335*($C$332-COUNT($G335:M335))/$C$332</f>
        <v>#REF!</v>
      </c>
      <c r="O335" s="313" t="e">
        <f>N335*($C$332-COUNT($G335:N335))/$C$332</f>
        <v>#REF!</v>
      </c>
      <c r="P335" s="313" t="e">
        <f>O335*($C$332-COUNT($G335:O335))/$C$332</f>
        <v>#REF!</v>
      </c>
      <c r="Q335" s="313" t="e">
        <f>P335*($C$332-COUNT($G335:P335))/$C$332</f>
        <v>#REF!</v>
      </c>
      <c r="R335" s="313" t="e">
        <f>Q335*($C$332-COUNT($G335:Q335))/$C$332</f>
        <v>#REF!</v>
      </c>
    </row>
    <row r="336" spans="2:61" hidden="1">
      <c r="B336" s="315" t="s">
        <v>473</v>
      </c>
      <c r="C336" s="311">
        <v>0.02</v>
      </c>
      <c r="E336" s="310">
        <v>41182</v>
      </c>
      <c r="H336" s="313" t="e">
        <f>H331</f>
        <v>#REF!</v>
      </c>
      <c r="I336" s="313" t="e">
        <f>H336*($C$332-COUNT($G336:H336))/$C$332</f>
        <v>#REF!</v>
      </c>
      <c r="J336" s="313" t="e">
        <f>I336*($C$332-COUNT($G336:I336))/$C$332</f>
        <v>#REF!</v>
      </c>
      <c r="K336" s="313" t="e">
        <f>J336*($C$332-COUNT($G336:J336))/$C$332</f>
        <v>#REF!</v>
      </c>
      <c r="L336" s="313" t="e">
        <f>K336*($C$332-COUNT($G336:K336))/$C$332</f>
        <v>#REF!</v>
      </c>
      <c r="M336" s="313" t="e">
        <f>L336*($C$332-COUNT($G336:L336))/$C$332</f>
        <v>#REF!</v>
      </c>
      <c r="N336" s="313" t="e">
        <f>M336*($C$332-COUNT($G336:M336))/$C$332</f>
        <v>#REF!</v>
      </c>
      <c r="O336" s="313" t="e">
        <f>N336*($C$332-COUNT($G336:N336))/$C$332</f>
        <v>#REF!</v>
      </c>
      <c r="P336" s="313" t="e">
        <f>O336*($C$332-COUNT($G336:O336))/$C$332</f>
        <v>#REF!</v>
      </c>
      <c r="Q336" s="313" t="e">
        <f>P336*($C$332-COUNT($G336:P336))/$C$332</f>
        <v>#REF!</v>
      </c>
      <c r="R336" s="313" t="e">
        <f>Q336*($C$332-COUNT($G336:Q336))/$C$332</f>
        <v>#REF!</v>
      </c>
      <c r="S336" s="313" t="e">
        <f>R336*($C$332-COUNT($G336:R336))/$C$332</f>
        <v>#REF!</v>
      </c>
    </row>
    <row r="337" spans="5:19" hidden="1">
      <c r="E337" s="310">
        <v>41274</v>
      </c>
      <c r="I337" s="313" t="e">
        <f>I331</f>
        <v>#REF!</v>
      </c>
      <c r="J337" s="313" t="e">
        <f>I337*($C$332-COUNT($G337:I337))/$C$332</f>
        <v>#REF!</v>
      </c>
      <c r="K337" s="313" t="e">
        <f>J337*($C$332-COUNT($G337:J337))/$C$332</f>
        <v>#REF!</v>
      </c>
      <c r="L337" s="313" t="e">
        <f>K337*($C$332-COUNT($G337:K337))/$C$332</f>
        <v>#REF!</v>
      </c>
      <c r="M337" s="313" t="e">
        <f>L337*($C$332-COUNT($G337:L337))/$C$332</f>
        <v>#REF!</v>
      </c>
      <c r="N337" s="313" t="e">
        <f>M337*($C$332-COUNT($G337:M337))/$C$332</f>
        <v>#REF!</v>
      </c>
      <c r="O337" s="313" t="e">
        <f>N337*($C$332-COUNT($G337:N337))/$C$332</f>
        <v>#REF!</v>
      </c>
      <c r="P337" s="313" t="e">
        <f>O337*($C$332-COUNT($G337:O337))/$C$332</f>
        <v>#REF!</v>
      </c>
      <c r="Q337" s="313" t="e">
        <f>P337*($C$332-COUNT($G337:P337))/$C$332</f>
        <v>#REF!</v>
      </c>
      <c r="R337" s="313" t="e">
        <f>Q337*($C$332-COUNT($G337:Q337))/$C$332</f>
        <v>#REF!</v>
      </c>
      <c r="S337" s="313" t="e">
        <f>R337*($C$332-COUNT($G337:R337))/$C$332</f>
        <v>#REF!</v>
      </c>
    </row>
    <row r="338" spans="5:19" hidden="1">
      <c r="E338" s="310">
        <v>41364</v>
      </c>
      <c r="J338" s="313" t="e">
        <f>J331</f>
        <v>#REF!</v>
      </c>
      <c r="K338" s="313" t="e">
        <f>J338*($C$332-COUNT($G338:J338))/$C$332</f>
        <v>#REF!</v>
      </c>
      <c r="L338" s="313" t="e">
        <f>K338*($C$332-COUNT($G338:K338))/$C$332</f>
        <v>#REF!</v>
      </c>
      <c r="M338" s="313" t="e">
        <f>L338*($C$332-COUNT($G338:L338))/$C$332</f>
        <v>#REF!</v>
      </c>
      <c r="N338" s="313" t="e">
        <f>M338*($C$332-COUNT($G338:M338))/$C$332</f>
        <v>#REF!</v>
      </c>
      <c r="O338" s="313" t="e">
        <f>N338*($C$332-COUNT($G338:N338))/$C$332</f>
        <v>#REF!</v>
      </c>
      <c r="P338" s="313" t="e">
        <f>O338*($C$332-COUNT($G338:O338))/$C$332</f>
        <v>#REF!</v>
      </c>
      <c r="Q338" s="313" t="e">
        <f>P338*($C$332-COUNT($G338:P338))/$C$332</f>
        <v>#REF!</v>
      </c>
      <c r="R338" s="313" t="e">
        <f>Q338*($C$332-COUNT($G338:Q338))/$C$332</f>
        <v>#REF!</v>
      </c>
      <c r="S338" s="313" t="e">
        <f>R338*($C$332-COUNT($G338:R338))/$C$332</f>
        <v>#REF!</v>
      </c>
    </row>
    <row r="339" spans="5:19" hidden="1">
      <c r="E339" s="310">
        <v>41455</v>
      </c>
      <c r="K339" s="313" t="e">
        <f>K331</f>
        <v>#REF!</v>
      </c>
      <c r="L339" s="313" t="e">
        <f>K339*($C$332-COUNT($G339:K339))/$C$332</f>
        <v>#REF!</v>
      </c>
      <c r="M339" s="313" t="e">
        <f>L339*($C$332-COUNT($G339:L339))/$C$332</f>
        <v>#REF!</v>
      </c>
      <c r="N339" s="313" t="e">
        <f>M339*($C$332-COUNT($G339:M339))/$C$332</f>
        <v>#REF!</v>
      </c>
      <c r="O339" s="313" t="e">
        <f>N339*($C$332-COUNT($G339:N339))/$C$332</f>
        <v>#REF!</v>
      </c>
      <c r="P339" s="313" t="e">
        <f>O339*($C$332-COUNT($G339:O339))/$C$332</f>
        <v>#REF!</v>
      </c>
      <c r="Q339" s="313" t="e">
        <f>P339*($C$332-COUNT($G339:P339))/$C$332</f>
        <v>#REF!</v>
      </c>
      <c r="R339" s="313" t="e">
        <f>Q339*($C$332-COUNT($G339:Q339))/$C$332</f>
        <v>#REF!</v>
      </c>
      <c r="S339" s="313" t="e">
        <f>R339*($C$332-COUNT($G339:R339))/$C$332</f>
        <v>#REF!</v>
      </c>
    </row>
    <row r="340" spans="5:19" hidden="1">
      <c r="E340" s="310">
        <v>41547</v>
      </c>
      <c r="L340" s="313" t="e">
        <f>L331</f>
        <v>#REF!</v>
      </c>
      <c r="M340" s="313" t="e">
        <f>L340*($C$332-COUNT($G340:L340))/$C$332</f>
        <v>#REF!</v>
      </c>
      <c r="N340" s="313" t="e">
        <f>M340*($C$332-COUNT($G340:M340))/$C$332</f>
        <v>#REF!</v>
      </c>
      <c r="O340" s="313" t="e">
        <f>N340*($C$332-COUNT($G340:N340))/$C$332</f>
        <v>#REF!</v>
      </c>
      <c r="P340" s="313" t="e">
        <f>O340*($C$332-COUNT($G340:O340))/$C$332</f>
        <v>#REF!</v>
      </c>
      <c r="Q340" s="313" t="e">
        <f>P340*($C$332-COUNT($G340:P340))/$C$332</f>
        <v>#REF!</v>
      </c>
      <c r="R340" s="313" t="e">
        <f>Q340*($C$332-COUNT($G340:Q340))/$C$332</f>
        <v>#REF!</v>
      </c>
      <c r="S340" s="313" t="e">
        <f>R340*($C$332-COUNT($G340:R340))/$C$332</f>
        <v>#REF!</v>
      </c>
    </row>
    <row r="341" spans="5:19" hidden="1">
      <c r="E341" s="310">
        <v>41639</v>
      </c>
      <c r="M341" s="313" t="e">
        <f>M331</f>
        <v>#REF!</v>
      </c>
      <c r="N341" s="313" t="e">
        <f>M341*($C$332-COUNT($G341:M341))/$C$332</f>
        <v>#REF!</v>
      </c>
      <c r="O341" s="313" t="e">
        <f>N341*($C$332-COUNT($G341:N341))/$C$332</f>
        <v>#REF!</v>
      </c>
      <c r="P341" s="313" t="e">
        <f>O341*($C$332-COUNT($G341:O341))/$C$332</f>
        <v>#REF!</v>
      </c>
      <c r="Q341" s="313" t="e">
        <f>P341*($C$332-COUNT($G341:P341))/$C$332</f>
        <v>#REF!</v>
      </c>
      <c r="R341" s="313" t="e">
        <f>Q341*($C$332-COUNT($G341:Q341))/$C$332</f>
        <v>#REF!</v>
      </c>
      <c r="S341" s="313" t="e">
        <f>R341*($C$332-COUNT($G341:R341))/$C$332</f>
        <v>#REF!</v>
      </c>
    </row>
    <row r="342" spans="5:19" hidden="1">
      <c r="E342" s="310">
        <v>41729</v>
      </c>
      <c r="N342" s="313" t="e">
        <f>N331</f>
        <v>#REF!</v>
      </c>
      <c r="O342" s="313" t="e">
        <f>N342*($C$332-COUNT($G342:N342))/$C$332</f>
        <v>#REF!</v>
      </c>
      <c r="P342" s="313" t="e">
        <f>O342*($C$332-COUNT($G342:O342))/$C$332</f>
        <v>#REF!</v>
      </c>
      <c r="Q342" s="313" t="e">
        <f>P342*($C$332-COUNT($G342:P342))/$C$332</f>
        <v>#REF!</v>
      </c>
      <c r="R342" s="313" t="e">
        <f>Q342*($C$332-COUNT($G342:Q342))/$C$332</f>
        <v>#REF!</v>
      </c>
      <c r="S342" s="313" t="e">
        <f>R342*($C$332-COUNT($G342:R342))/$C$332</f>
        <v>#REF!</v>
      </c>
    </row>
    <row r="343" spans="5:19" hidden="1">
      <c r="E343" s="310">
        <v>41820</v>
      </c>
    </row>
    <row r="344" spans="5:19" hidden="1">
      <c r="E344" s="310">
        <v>41912</v>
      </c>
    </row>
    <row r="345" spans="5:19" hidden="1">
      <c r="E345" s="310">
        <v>42004</v>
      </c>
    </row>
    <row r="346" spans="5:19" hidden="1">
      <c r="E346" s="310">
        <v>42094</v>
      </c>
    </row>
    <row r="347" spans="5:19" hidden="1">
      <c r="E347" s="310">
        <v>42185</v>
      </c>
    </row>
    <row r="348" spans="5:19" hidden="1">
      <c r="E348" s="310">
        <v>42277</v>
      </c>
    </row>
    <row r="349" spans="5:19" hidden="1">
      <c r="E349" s="310">
        <v>42369</v>
      </c>
    </row>
    <row r="350" spans="5:19" hidden="1">
      <c r="E350" s="310">
        <v>42460</v>
      </c>
    </row>
    <row r="351" spans="5:19" hidden="1">
      <c r="E351" s="310">
        <v>42551</v>
      </c>
    </row>
    <row r="352" spans="5:19" hidden="1">
      <c r="E352" s="310">
        <v>42643</v>
      </c>
    </row>
    <row r="353" spans="5:5" hidden="1">
      <c r="E353" s="310">
        <v>42735</v>
      </c>
    </row>
    <row r="354" spans="5:5" hidden="1">
      <c r="E354" s="310">
        <v>42825</v>
      </c>
    </row>
    <row r="355" spans="5:5" hidden="1">
      <c r="E355" s="310">
        <v>42916</v>
      </c>
    </row>
    <row r="356" spans="5:5" hidden="1">
      <c r="E356" s="310">
        <v>43008</v>
      </c>
    </row>
    <row r="357" spans="5:5" hidden="1">
      <c r="E357" s="310">
        <v>43100</v>
      </c>
    </row>
    <row r="358" spans="5:5" hidden="1">
      <c r="E358" s="310">
        <v>43190</v>
      </c>
    </row>
    <row r="359" spans="5:5" hidden="1">
      <c r="E359" s="310">
        <v>43281</v>
      </c>
    </row>
    <row r="360" spans="5:5" hidden="1">
      <c r="E360" s="310">
        <v>43373</v>
      </c>
    </row>
    <row r="361" spans="5:5" hidden="1">
      <c r="E361" s="310">
        <v>43465</v>
      </c>
    </row>
    <row r="362" spans="5:5" hidden="1">
      <c r="E362" s="310">
        <v>43555</v>
      </c>
    </row>
    <row r="363" spans="5:5" hidden="1">
      <c r="E363" s="310">
        <v>43646</v>
      </c>
    </row>
    <row r="364" spans="5:5" hidden="1">
      <c r="E364" s="310">
        <v>43738</v>
      </c>
    </row>
    <row r="365" spans="5:5" hidden="1">
      <c r="E365" s="310">
        <v>43830</v>
      </c>
    </row>
    <row r="366" spans="5:5" hidden="1">
      <c r="E366" s="310">
        <v>43921</v>
      </c>
    </row>
    <row r="367" spans="5:5" hidden="1">
      <c r="E367" s="310">
        <v>44012</v>
      </c>
    </row>
    <row r="368" spans="5:5" hidden="1">
      <c r="E368" s="310">
        <v>44104</v>
      </c>
    </row>
    <row r="369" spans="5:5" hidden="1">
      <c r="E369" s="310">
        <v>44196</v>
      </c>
    </row>
    <row r="370" spans="5:5" hidden="1">
      <c r="E370" s="310">
        <v>44286</v>
      </c>
    </row>
    <row r="371" spans="5:5" hidden="1">
      <c r="E371" s="310">
        <v>44377</v>
      </c>
    </row>
    <row r="372" spans="5:5" hidden="1">
      <c r="E372" s="310">
        <v>44469</v>
      </c>
    </row>
    <row r="373" spans="5:5" hidden="1">
      <c r="E373" s="310">
        <v>44561</v>
      </c>
    </row>
    <row r="374" spans="5:5" hidden="1">
      <c r="E374" s="310">
        <v>44651</v>
      </c>
    </row>
    <row r="375" spans="5:5" hidden="1">
      <c r="E375" s="310">
        <v>44742</v>
      </c>
    </row>
    <row r="376" spans="5:5" hidden="1">
      <c r="E376" s="310">
        <v>44834</v>
      </c>
    </row>
    <row r="377" spans="5:5" hidden="1">
      <c r="E377" s="310">
        <v>44926</v>
      </c>
    </row>
    <row r="378" spans="5:5" hidden="1">
      <c r="E378" s="310">
        <v>45016</v>
      </c>
    </row>
    <row r="379" spans="5:5" hidden="1">
      <c r="E379" s="310">
        <v>45107</v>
      </c>
    </row>
    <row r="380" spans="5:5" hidden="1">
      <c r="E380" s="310">
        <v>45199</v>
      </c>
    </row>
    <row r="381" spans="5:5" hidden="1">
      <c r="E381" s="310">
        <v>45291</v>
      </c>
    </row>
    <row r="382" spans="5:5" hidden="1">
      <c r="E382" s="310">
        <v>45382</v>
      </c>
    </row>
    <row r="383" spans="5:5" hidden="1">
      <c r="E383" s="310">
        <v>45473</v>
      </c>
    </row>
    <row r="384" spans="5:5" hidden="1">
      <c r="E384" s="310">
        <v>45565</v>
      </c>
    </row>
    <row r="385" spans="5:5" hidden="1">
      <c r="E385" s="310">
        <v>45657</v>
      </c>
    </row>
    <row r="386" spans="5:5" hidden="1">
      <c r="E386" s="310">
        <v>45747</v>
      </c>
    </row>
    <row r="387" spans="5:5" hidden="1">
      <c r="E387" s="310">
        <v>45838</v>
      </c>
    </row>
    <row r="388" spans="5:5" hidden="1">
      <c r="E388" s="310">
        <v>45930</v>
      </c>
    </row>
    <row r="389" spans="5:5" hidden="1">
      <c r="E389" s="310">
        <v>46022</v>
      </c>
    </row>
    <row r="390" spans="5:5" hidden="1"/>
  </sheetData>
  <pageMargins left="0.78740157499999996" right="0.78740157499999996" top="0.984251969" bottom="0.984251969" header="0.49212598499999999" footer="0.49212598499999999"/>
  <pageSetup paperSize="8" scale="10" fitToHeight="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7">
    <pageSetUpPr fitToPage="1"/>
  </sheetPr>
  <dimension ref="A1:GQ290"/>
  <sheetViews>
    <sheetView showGridLines="0" zoomScale="60" zoomScaleNormal="60" workbookViewId="0">
      <pane xSplit="3" ySplit="1" topLeftCell="D2" activePane="bottomRight" state="frozen"/>
      <selection activeCell="A12" sqref="A12"/>
      <selection pane="topRight" activeCell="A12" sqref="A12"/>
      <selection pane="bottomLeft" activeCell="A12" sqref="A12"/>
      <selection pane="bottomRight" activeCell="P147" sqref="P147"/>
    </sheetView>
  </sheetViews>
  <sheetFormatPr defaultColWidth="13" defaultRowHeight="12.75" outlineLevelRow="1"/>
  <cols>
    <col min="1" max="1" width="6.42578125" style="315" customWidth="1"/>
    <col min="2" max="2" width="42.28515625" style="315" customWidth="1"/>
    <col min="3" max="3" width="15.7109375" style="315" customWidth="1"/>
    <col min="4" max="6" width="13" style="315" customWidth="1"/>
    <col min="7" max="7" width="14.5703125" style="315" customWidth="1"/>
    <col min="8" max="147" width="13" style="315" customWidth="1"/>
    <col min="148" max="149" width="13.140625" style="315" bestFit="1" customWidth="1"/>
    <col min="150" max="151" width="13" style="315" customWidth="1"/>
    <col min="152" max="152" width="10.28515625" style="315" bestFit="1" customWidth="1"/>
    <col min="153" max="154" width="10" style="315" bestFit="1" customWidth="1"/>
    <col min="155" max="155" width="10.28515625" style="315" bestFit="1" customWidth="1"/>
    <col min="156" max="161" width="9.7109375" style="315" bestFit="1" customWidth="1"/>
    <col min="162" max="162" width="10.85546875" style="315" bestFit="1" customWidth="1"/>
    <col min="163" max="164" width="9.7109375" style="315" bestFit="1" customWidth="1"/>
    <col min="165" max="165" width="10" style="315" bestFit="1" customWidth="1"/>
    <col min="166" max="176" width="9.7109375" style="315" bestFit="1" customWidth="1"/>
    <col min="177" max="177" width="10" style="315" bestFit="1" customWidth="1"/>
    <col min="178" max="186" width="9.7109375" style="315" bestFit="1" customWidth="1"/>
    <col min="187" max="190" width="10" style="315" bestFit="1" customWidth="1"/>
    <col min="191" max="191" width="10.5703125" style="315" bestFit="1" customWidth="1"/>
    <col min="192" max="193" width="10.85546875" style="315" bestFit="1" customWidth="1"/>
    <col min="194" max="194" width="10.5703125" style="315" bestFit="1" customWidth="1"/>
    <col min="195" max="195" width="11.85546875" style="315" bestFit="1" customWidth="1"/>
    <col min="196" max="197" width="11" style="315" bestFit="1" customWidth="1"/>
    <col min="198" max="198" width="10.85546875" style="315" bestFit="1" customWidth="1"/>
    <col min="199" max="199" width="11" style="315" bestFit="1" customWidth="1"/>
    <col min="200" max="212" width="9.140625" style="315" customWidth="1"/>
    <col min="213" max="213" width="42.28515625" style="315" customWidth="1"/>
    <col min="214" max="214" width="12.28515625" style="315" customWidth="1"/>
    <col min="215" max="226" width="9.140625" style="315" customWidth="1"/>
    <col min="227" max="16384" width="13" style="315"/>
  </cols>
  <sheetData>
    <row r="1" spans="1:199">
      <c r="F1" s="817" t="s">
        <v>759</v>
      </c>
      <c r="G1" s="782"/>
      <c r="H1" s="782"/>
      <c r="I1" s="782"/>
    </row>
    <row r="2" spans="1:199" ht="15.75">
      <c r="B2" s="33" t="s">
        <v>421</v>
      </c>
      <c r="F2" s="818" t="s">
        <v>760</v>
      </c>
      <c r="G2" s="819"/>
      <c r="H2" s="782"/>
      <c r="I2" s="817" t="s">
        <v>761</v>
      </c>
      <c r="J2" s="156"/>
      <c r="K2" s="156"/>
      <c r="L2" s="156"/>
      <c r="M2" s="156"/>
      <c r="N2" s="156"/>
      <c r="O2" s="156"/>
    </row>
    <row r="3" spans="1:199" ht="15">
      <c r="B3" s="34"/>
      <c r="F3" s="820" t="s">
        <v>762</v>
      </c>
      <c r="G3" s="821"/>
      <c r="H3" s="782"/>
      <c r="I3" s="822" t="s">
        <v>763</v>
      </c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26"/>
      <c r="U3" s="226"/>
      <c r="V3" s="226"/>
    </row>
    <row r="4" spans="1:199">
      <c r="F4" s="823" t="s">
        <v>764</v>
      </c>
      <c r="G4" s="819"/>
      <c r="H4" s="782"/>
      <c r="I4" s="782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</row>
    <row r="5" spans="1:199">
      <c r="B5" s="5" t="s">
        <v>420</v>
      </c>
      <c r="F5" s="824" t="s">
        <v>765</v>
      </c>
      <c r="G5" s="825"/>
      <c r="H5" s="804"/>
      <c r="I5" s="804"/>
      <c r="J5" s="156"/>
      <c r="K5" s="156"/>
      <c r="L5" s="156"/>
      <c r="M5" s="156"/>
      <c r="N5" s="156"/>
      <c r="O5" s="156"/>
    </row>
    <row r="7" spans="1:199" s="156" customFormat="1">
      <c r="A7" s="315"/>
      <c r="B7" s="438" t="s">
        <v>575</v>
      </c>
      <c r="C7" s="202"/>
      <c r="D7" s="439">
        <v>2009</v>
      </c>
      <c r="E7" s="439">
        <v>2010</v>
      </c>
      <c r="F7" s="439">
        <v>2011</v>
      </c>
      <c r="G7" s="439">
        <f>F7+1</f>
        <v>2012</v>
      </c>
      <c r="H7" s="439">
        <f t="shared" ref="H7:Y7" si="0">G7+1</f>
        <v>2013</v>
      </c>
      <c r="I7" s="439">
        <f t="shared" si="0"/>
        <v>2014</v>
      </c>
      <c r="J7" s="439">
        <f t="shared" si="0"/>
        <v>2015</v>
      </c>
      <c r="K7" s="439">
        <f t="shared" si="0"/>
        <v>2016</v>
      </c>
      <c r="L7" s="439">
        <f t="shared" si="0"/>
        <v>2017</v>
      </c>
      <c r="M7" s="439">
        <f t="shared" si="0"/>
        <v>2018</v>
      </c>
      <c r="N7" s="439">
        <f t="shared" si="0"/>
        <v>2019</v>
      </c>
      <c r="O7" s="439">
        <f t="shared" si="0"/>
        <v>2020</v>
      </c>
      <c r="P7" s="439">
        <f t="shared" si="0"/>
        <v>2021</v>
      </c>
      <c r="Q7" s="439">
        <f t="shared" si="0"/>
        <v>2022</v>
      </c>
      <c r="R7" s="439">
        <f t="shared" si="0"/>
        <v>2023</v>
      </c>
      <c r="S7" s="439">
        <f t="shared" si="0"/>
        <v>2024</v>
      </c>
      <c r="T7" s="439">
        <f t="shared" si="0"/>
        <v>2025</v>
      </c>
      <c r="U7" s="439">
        <f t="shared" si="0"/>
        <v>2026</v>
      </c>
      <c r="V7" s="439">
        <f t="shared" si="0"/>
        <v>2027</v>
      </c>
      <c r="W7" s="439">
        <f t="shared" si="0"/>
        <v>2028</v>
      </c>
      <c r="X7" s="439">
        <f t="shared" si="0"/>
        <v>2029</v>
      </c>
      <c r="Y7" s="439">
        <f t="shared" si="0"/>
        <v>2030</v>
      </c>
      <c r="Z7" s="439"/>
      <c r="AA7" s="439"/>
      <c r="AB7" s="439"/>
      <c r="AC7" s="439"/>
      <c r="AD7" s="439"/>
      <c r="AE7" s="439"/>
      <c r="AF7" s="202"/>
      <c r="AG7" s="202"/>
      <c r="AH7" s="202"/>
      <c r="AI7" s="202"/>
      <c r="AJ7" s="202"/>
      <c r="AK7" s="202"/>
      <c r="AL7" s="202"/>
      <c r="AM7" s="202"/>
      <c r="AN7" s="202"/>
      <c r="AO7" s="202"/>
      <c r="AP7" s="202"/>
      <c r="AQ7" s="202"/>
      <c r="AR7" s="202"/>
      <c r="AS7" s="202"/>
      <c r="AT7" s="202"/>
      <c r="AU7" s="202"/>
      <c r="AV7" s="202"/>
      <c r="AW7" s="202"/>
      <c r="AX7" s="202"/>
      <c r="AY7" s="202"/>
      <c r="AZ7" s="202"/>
      <c r="BA7" s="202"/>
      <c r="BB7" s="202"/>
      <c r="BC7" s="202"/>
      <c r="BD7" s="202"/>
      <c r="BE7" s="202"/>
      <c r="BF7" s="202"/>
      <c r="BG7" s="202"/>
      <c r="BH7" s="202"/>
      <c r="BI7" s="202"/>
      <c r="BJ7" s="202"/>
      <c r="BK7" s="202"/>
      <c r="BL7" s="202"/>
      <c r="BM7" s="202"/>
      <c r="BN7" s="202"/>
      <c r="BO7" s="202"/>
      <c r="BP7" s="202"/>
      <c r="BQ7" s="202"/>
      <c r="BR7" s="202"/>
      <c r="BS7" s="202"/>
      <c r="BT7" s="202"/>
      <c r="BU7" s="202"/>
      <c r="BV7" s="202"/>
      <c r="BW7" s="202"/>
      <c r="BX7" s="202"/>
      <c r="BY7" s="202"/>
      <c r="BZ7" s="202"/>
      <c r="CA7" s="202"/>
      <c r="CB7" s="202"/>
      <c r="CC7" s="202"/>
      <c r="CD7" s="202"/>
      <c r="CE7" s="202"/>
      <c r="CF7" s="202"/>
      <c r="CG7" s="202"/>
      <c r="CH7" s="202"/>
      <c r="CI7" s="202"/>
      <c r="CJ7" s="202"/>
      <c r="CK7" s="202"/>
      <c r="CL7" s="202"/>
      <c r="CM7" s="202"/>
      <c r="CN7" s="202"/>
      <c r="CO7" s="202"/>
      <c r="CP7" s="202"/>
      <c r="CQ7" s="202"/>
      <c r="CR7" s="202"/>
      <c r="CS7" s="202"/>
      <c r="CT7" s="202"/>
      <c r="CU7" s="202"/>
      <c r="CV7" s="202"/>
      <c r="CW7" s="202"/>
      <c r="CX7" s="202"/>
      <c r="CY7" s="202"/>
      <c r="CZ7" s="202"/>
      <c r="DA7" s="202"/>
      <c r="DB7" s="202"/>
      <c r="DC7" s="202"/>
      <c r="DD7" s="202"/>
      <c r="DE7" s="202"/>
      <c r="DF7" s="202"/>
      <c r="DG7" s="202"/>
      <c r="DH7" s="202"/>
      <c r="DI7" s="202"/>
      <c r="DJ7" s="202"/>
      <c r="DK7" s="217"/>
      <c r="DL7" s="217"/>
      <c r="DM7" s="217"/>
      <c r="DN7" s="217"/>
      <c r="DO7" s="217"/>
      <c r="DP7" s="217"/>
      <c r="DQ7" s="217"/>
      <c r="DR7" s="217"/>
      <c r="DS7" s="217"/>
      <c r="DT7" s="217"/>
      <c r="DU7" s="217"/>
      <c r="DV7" s="217"/>
      <c r="DW7" s="217"/>
      <c r="DX7" s="217"/>
      <c r="DY7" s="217"/>
      <c r="DZ7" s="217"/>
      <c r="EA7" s="217"/>
      <c r="EB7" s="217"/>
      <c r="EC7" s="217"/>
      <c r="ED7" s="217"/>
      <c r="EE7" s="217"/>
      <c r="EF7" s="217"/>
      <c r="EG7" s="217"/>
      <c r="EH7" s="217"/>
      <c r="EI7" s="217"/>
      <c r="EJ7" s="217"/>
      <c r="EK7" s="217"/>
      <c r="EL7" s="217"/>
      <c r="EM7" s="217"/>
      <c r="EN7" s="217"/>
      <c r="EO7" s="217"/>
      <c r="EP7" s="217"/>
      <c r="EQ7" s="217"/>
      <c r="ER7" s="217"/>
      <c r="ES7" s="217"/>
      <c r="ET7" s="217"/>
      <c r="EU7" s="217"/>
      <c r="EV7" s="217"/>
      <c r="EW7" s="217"/>
      <c r="EX7" s="217"/>
      <c r="EY7" s="217"/>
      <c r="EZ7" s="217"/>
      <c r="FA7" s="217"/>
      <c r="FB7" s="217"/>
      <c r="FC7" s="217"/>
      <c r="FD7" s="217"/>
      <c r="FE7" s="217"/>
      <c r="FF7" s="217"/>
      <c r="FG7" s="217"/>
      <c r="FH7" s="217"/>
      <c r="FI7" s="217"/>
      <c r="FJ7" s="217"/>
      <c r="FK7" s="217"/>
      <c r="FL7" s="217"/>
      <c r="FM7" s="217"/>
      <c r="FN7" s="217"/>
      <c r="FO7" s="217"/>
      <c r="FP7" s="217"/>
      <c r="FQ7" s="217"/>
      <c r="FR7" s="217"/>
      <c r="FS7" s="217"/>
      <c r="FT7" s="217"/>
      <c r="FU7" s="217"/>
      <c r="FV7" s="217"/>
      <c r="FW7" s="217"/>
      <c r="FX7" s="217"/>
      <c r="FY7" s="217"/>
      <c r="FZ7" s="217"/>
      <c r="GA7" s="217"/>
      <c r="GB7" s="217"/>
      <c r="GC7" s="217"/>
      <c r="GD7" s="217"/>
      <c r="GE7" s="217"/>
      <c r="GF7" s="217"/>
      <c r="GG7" s="217"/>
      <c r="GH7" s="217"/>
      <c r="GI7" s="217"/>
      <c r="GJ7" s="217"/>
      <c r="GK7" s="217"/>
      <c r="GL7" s="217"/>
      <c r="GM7" s="217"/>
      <c r="GN7" s="217"/>
      <c r="GO7" s="217"/>
      <c r="GP7" s="217"/>
      <c r="GQ7" s="217"/>
    </row>
    <row r="8" spans="1:199"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5"/>
      <c r="BA8" s="175"/>
      <c r="BB8" s="175"/>
      <c r="BC8" s="175"/>
      <c r="BD8" s="175"/>
      <c r="BE8" s="175"/>
      <c r="BF8" s="175"/>
      <c r="BG8" s="175"/>
      <c r="BH8" s="175"/>
      <c r="BI8" s="175"/>
      <c r="BJ8" s="175"/>
      <c r="BK8" s="175"/>
      <c r="BL8" s="175"/>
      <c r="BM8" s="175"/>
      <c r="BN8" s="175"/>
      <c r="BO8" s="175"/>
      <c r="BP8" s="175"/>
      <c r="BQ8" s="175"/>
      <c r="BR8" s="175"/>
      <c r="BS8" s="175"/>
      <c r="BT8" s="175"/>
      <c r="BU8" s="175"/>
      <c r="BV8" s="175"/>
      <c r="BW8" s="175"/>
      <c r="BX8" s="175"/>
      <c r="BY8" s="175"/>
      <c r="BZ8" s="175"/>
      <c r="CA8" s="175"/>
      <c r="CB8" s="175"/>
      <c r="CC8" s="175"/>
      <c r="CD8" s="175"/>
      <c r="CE8" s="175"/>
      <c r="CF8" s="175"/>
      <c r="CG8" s="175"/>
      <c r="CH8" s="175"/>
      <c r="CI8" s="175"/>
      <c r="CJ8" s="175"/>
      <c r="CK8" s="175"/>
      <c r="CL8" s="175"/>
      <c r="CM8" s="175"/>
      <c r="CN8" s="175"/>
      <c r="CO8" s="175"/>
      <c r="CP8" s="175"/>
      <c r="CQ8" s="175"/>
      <c r="CR8" s="175"/>
      <c r="CS8" s="175"/>
      <c r="CT8" s="175"/>
      <c r="CU8" s="175"/>
      <c r="CV8" s="175"/>
      <c r="CW8" s="175"/>
      <c r="CX8" s="175"/>
      <c r="CY8" s="175"/>
      <c r="CZ8" s="175"/>
      <c r="DA8" s="175"/>
      <c r="DB8" s="175"/>
      <c r="DC8" s="175"/>
      <c r="DD8" s="175"/>
      <c r="DE8" s="175"/>
      <c r="DF8" s="175"/>
      <c r="DG8" s="175"/>
      <c r="DH8" s="175"/>
      <c r="DI8" s="175"/>
      <c r="DJ8" s="175"/>
      <c r="DK8" s="175"/>
      <c r="DL8" s="175"/>
      <c r="DM8" s="175"/>
      <c r="DN8" s="175"/>
      <c r="DO8" s="175"/>
      <c r="DP8" s="175"/>
      <c r="DQ8" s="175"/>
      <c r="DR8" s="175"/>
      <c r="DS8" s="175"/>
      <c r="DT8" s="175"/>
      <c r="DU8" s="175"/>
      <c r="DV8" s="175"/>
      <c r="DW8" s="175"/>
      <c r="DX8" s="175"/>
      <c r="DY8" s="175"/>
      <c r="DZ8" s="175"/>
      <c r="EA8" s="175"/>
      <c r="EB8" s="175"/>
      <c r="EC8" s="175"/>
      <c r="ED8" s="175"/>
      <c r="EE8" s="175"/>
      <c r="EF8" s="175"/>
      <c r="EG8" s="175"/>
      <c r="EH8" s="175"/>
      <c r="EI8" s="175"/>
      <c r="EJ8" s="175"/>
      <c r="EK8" s="175"/>
      <c r="EL8" s="175"/>
      <c r="EM8" s="175"/>
      <c r="EN8" s="175"/>
      <c r="EO8" s="175"/>
      <c r="EP8" s="175"/>
      <c r="EQ8" s="175"/>
      <c r="ER8" s="175"/>
      <c r="ES8" s="175"/>
      <c r="ET8" s="175"/>
      <c r="EU8" s="175"/>
      <c r="EV8" s="175"/>
      <c r="EW8" s="175"/>
      <c r="EX8" s="175"/>
      <c r="EY8" s="175"/>
      <c r="EZ8" s="175"/>
      <c r="FA8" s="175"/>
      <c r="FB8" s="175"/>
      <c r="FC8" s="175"/>
      <c r="FD8" s="175"/>
      <c r="FE8" s="175"/>
      <c r="FF8" s="175"/>
      <c r="FG8" s="175"/>
      <c r="FH8" s="175"/>
      <c r="FI8" s="175"/>
      <c r="FJ8" s="175"/>
      <c r="FK8" s="175"/>
      <c r="FL8" s="175"/>
      <c r="FM8" s="175"/>
      <c r="FN8" s="175"/>
      <c r="FO8" s="175"/>
      <c r="FP8" s="175"/>
      <c r="FQ8" s="175"/>
      <c r="FR8" s="175"/>
      <c r="FS8" s="175"/>
      <c r="FT8" s="175"/>
      <c r="FU8" s="175"/>
      <c r="FV8" s="175"/>
      <c r="FW8" s="175"/>
      <c r="FX8" s="175"/>
      <c r="FY8" s="175"/>
      <c r="FZ8" s="175"/>
      <c r="GA8" s="175"/>
      <c r="GB8" s="175"/>
      <c r="GC8" s="175"/>
      <c r="GD8" s="175"/>
      <c r="GE8" s="175"/>
      <c r="GF8" s="175"/>
      <c r="GG8" s="175"/>
      <c r="GH8" s="175"/>
      <c r="GI8" s="175"/>
      <c r="GJ8" s="175"/>
      <c r="GK8" s="175"/>
      <c r="GL8" s="175"/>
      <c r="GM8" s="175"/>
      <c r="GN8" s="175"/>
      <c r="GO8" s="175"/>
      <c r="GP8" s="175"/>
      <c r="GQ8" s="175"/>
    </row>
    <row r="9" spans="1:199">
      <c r="B9" s="219" t="s">
        <v>364</v>
      </c>
      <c r="C9" s="220"/>
      <c r="D9" s="220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21"/>
      <c r="AY9" s="221"/>
      <c r="AZ9" s="221"/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221"/>
      <c r="BU9" s="221"/>
      <c r="BV9" s="221"/>
      <c r="BW9" s="221"/>
      <c r="BX9" s="221"/>
      <c r="BY9" s="221"/>
      <c r="BZ9" s="221"/>
      <c r="CA9" s="221"/>
      <c r="CB9" s="221"/>
      <c r="CC9" s="221"/>
      <c r="CD9" s="221"/>
      <c r="CE9" s="221"/>
      <c r="CF9" s="221"/>
      <c r="CG9" s="221"/>
      <c r="CH9" s="221"/>
      <c r="CI9" s="221"/>
      <c r="CJ9" s="221"/>
      <c r="CK9" s="221"/>
      <c r="CL9" s="221"/>
      <c r="CM9" s="221"/>
      <c r="CN9" s="221"/>
      <c r="CO9" s="221"/>
      <c r="CP9" s="221"/>
      <c r="CQ9" s="221"/>
      <c r="CR9" s="221"/>
      <c r="CS9" s="221"/>
      <c r="CT9" s="221"/>
      <c r="CU9" s="221"/>
      <c r="CV9" s="221"/>
      <c r="CW9" s="221"/>
      <c r="CX9" s="221"/>
      <c r="CY9" s="221"/>
      <c r="CZ9" s="221"/>
      <c r="DA9" s="221"/>
      <c r="DB9" s="221"/>
      <c r="DC9" s="221"/>
      <c r="DD9" s="221"/>
      <c r="DE9" s="221"/>
      <c r="DF9" s="221"/>
      <c r="DG9" s="221"/>
      <c r="DH9" s="221"/>
      <c r="DI9" s="221"/>
      <c r="DJ9" s="221"/>
      <c r="DK9" s="175"/>
      <c r="DL9" s="175"/>
      <c r="DM9" s="175"/>
      <c r="DN9" s="175"/>
      <c r="DO9" s="175"/>
      <c r="DP9" s="175"/>
      <c r="DQ9" s="175"/>
      <c r="DR9" s="175"/>
      <c r="DS9" s="175"/>
      <c r="DT9" s="175"/>
      <c r="DU9" s="175"/>
      <c r="DV9" s="175"/>
      <c r="DW9" s="175"/>
      <c r="DX9" s="175"/>
      <c r="DY9" s="175"/>
      <c r="DZ9" s="175"/>
      <c r="EA9" s="175"/>
      <c r="EB9" s="175"/>
      <c r="EC9" s="175"/>
      <c r="ED9" s="175"/>
      <c r="EE9" s="175"/>
      <c r="EF9" s="175"/>
      <c r="EG9" s="175"/>
      <c r="EH9" s="175"/>
      <c r="EI9" s="175"/>
      <c r="EJ9" s="175"/>
      <c r="EK9" s="175"/>
      <c r="EL9" s="175"/>
      <c r="EM9" s="175"/>
      <c r="EN9" s="175"/>
      <c r="EO9" s="175"/>
      <c r="EP9" s="175"/>
      <c r="EQ9" s="175"/>
      <c r="ER9" s="175"/>
      <c r="ES9" s="175"/>
      <c r="ET9" s="175"/>
      <c r="EU9" s="175"/>
      <c r="EV9" s="175"/>
      <c r="EW9" s="175"/>
      <c r="EX9" s="175"/>
      <c r="EY9" s="175"/>
      <c r="EZ9" s="175"/>
      <c r="FA9" s="175"/>
      <c r="FB9" s="175"/>
      <c r="FC9" s="175"/>
      <c r="FD9" s="175"/>
      <c r="FE9" s="175"/>
      <c r="FF9" s="175"/>
      <c r="FG9" s="175"/>
      <c r="FH9" s="175"/>
      <c r="FI9" s="175"/>
      <c r="FJ9" s="175"/>
      <c r="FK9" s="175"/>
      <c r="FL9" s="175"/>
      <c r="FM9" s="175"/>
      <c r="FN9" s="175"/>
      <c r="FO9" s="175"/>
      <c r="FP9" s="175"/>
      <c r="FQ9" s="175"/>
      <c r="FR9" s="175"/>
      <c r="FS9" s="175"/>
      <c r="FT9" s="175"/>
      <c r="FU9" s="175"/>
      <c r="FV9" s="175"/>
      <c r="FW9" s="175"/>
      <c r="FX9" s="175"/>
      <c r="FY9" s="175"/>
      <c r="FZ9" s="175"/>
      <c r="GA9" s="175"/>
      <c r="GB9" s="175"/>
      <c r="GC9" s="175"/>
      <c r="GD9" s="175"/>
      <c r="GE9" s="175"/>
      <c r="GF9" s="175"/>
      <c r="GG9" s="175"/>
      <c r="GH9" s="175"/>
      <c r="GI9" s="175"/>
      <c r="GJ9" s="175"/>
      <c r="GK9" s="175"/>
      <c r="GL9" s="175"/>
      <c r="GM9" s="175"/>
      <c r="GN9" s="175"/>
      <c r="GO9" s="175"/>
      <c r="GP9" s="175"/>
      <c r="GQ9" s="175"/>
    </row>
    <row r="10" spans="1:199" hidden="1" outlineLevel="1">
      <c r="B10" s="182" t="s">
        <v>418</v>
      </c>
      <c r="C10" s="155"/>
      <c r="D10" s="165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7"/>
      <c r="BD10" s="177"/>
      <c r="BE10" s="177"/>
      <c r="BF10" s="177"/>
      <c r="BG10" s="177"/>
      <c r="BH10" s="177"/>
      <c r="BI10" s="177"/>
      <c r="BJ10" s="177"/>
      <c r="BK10" s="177"/>
      <c r="BL10" s="177"/>
      <c r="BM10" s="177"/>
      <c r="BN10" s="177"/>
      <c r="BO10" s="177"/>
      <c r="BP10" s="177"/>
      <c r="BQ10" s="177"/>
      <c r="BR10" s="177"/>
      <c r="BS10" s="177"/>
      <c r="BT10" s="177"/>
      <c r="BU10" s="177"/>
      <c r="BV10" s="177"/>
      <c r="BW10" s="177"/>
      <c r="BX10" s="177"/>
      <c r="BY10" s="177"/>
      <c r="BZ10" s="177"/>
      <c r="CA10" s="177"/>
      <c r="CB10" s="177"/>
      <c r="CC10" s="177"/>
      <c r="CD10" s="177"/>
      <c r="CE10" s="177"/>
      <c r="CF10" s="177"/>
      <c r="CG10" s="177"/>
      <c r="CH10" s="177"/>
      <c r="CI10" s="177"/>
      <c r="CJ10" s="177"/>
      <c r="CK10" s="177"/>
      <c r="CL10" s="177"/>
      <c r="CM10" s="177"/>
      <c r="CN10" s="177"/>
      <c r="CO10" s="177"/>
      <c r="CP10" s="177"/>
      <c r="CQ10" s="177"/>
      <c r="CR10" s="177"/>
      <c r="CS10" s="177"/>
      <c r="CT10" s="177"/>
      <c r="CU10" s="177"/>
      <c r="CV10" s="177"/>
      <c r="CW10" s="177"/>
      <c r="CX10" s="177"/>
      <c r="CY10" s="177"/>
      <c r="CZ10" s="177"/>
      <c r="DA10" s="177"/>
      <c r="DB10" s="177"/>
      <c r="DC10" s="177"/>
      <c r="DD10" s="177"/>
      <c r="DE10" s="177"/>
      <c r="DF10" s="177"/>
      <c r="DG10" s="177"/>
      <c r="DH10" s="177"/>
      <c r="DI10" s="177"/>
      <c r="DJ10" s="177"/>
      <c r="DK10" s="177"/>
      <c r="DL10" s="177"/>
      <c r="DM10" s="177"/>
      <c r="DN10" s="177"/>
      <c r="DO10" s="177"/>
      <c r="DP10" s="177"/>
      <c r="DQ10" s="177"/>
      <c r="DR10" s="177"/>
      <c r="DS10" s="177"/>
      <c r="DT10" s="177"/>
      <c r="DU10" s="177"/>
      <c r="DV10" s="177"/>
      <c r="DW10" s="177"/>
      <c r="DX10" s="177"/>
      <c r="DY10" s="177"/>
      <c r="DZ10" s="177"/>
      <c r="EA10" s="177"/>
      <c r="EB10" s="177"/>
      <c r="EC10" s="177"/>
      <c r="ED10" s="177"/>
      <c r="EE10" s="177"/>
      <c r="EF10" s="177"/>
      <c r="EG10" s="177"/>
      <c r="EH10" s="177"/>
      <c r="EI10" s="177"/>
      <c r="EJ10" s="177"/>
      <c r="EK10" s="177"/>
      <c r="EL10" s="177"/>
      <c r="EM10" s="177"/>
      <c r="EN10" s="177"/>
      <c r="EO10" s="177"/>
      <c r="EP10" s="177"/>
      <c r="EQ10" s="177"/>
      <c r="ER10" s="177"/>
      <c r="ES10" s="177"/>
      <c r="ET10" s="177"/>
      <c r="EU10" s="177"/>
      <c r="EV10" s="177"/>
      <c r="EW10" s="177"/>
      <c r="EX10" s="177"/>
      <c r="EY10" s="177"/>
      <c r="EZ10" s="177"/>
      <c r="FA10" s="177"/>
      <c r="FB10" s="177"/>
      <c r="FC10" s="177"/>
      <c r="FD10" s="177"/>
      <c r="FE10" s="177"/>
      <c r="FF10" s="177"/>
      <c r="FG10" s="177"/>
      <c r="FH10" s="177"/>
      <c r="FI10" s="177"/>
      <c r="FJ10" s="177"/>
      <c r="FK10" s="177"/>
      <c r="FL10" s="177"/>
      <c r="FM10" s="177"/>
      <c r="FN10" s="177"/>
      <c r="FO10" s="177"/>
      <c r="FP10" s="177"/>
      <c r="FQ10" s="177"/>
      <c r="FR10" s="177"/>
      <c r="FS10" s="177"/>
      <c r="FT10" s="177"/>
      <c r="FU10" s="177"/>
      <c r="FV10" s="177"/>
      <c r="FW10" s="177"/>
      <c r="FX10" s="177"/>
      <c r="FY10" s="177"/>
      <c r="FZ10" s="177"/>
      <c r="GA10" s="177"/>
      <c r="GB10" s="177"/>
      <c r="GC10" s="177"/>
      <c r="GD10" s="177"/>
      <c r="GE10" s="177"/>
      <c r="GF10" s="177"/>
      <c r="GG10" s="177"/>
      <c r="GH10" s="177"/>
      <c r="GI10" s="177"/>
      <c r="GJ10" s="177"/>
      <c r="GK10" s="177"/>
      <c r="GL10" s="177"/>
      <c r="GM10" s="177"/>
      <c r="GN10" s="177"/>
      <c r="GO10" s="177"/>
      <c r="GP10" s="177"/>
      <c r="GQ10" s="177"/>
    </row>
    <row r="11" spans="1:199" hidden="1" outlineLevel="1">
      <c r="B11" s="182" t="s">
        <v>389</v>
      </c>
      <c r="C11" s="155"/>
      <c r="D11" s="317"/>
      <c r="E11" s="317"/>
      <c r="F11" s="317"/>
      <c r="G11" s="317"/>
      <c r="H11" s="317"/>
      <c r="I11" s="317"/>
      <c r="J11" s="317"/>
      <c r="K11" s="317"/>
      <c r="L11" s="317"/>
      <c r="M11" s="317"/>
      <c r="N11" s="317"/>
      <c r="O11" s="317"/>
      <c r="P11" s="317"/>
      <c r="Q11" s="317"/>
      <c r="R11" s="317"/>
      <c r="S11" s="317"/>
      <c r="T11" s="317"/>
      <c r="U11" s="317"/>
      <c r="V11" s="317"/>
      <c r="W11" s="317"/>
      <c r="X11" s="317"/>
      <c r="Y11" s="317"/>
      <c r="Z11" s="317"/>
      <c r="AA11" s="317"/>
      <c r="AB11" s="317"/>
      <c r="AC11" s="317"/>
      <c r="AD11" s="317"/>
      <c r="AE11" s="317"/>
      <c r="AF11" s="317"/>
      <c r="AG11" s="317"/>
      <c r="AH11" s="317"/>
      <c r="AI11" s="317"/>
      <c r="AJ11" s="317"/>
      <c r="AK11" s="317"/>
      <c r="AL11" s="317"/>
      <c r="AM11" s="317"/>
      <c r="AN11" s="317"/>
      <c r="AO11" s="317"/>
      <c r="AP11" s="317"/>
      <c r="AQ11" s="317"/>
      <c r="AR11" s="317"/>
      <c r="AS11" s="317"/>
      <c r="AT11" s="317"/>
      <c r="AU11" s="317"/>
      <c r="AV11" s="317"/>
      <c r="AW11" s="317"/>
      <c r="AX11" s="317"/>
      <c r="AY11" s="317"/>
      <c r="AZ11" s="317"/>
      <c r="BA11" s="317"/>
      <c r="BB11" s="317"/>
      <c r="BC11" s="317"/>
      <c r="BD11" s="317"/>
      <c r="BE11" s="317"/>
      <c r="BF11" s="317"/>
      <c r="BG11" s="317"/>
      <c r="BH11" s="317"/>
      <c r="BI11" s="317"/>
      <c r="BJ11" s="317"/>
      <c r="BK11" s="317"/>
      <c r="BL11" s="317"/>
      <c r="BM11" s="317"/>
      <c r="BN11" s="317"/>
      <c r="BO11" s="317"/>
      <c r="BP11" s="317"/>
      <c r="BQ11" s="317"/>
      <c r="BR11" s="317"/>
      <c r="BS11" s="317"/>
      <c r="BT11" s="317"/>
      <c r="BU11" s="317"/>
      <c r="BV11" s="317"/>
      <c r="BW11" s="317"/>
      <c r="BX11" s="317"/>
      <c r="BY11" s="317"/>
      <c r="BZ11" s="317"/>
      <c r="CA11" s="317"/>
      <c r="CB11" s="317"/>
      <c r="CC11" s="317"/>
      <c r="CD11" s="317"/>
      <c r="CE11" s="317"/>
      <c r="CF11" s="317"/>
      <c r="CG11" s="317"/>
      <c r="CH11" s="317"/>
      <c r="CI11" s="317"/>
      <c r="CJ11" s="317"/>
      <c r="CK11" s="317"/>
      <c r="CL11" s="317"/>
      <c r="CM11" s="317"/>
      <c r="CN11" s="317"/>
      <c r="CO11" s="317"/>
      <c r="CP11" s="317"/>
      <c r="CQ11" s="317"/>
      <c r="CR11" s="317"/>
      <c r="CS11" s="317"/>
      <c r="CT11" s="317"/>
      <c r="CU11" s="317"/>
      <c r="CV11" s="317"/>
      <c r="CW11" s="317"/>
      <c r="CX11" s="317"/>
      <c r="CY11" s="317"/>
      <c r="CZ11" s="317"/>
      <c r="DA11" s="317"/>
      <c r="DB11" s="317"/>
      <c r="DC11" s="317"/>
      <c r="DD11" s="317"/>
      <c r="DE11" s="317"/>
      <c r="DF11" s="317"/>
      <c r="DG11" s="317"/>
      <c r="DH11" s="317"/>
      <c r="DI11" s="317"/>
      <c r="DJ11" s="317"/>
      <c r="DK11" s="317"/>
      <c r="DL11" s="317"/>
      <c r="DM11" s="317"/>
      <c r="DN11" s="317"/>
      <c r="DO11" s="317"/>
      <c r="DP11" s="317"/>
      <c r="DQ11" s="317"/>
      <c r="DR11" s="317"/>
      <c r="DS11" s="317"/>
      <c r="DT11" s="317"/>
      <c r="DU11" s="317"/>
      <c r="DV11" s="317"/>
      <c r="DW11" s="317"/>
      <c r="DX11" s="317"/>
      <c r="DY11" s="317"/>
      <c r="DZ11" s="317"/>
      <c r="EA11" s="317"/>
      <c r="EB11" s="317"/>
      <c r="EC11" s="317"/>
      <c r="ED11" s="317"/>
      <c r="EE11" s="317"/>
      <c r="EF11" s="317"/>
      <c r="EG11" s="317"/>
      <c r="EH11" s="317"/>
      <c r="EI11" s="317"/>
      <c r="EJ11" s="317"/>
      <c r="EK11" s="317"/>
      <c r="EL11" s="317"/>
      <c r="EM11" s="317"/>
      <c r="EN11" s="317"/>
      <c r="EO11" s="317"/>
      <c r="EP11" s="317"/>
      <c r="EQ11" s="317"/>
      <c r="ER11" s="317"/>
      <c r="ES11" s="317"/>
      <c r="ET11" s="317"/>
      <c r="EU11" s="317"/>
      <c r="EV11" s="317"/>
      <c r="EW11" s="317"/>
      <c r="EX11" s="317"/>
      <c r="EY11" s="317"/>
      <c r="EZ11" s="317"/>
      <c r="FA11" s="317"/>
      <c r="FB11" s="317"/>
      <c r="FC11" s="317"/>
      <c r="FD11" s="317"/>
      <c r="FE11" s="317"/>
      <c r="FF11" s="317"/>
      <c r="FG11" s="317"/>
      <c r="FH11" s="317"/>
      <c r="FI11" s="317"/>
      <c r="FJ11" s="317"/>
      <c r="FK11" s="317"/>
      <c r="FL11" s="317"/>
      <c r="FM11" s="317"/>
      <c r="FN11" s="317"/>
      <c r="FO11" s="317"/>
      <c r="FP11" s="317"/>
      <c r="FQ11" s="317"/>
      <c r="FR11" s="317"/>
      <c r="FS11" s="317"/>
      <c r="FT11" s="317"/>
      <c r="FU11" s="317"/>
      <c r="FV11" s="317"/>
      <c r="FW11" s="317"/>
      <c r="FX11" s="317"/>
      <c r="FY11" s="317"/>
      <c r="FZ11" s="317"/>
      <c r="GA11" s="317"/>
      <c r="GB11" s="317"/>
      <c r="GC11" s="317"/>
      <c r="GD11" s="317"/>
      <c r="GE11" s="317"/>
      <c r="GF11" s="317"/>
      <c r="GG11" s="317"/>
      <c r="GH11" s="317"/>
      <c r="GI11" s="317"/>
      <c r="GJ11" s="317"/>
      <c r="GK11" s="317"/>
      <c r="GL11" s="317"/>
      <c r="GM11" s="317"/>
      <c r="GN11" s="317"/>
      <c r="GO11" s="317"/>
      <c r="GP11" s="317"/>
      <c r="GQ11" s="317"/>
    </row>
    <row r="12" spans="1:199" hidden="1" outlineLevel="1">
      <c r="B12" s="182" t="s">
        <v>390</v>
      </c>
      <c r="C12" s="317"/>
      <c r="D12" s="162"/>
      <c r="E12" s="228"/>
      <c r="F12" s="317"/>
      <c r="G12" s="317"/>
      <c r="H12" s="317"/>
      <c r="I12" s="317"/>
      <c r="J12" s="317"/>
      <c r="K12" s="317"/>
      <c r="L12" s="317"/>
      <c r="M12" s="317"/>
      <c r="N12" s="317"/>
      <c r="O12" s="317"/>
      <c r="P12" s="317"/>
      <c r="Q12" s="317"/>
      <c r="R12" s="317"/>
      <c r="S12" s="317"/>
      <c r="T12" s="317"/>
      <c r="U12" s="317"/>
      <c r="V12" s="317"/>
      <c r="W12" s="317"/>
      <c r="X12" s="317"/>
      <c r="Y12" s="317"/>
      <c r="Z12" s="317"/>
      <c r="AA12" s="317"/>
      <c r="AB12" s="317"/>
      <c r="AC12" s="317"/>
      <c r="AD12" s="317"/>
      <c r="AE12" s="317"/>
      <c r="AF12" s="317"/>
      <c r="AG12" s="317"/>
      <c r="AH12" s="317"/>
      <c r="AI12" s="317"/>
      <c r="AJ12" s="317"/>
      <c r="AK12" s="317"/>
      <c r="AL12" s="317"/>
      <c r="AM12" s="317"/>
      <c r="AN12" s="317"/>
      <c r="AO12" s="317"/>
      <c r="AP12" s="317"/>
      <c r="AQ12" s="317"/>
      <c r="AR12" s="317"/>
      <c r="AS12" s="317"/>
      <c r="AT12" s="317"/>
      <c r="AU12" s="317"/>
      <c r="AV12" s="317"/>
      <c r="AW12" s="317"/>
      <c r="AX12" s="317"/>
      <c r="AY12" s="317"/>
      <c r="AZ12" s="317"/>
      <c r="BA12" s="317"/>
      <c r="BB12" s="317"/>
      <c r="BC12" s="317"/>
      <c r="BD12" s="317"/>
      <c r="BE12" s="317"/>
      <c r="BF12" s="317"/>
      <c r="BG12" s="317"/>
      <c r="BH12" s="317"/>
      <c r="BI12" s="317"/>
      <c r="BJ12" s="317"/>
      <c r="BK12" s="317"/>
      <c r="BL12" s="317"/>
      <c r="BM12" s="317"/>
      <c r="BN12" s="317"/>
      <c r="BO12" s="317"/>
      <c r="BP12" s="317"/>
      <c r="BQ12" s="317"/>
      <c r="BR12" s="317"/>
      <c r="BS12" s="317"/>
      <c r="BT12" s="317"/>
      <c r="BU12" s="317"/>
      <c r="BV12" s="317"/>
      <c r="BW12" s="317"/>
      <c r="BX12" s="317"/>
      <c r="BY12" s="317"/>
      <c r="BZ12" s="317"/>
      <c r="CA12" s="317"/>
      <c r="CB12" s="317"/>
      <c r="CC12" s="317"/>
      <c r="CD12" s="317"/>
      <c r="CE12" s="317"/>
      <c r="CF12" s="317"/>
      <c r="CG12" s="317"/>
      <c r="CH12" s="317"/>
      <c r="CI12" s="317"/>
      <c r="CJ12" s="317"/>
      <c r="CK12" s="317"/>
      <c r="CL12" s="317"/>
      <c r="CM12" s="317"/>
      <c r="CN12" s="317"/>
      <c r="CO12" s="317"/>
      <c r="CP12" s="317"/>
      <c r="CQ12" s="317"/>
      <c r="CR12" s="317"/>
      <c r="CS12" s="317"/>
      <c r="CT12" s="317"/>
      <c r="CU12" s="317"/>
      <c r="CV12" s="317"/>
      <c r="CW12" s="317"/>
      <c r="CX12" s="317"/>
      <c r="CY12" s="317"/>
      <c r="CZ12" s="317"/>
      <c r="DA12" s="317"/>
      <c r="DB12" s="317"/>
      <c r="DC12" s="317"/>
      <c r="DD12" s="317"/>
      <c r="DE12" s="317"/>
      <c r="DF12" s="317"/>
      <c r="DG12" s="317"/>
      <c r="DH12" s="317"/>
      <c r="DI12" s="317"/>
      <c r="DJ12" s="317"/>
      <c r="DK12" s="317"/>
      <c r="DL12" s="317"/>
      <c r="DM12" s="317"/>
      <c r="DN12" s="317"/>
      <c r="DO12" s="317"/>
      <c r="DP12" s="317"/>
      <c r="DQ12" s="317"/>
      <c r="DR12" s="317"/>
      <c r="DS12" s="317"/>
      <c r="DT12" s="317"/>
      <c r="DU12" s="317"/>
      <c r="DV12" s="317"/>
      <c r="DW12" s="317"/>
      <c r="DX12" s="317"/>
      <c r="DY12" s="317"/>
      <c r="DZ12" s="317"/>
      <c r="EA12" s="317"/>
      <c r="EB12" s="317"/>
      <c r="EC12" s="317"/>
      <c r="ED12" s="317"/>
      <c r="EE12" s="317"/>
      <c r="EF12" s="317"/>
      <c r="EG12" s="317"/>
      <c r="EH12" s="317"/>
      <c r="EI12" s="317"/>
      <c r="EJ12" s="317"/>
      <c r="EK12" s="317"/>
      <c r="EL12" s="317"/>
      <c r="EM12" s="317"/>
      <c r="EN12" s="317"/>
      <c r="EO12" s="317"/>
      <c r="EP12" s="317"/>
      <c r="EQ12" s="317"/>
      <c r="ER12" s="317"/>
      <c r="ES12" s="317"/>
      <c r="ET12" s="317"/>
      <c r="EU12" s="317"/>
      <c r="EV12" s="317"/>
      <c r="EW12" s="317"/>
      <c r="EX12" s="317"/>
      <c r="EY12" s="317"/>
      <c r="EZ12" s="317"/>
      <c r="FA12" s="317"/>
      <c r="FB12" s="317"/>
      <c r="FC12" s="317"/>
      <c r="FD12" s="317"/>
      <c r="FE12" s="317"/>
      <c r="FF12" s="317"/>
      <c r="FG12" s="317"/>
      <c r="FH12" s="317"/>
      <c r="FI12" s="317"/>
      <c r="FJ12" s="317"/>
      <c r="FK12" s="317"/>
      <c r="FL12" s="317"/>
      <c r="FM12" s="317"/>
      <c r="FN12" s="317"/>
      <c r="FO12" s="317"/>
      <c r="FP12" s="317"/>
      <c r="FQ12" s="317"/>
      <c r="FR12" s="317"/>
      <c r="FS12" s="317"/>
      <c r="FT12" s="317"/>
      <c r="FU12" s="317"/>
      <c r="FV12" s="317"/>
      <c r="FW12" s="317"/>
      <c r="FX12" s="317"/>
      <c r="FY12" s="317"/>
      <c r="FZ12" s="317"/>
      <c r="GA12" s="317"/>
      <c r="GB12" s="317"/>
      <c r="GC12" s="317"/>
      <c r="GD12" s="317"/>
      <c r="GE12" s="317"/>
      <c r="GF12" s="317"/>
      <c r="GG12" s="317"/>
      <c r="GH12" s="317"/>
      <c r="GI12" s="317"/>
      <c r="GJ12" s="317"/>
      <c r="GK12" s="317"/>
      <c r="GL12" s="317"/>
      <c r="GM12" s="317"/>
      <c r="GN12" s="317"/>
      <c r="GO12" s="317"/>
      <c r="GP12" s="317"/>
      <c r="GQ12" s="317"/>
    </row>
    <row r="13" spans="1:199" hidden="1" outlineLevel="1">
      <c r="B13" s="182" t="s">
        <v>391</v>
      </c>
      <c r="C13" s="317"/>
      <c r="D13" s="162"/>
      <c r="E13" s="228"/>
      <c r="F13" s="317"/>
      <c r="G13" s="317"/>
      <c r="H13" s="317"/>
      <c r="I13" s="317"/>
      <c r="J13" s="317"/>
      <c r="K13" s="317"/>
      <c r="L13" s="317"/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17"/>
      <c r="AE13" s="317"/>
      <c r="AF13" s="317"/>
      <c r="AG13" s="317"/>
      <c r="AH13" s="317"/>
      <c r="AI13" s="317"/>
      <c r="AJ13" s="317"/>
      <c r="AK13" s="317"/>
      <c r="AL13" s="317"/>
      <c r="AM13" s="317"/>
      <c r="AN13" s="317"/>
      <c r="AO13" s="317"/>
      <c r="AP13" s="317"/>
      <c r="AQ13" s="317"/>
      <c r="AR13" s="317"/>
      <c r="AS13" s="317"/>
      <c r="AT13" s="317"/>
      <c r="AU13" s="317"/>
      <c r="AV13" s="317"/>
      <c r="AW13" s="317"/>
      <c r="AX13" s="317"/>
      <c r="AY13" s="317"/>
      <c r="AZ13" s="317"/>
      <c r="BA13" s="317"/>
      <c r="BB13" s="317"/>
      <c r="BC13" s="317"/>
      <c r="BD13" s="317"/>
      <c r="BE13" s="317"/>
      <c r="BF13" s="317"/>
      <c r="BG13" s="317"/>
      <c r="BH13" s="317"/>
      <c r="BI13" s="317"/>
      <c r="BJ13" s="317"/>
      <c r="BK13" s="317"/>
      <c r="BL13" s="317"/>
      <c r="BM13" s="317"/>
      <c r="BN13" s="317"/>
      <c r="BO13" s="317"/>
      <c r="BP13" s="317"/>
      <c r="BQ13" s="317"/>
      <c r="BR13" s="317"/>
      <c r="BS13" s="317"/>
      <c r="BT13" s="317"/>
      <c r="BU13" s="317"/>
      <c r="BV13" s="317"/>
      <c r="BW13" s="317"/>
      <c r="BX13" s="317"/>
      <c r="BY13" s="317"/>
      <c r="BZ13" s="317"/>
      <c r="CA13" s="317"/>
      <c r="CB13" s="317"/>
      <c r="CC13" s="317"/>
      <c r="CD13" s="317"/>
      <c r="CE13" s="317"/>
      <c r="CF13" s="317"/>
      <c r="CG13" s="317"/>
      <c r="CH13" s="317"/>
      <c r="CI13" s="317"/>
      <c r="CJ13" s="317"/>
      <c r="CK13" s="317"/>
      <c r="CL13" s="317"/>
      <c r="CM13" s="317"/>
      <c r="CN13" s="317"/>
      <c r="CO13" s="317"/>
      <c r="CP13" s="317"/>
      <c r="CQ13" s="317"/>
      <c r="CR13" s="317"/>
      <c r="CS13" s="317"/>
      <c r="CT13" s="317"/>
      <c r="CU13" s="317"/>
      <c r="CV13" s="317"/>
      <c r="CW13" s="317"/>
      <c r="CX13" s="317"/>
      <c r="CY13" s="317"/>
      <c r="CZ13" s="317"/>
      <c r="DA13" s="317"/>
      <c r="DB13" s="317"/>
      <c r="DC13" s="317"/>
      <c r="DD13" s="317"/>
      <c r="DE13" s="317"/>
      <c r="DF13" s="317"/>
      <c r="DG13" s="317"/>
      <c r="DH13" s="317"/>
      <c r="DI13" s="317"/>
      <c r="DJ13" s="317"/>
      <c r="DK13" s="317"/>
      <c r="DL13" s="317"/>
      <c r="DM13" s="317"/>
      <c r="DN13" s="317"/>
      <c r="DO13" s="317"/>
      <c r="DP13" s="317"/>
      <c r="DQ13" s="317"/>
      <c r="DR13" s="317"/>
      <c r="DS13" s="317"/>
      <c r="DT13" s="317"/>
      <c r="DU13" s="317"/>
      <c r="DV13" s="317"/>
      <c r="DW13" s="317"/>
      <c r="DX13" s="317"/>
      <c r="DY13" s="317"/>
      <c r="DZ13" s="317"/>
      <c r="EA13" s="317"/>
      <c r="EB13" s="317"/>
      <c r="EC13" s="317"/>
      <c r="ED13" s="317"/>
      <c r="EE13" s="317"/>
      <c r="EF13" s="317"/>
      <c r="EG13" s="317"/>
      <c r="EH13" s="317"/>
      <c r="EI13" s="317"/>
      <c r="EJ13" s="317"/>
      <c r="EK13" s="317"/>
      <c r="EL13" s="317"/>
      <c r="EM13" s="317"/>
      <c r="EN13" s="317"/>
      <c r="EO13" s="317"/>
      <c r="EP13" s="317"/>
      <c r="EQ13" s="317"/>
      <c r="ER13" s="317"/>
      <c r="ES13" s="317"/>
      <c r="ET13" s="317"/>
      <c r="EU13" s="317"/>
      <c r="EV13" s="317"/>
      <c r="EW13" s="317"/>
      <c r="EX13" s="317"/>
      <c r="EY13" s="317"/>
      <c r="EZ13" s="317"/>
      <c r="FA13" s="317"/>
      <c r="FB13" s="317"/>
      <c r="FC13" s="317"/>
      <c r="FD13" s="317"/>
      <c r="FE13" s="317"/>
      <c r="FF13" s="317"/>
      <c r="FG13" s="317"/>
      <c r="FH13" s="317"/>
      <c r="FI13" s="317"/>
      <c r="FJ13" s="317"/>
      <c r="FK13" s="317"/>
      <c r="FL13" s="317"/>
      <c r="FM13" s="317"/>
      <c r="FN13" s="317"/>
      <c r="FO13" s="317"/>
      <c r="FP13" s="317"/>
      <c r="FQ13" s="317"/>
      <c r="FR13" s="317"/>
      <c r="FS13" s="317"/>
      <c r="FT13" s="317"/>
      <c r="FU13" s="317"/>
      <c r="FV13" s="317"/>
      <c r="FW13" s="317"/>
      <c r="FX13" s="317"/>
      <c r="FY13" s="317"/>
      <c r="FZ13" s="317"/>
      <c r="GA13" s="317"/>
      <c r="GB13" s="317"/>
      <c r="GC13" s="317"/>
      <c r="GD13" s="317"/>
      <c r="GE13" s="317"/>
      <c r="GF13" s="317"/>
      <c r="GG13" s="317"/>
      <c r="GH13" s="317"/>
      <c r="GI13" s="317"/>
      <c r="GJ13" s="317"/>
      <c r="GK13" s="317"/>
      <c r="GL13" s="317"/>
      <c r="GM13" s="317"/>
      <c r="GN13" s="317"/>
      <c r="GO13" s="317"/>
      <c r="GP13" s="317"/>
      <c r="GQ13" s="317"/>
    </row>
    <row r="14" spans="1:199" hidden="1" outlineLevel="1">
      <c r="B14" s="182" t="s">
        <v>392</v>
      </c>
      <c r="C14" s="155"/>
      <c r="D14" s="317"/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7"/>
      <c r="AS14" s="317"/>
      <c r="AT14" s="317"/>
      <c r="AU14" s="317"/>
      <c r="AV14" s="317"/>
      <c r="AW14" s="317"/>
      <c r="AX14" s="317"/>
      <c r="AY14" s="317"/>
      <c r="AZ14" s="317"/>
      <c r="BA14" s="317"/>
      <c r="BB14" s="317"/>
      <c r="BC14" s="317"/>
      <c r="BD14" s="317"/>
      <c r="BE14" s="317"/>
      <c r="BF14" s="317"/>
      <c r="BG14" s="317"/>
      <c r="BH14" s="317"/>
      <c r="BI14" s="317"/>
      <c r="BJ14" s="317"/>
      <c r="BK14" s="317"/>
      <c r="BL14" s="317"/>
      <c r="BM14" s="317"/>
      <c r="BN14" s="317"/>
      <c r="BO14" s="317"/>
      <c r="BP14" s="317"/>
      <c r="BQ14" s="317"/>
      <c r="BR14" s="317"/>
      <c r="BS14" s="317"/>
      <c r="BT14" s="317"/>
      <c r="BU14" s="317"/>
      <c r="BV14" s="317"/>
      <c r="BW14" s="317"/>
      <c r="BX14" s="317"/>
      <c r="BY14" s="317"/>
      <c r="BZ14" s="317"/>
      <c r="CA14" s="317"/>
      <c r="CB14" s="317"/>
      <c r="CC14" s="317"/>
      <c r="CD14" s="317"/>
      <c r="CE14" s="317"/>
      <c r="CF14" s="317"/>
      <c r="CG14" s="317"/>
      <c r="CH14" s="317"/>
      <c r="CI14" s="317"/>
      <c r="CJ14" s="317"/>
      <c r="CK14" s="317"/>
      <c r="CL14" s="317"/>
      <c r="CM14" s="317"/>
      <c r="CN14" s="317"/>
      <c r="CO14" s="317"/>
      <c r="CP14" s="317"/>
      <c r="CQ14" s="317"/>
      <c r="CR14" s="317"/>
      <c r="CS14" s="317"/>
      <c r="CT14" s="317"/>
      <c r="CU14" s="317"/>
      <c r="CV14" s="317"/>
      <c r="CW14" s="317"/>
      <c r="CX14" s="317"/>
      <c r="CY14" s="317"/>
      <c r="CZ14" s="317"/>
      <c r="DA14" s="317"/>
      <c r="DB14" s="317"/>
      <c r="DC14" s="317"/>
      <c r="DD14" s="317"/>
      <c r="DE14" s="317"/>
      <c r="DF14" s="317"/>
      <c r="DG14" s="317"/>
      <c r="DH14" s="317"/>
      <c r="DI14" s="317"/>
      <c r="DJ14" s="317"/>
      <c r="DK14" s="317"/>
      <c r="DL14" s="317"/>
      <c r="DM14" s="317"/>
      <c r="DN14" s="317"/>
      <c r="DO14" s="317"/>
      <c r="DP14" s="317"/>
      <c r="DQ14" s="317"/>
      <c r="DR14" s="317"/>
      <c r="DS14" s="317"/>
      <c r="DT14" s="317"/>
      <c r="DU14" s="317"/>
      <c r="DV14" s="317"/>
      <c r="DW14" s="317"/>
      <c r="DX14" s="317"/>
      <c r="DY14" s="317"/>
      <c r="DZ14" s="317"/>
      <c r="EA14" s="317"/>
      <c r="EB14" s="317"/>
      <c r="EC14" s="317"/>
      <c r="ED14" s="317"/>
      <c r="EE14" s="317"/>
      <c r="EF14" s="317"/>
      <c r="EG14" s="317"/>
      <c r="EH14" s="317"/>
      <c r="EI14" s="317"/>
      <c r="EJ14" s="317"/>
      <c r="EK14" s="317"/>
      <c r="EL14" s="317"/>
      <c r="EM14" s="317"/>
      <c r="EN14" s="317"/>
      <c r="EO14" s="317"/>
      <c r="EP14" s="317"/>
      <c r="EQ14" s="317"/>
      <c r="ER14" s="317"/>
      <c r="ES14" s="317"/>
      <c r="ET14" s="317"/>
      <c r="EU14" s="317"/>
      <c r="EV14" s="317"/>
      <c r="EW14" s="317"/>
      <c r="EX14" s="317"/>
      <c r="EY14" s="317"/>
      <c r="EZ14" s="317"/>
      <c r="FA14" s="317"/>
      <c r="FB14" s="317"/>
      <c r="FC14" s="317"/>
      <c r="FD14" s="317"/>
      <c r="FE14" s="317"/>
      <c r="FF14" s="317"/>
      <c r="FG14" s="317"/>
      <c r="FH14" s="317"/>
      <c r="FI14" s="317"/>
      <c r="FJ14" s="317"/>
      <c r="FK14" s="317"/>
      <c r="FL14" s="317"/>
      <c r="FM14" s="317"/>
      <c r="FN14" s="317"/>
      <c r="FO14" s="317"/>
      <c r="FP14" s="317"/>
      <c r="FQ14" s="317"/>
      <c r="FR14" s="317"/>
      <c r="FS14" s="317"/>
      <c r="FT14" s="317"/>
      <c r="FU14" s="317"/>
      <c r="FV14" s="317"/>
      <c r="FW14" s="317"/>
      <c r="FX14" s="317"/>
      <c r="FY14" s="317"/>
      <c r="FZ14" s="317"/>
      <c r="GA14" s="317"/>
      <c r="GB14" s="317"/>
      <c r="GC14" s="317"/>
      <c r="GD14" s="317"/>
      <c r="GE14" s="317"/>
      <c r="GF14" s="317"/>
      <c r="GG14" s="317"/>
      <c r="GH14" s="317"/>
      <c r="GI14" s="317"/>
      <c r="GJ14" s="317"/>
      <c r="GK14" s="317"/>
      <c r="GL14" s="317"/>
      <c r="GM14" s="317"/>
      <c r="GN14" s="317"/>
      <c r="GO14" s="317"/>
      <c r="GP14" s="317"/>
      <c r="GQ14" s="317"/>
    </row>
    <row r="15" spans="1:199" hidden="1" outlineLevel="1">
      <c r="B15" s="182" t="s">
        <v>393</v>
      </c>
      <c r="C15" s="155"/>
      <c r="D15" s="317"/>
      <c r="E15" s="31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7"/>
      <c r="BK15" s="177"/>
      <c r="BL15" s="177"/>
      <c r="BM15" s="177"/>
      <c r="BN15" s="177"/>
      <c r="BO15" s="177"/>
      <c r="BP15" s="177"/>
      <c r="BQ15" s="177"/>
      <c r="BR15" s="177"/>
      <c r="BS15" s="177"/>
      <c r="BT15" s="177"/>
      <c r="BU15" s="177"/>
      <c r="BV15" s="177"/>
      <c r="BW15" s="177"/>
      <c r="BX15" s="177"/>
      <c r="BY15" s="177"/>
      <c r="BZ15" s="177"/>
      <c r="CA15" s="177"/>
      <c r="CB15" s="177"/>
      <c r="CC15" s="177"/>
      <c r="CD15" s="177"/>
      <c r="CE15" s="177"/>
      <c r="CF15" s="177"/>
      <c r="CG15" s="177"/>
      <c r="CH15" s="177"/>
      <c r="CI15" s="177"/>
      <c r="CJ15" s="177"/>
      <c r="CK15" s="177"/>
      <c r="CL15" s="177"/>
      <c r="CM15" s="177"/>
      <c r="CN15" s="177"/>
      <c r="CO15" s="177"/>
      <c r="CP15" s="177"/>
      <c r="CQ15" s="177"/>
      <c r="CR15" s="177"/>
      <c r="CS15" s="177"/>
      <c r="CT15" s="177"/>
      <c r="CU15" s="177"/>
      <c r="CV15" s="177"/>
      <c r="CW15" s="177"/>
      <c r="CX15" s="177"/>
      <c r="CY15" s="177"/>
      <c r="CZ15" s="177"/>
      <c r="DA15" s="177"/>
      <c r="DB15" s="177"/>
      <c r="DC15" s="177"/>
      <c r="DD15" s="177"/>
      <c r="DE15" s="177"/>
      <c r="DF15" s="177"/>
      <c r="DG15" s="177"/>
      <c r="DH15" s="177"/>
      <c r="DI15" s="177"/>
      <c r="DJ15" s="177"/>
      <c r="DK15" s="317"/>
      <c r="DL15" s="317"/>
      <c r="DM15" s="317"/>
      <c r="DN15" s="317"/>
      <c r="DO15" s="317"/>
      <c r="DP15" s="317"/>
      <c r="DQ15" s="317"/>
      <c r="DR15" s="317"/>
      <c r="DS15" s="317"/>
      <c r="DT15" s="317"/>
      <c r="DU15" s="317"/>
      <c r="DV15" s="317"/>
      <c r="DW15" s="317"/>
      <c r="DX15" s="317"/>
      <c r="DY15" s="317"/>
      <c r="DZ15" s="317"/>
      <c r="EA15" s="317"/>
      <c r="EB15" s="317"/>
      <c r="EC15" s="317"/>
      <c r="ED15" s="317"/>
      <c r="EE15" s="317"/>
      <c r="EF15" s="317"/>
      <c r="EG15" s="317"/>
      <c r="EH15" s="317"/>
      <c r="EI15" s="317"/>
      <c r="EJ15" s="317"/>
      <c r="EK15" s="317"/>
      <c r="EL15" s="317"/>
      <c r="EM15" s="317"/>
      <c r="EN15" s="317"/>
      <c r="EO15" s="317"/>
      <c r="EP15" s="317"/>
      <c r="EQ15" s="317"/>
      <c r="ER15" s="317"/>
      <c r="ES15" s="317"/>
      <c r="ET15" s="317"/>
      <c r="EU15" s="317"/>
      <c r="EV15" s="317"/>
      <c r="EW15" s="317"/>
      <c r="EX15" s="317"/>
      <c r="EY15" s="317"/>
      <c r="EZ15" s="317"/>
      <c r="FA15" s="317"/>
      <c r="FB15" s="317"/>
      <c r="FC15" s="317"/>
      <c r="FD15" s="317"/>
      <c r="FE15" s="317"/>
      <c r="FF15" s="317"/>
      <c r="FG15" s="317"/>
      <c r="FH15" s="317"/>
      <c r="FI15" s="317"/>
      <c r="FJ15" s="317"/>
      <c r="FK15" s="317"/>
      <c r="FL15" s="317"/>
      <c r="FM15" s="317"/>
      <c r="FN15" s="317"/>
      <c r="FO15" s="317"/>
      <c r="FP15" s="317"/>
      <c r="FQ15" s="317"/>
      <c r="FR15" s="317"/>
      <c r="FS15" s="317"/>
      <c r="FT15" s="317"/>
      <c r="FU15" s="317"/>
      <c r="FV15" s="317"/>
      <c r="FW15" s="317"/>
      <c r="FX15" s="317"/>
      <c r="FY15" s="317"/>
      <c r="FZ15" s="317"/>
      <c r="GA15" s="317"/>
      <c r="GB15" s="317"/>
      <c r="GC15" s="317"/>
      <c r="GD15" s="317"/>
      <c r="GE15" s="317"/>
      <c r="GF15" s="317"/>
      <c r="GG15" s="317"/>
      <c r="GH15" s="317"/>
      <c r="GI15" s="317"/>
      <c r="GJ15" s="317"/>
      <c r="GK15" s="317"/>
      <c r="GL15" s="317"/>
      <c r="GM15" s="317"/>
      <c r="GN15" s="317"/>
      <c r="GO15" s="317"/>
      <c r="GP15" s="317"/>
      <c r="GQ15" s="317"/>
    </row>
    <row r="16" spans="1:199" hidden="1" outlineLevel="1">
      <c r="B16" s="182" t="s">
        <v>407</v>
      </c>
      <c r="C16" s="155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178"/>
      <c r="BT16" s="178"/>
      <c r="BU16" s="178"/>
      <c r="BV16" s="178"/>
      <c r="BW16" s="178"/>
      <c r="BX16" s="178"/>
      <c r="BY16" s="178"/>
      <c r="BZ16" s="178"/>
      <c r="CA16" s="178"/>
      <c r="CB16" s="178"/>
      <c r="CC16" s="178"/>
      <c r="CD16" s="178"/>
      <c r="CE16" s="178"/>
      <c r="CF16" s="178"/>
      <c r="CG16" s="178"/>
      <c r="CH16" s="178"/>
      <c r="CI16" s="178"/>
      <c r="CJ16" s="178"/>
      <c r="CK16" s="178"/>
      <c r="CL16" s="178"/>
      <c r="CM16" s="178"/>
      <c r="CN16" s="178"/>
      <c r="CO16" s="178"/>
      <c r="CP16" s="178"/>
      <c r="CQ16" s="178"/>
      <c r="CR16" s="178"/>
      <c r="CS16" s="178"/>
      <c r="CT16" s="178"/>
      <c r="CU16" s="178"/>
      <c r="CV16" s="178"/>
      <c r="CW16" s="178"/>
      <c r="CX16" s="178"/>
      <c r="CY16" s="178"/>
      <c r="CZ16" s="178"/>
      <c r="DA16" s="178"/>
      <c r="DB16" s="178"/>
      <c r="DC16" s="178"/>
      <c r="DD16" s="178"/>
      <c r="DE16" s="178"/>
      <c r="DF16" s="178"/>
      <c r="DG16" s="178"/>
      <c r="DH16" s="178"/>
      <c r="DI16" s="178"/>
      <c r="DJ16" s="178"/>
      <c r="DK16" s="178"/>
      <c r="DL16" s="178"/>
      <c r="DM16" s="178"/>
      <c r="DN16" s="178"/>
      <c r="DO16" s="178"/>
      <c r="DP16" s="178"/>
      <c r="DQ16" s="178"/>
      <c r="DR16" s="178"/>
      <c r="DS16" s="178"/>
      <c r="DT16" s="178"/>
      <c r="DU16" s="178"/>
      <c r="DV16" s="178"/>
      <c r="DW16" s="178"/>
      <c r="DX16" s="178"/>
      <c r="DY16" s="178"/>
      <c r="DZ16" s="178"/>
      <c r="EA16" s="178"/>
      <c r="EB16" s="178"/>
      <c r="EC16" s="178"/>
      <c r="ED16" s="178"/>
      <c r="EE16" s="178"/>
      <c r="EF16" s="178"/>
      <c r="EG16" s="178"/>
      <c r="EH16" s="178"/>
      <c r="EI16" s="178"/>
      <c r="EJ16" s="178"/>
      <c r="EK16" s="178"/>
      <c r="EL16" s="178"/>
      <c r="EM16" s="178"/>
      <c r="EN16" s="178"/>
      <c r="EO16" s="178"/>
      <c r="EP16" s="178"/>
      <c r="EQ16" s="178"/>
      <c r="ER16" s="178"/>
      <c r="ES16" s="178"/>
      <c r="ET16" s="178"/>
      <c r="EU16" s="178"/>
      <c r="EV16" s="178"/>
      <c r="EW16" s="178"/>
      <c r="EX16" s="178"/>
      <c r="EY16" s="178"/>
      <c r="EZ16" s="178"/>
      <c r="FA16" s="178"/>
      <c r="FB16" s="178"/>
      <c r="FC16" s="178"/>
      <c r="FD16" s="178"/>
      <c r="FE16" s="178"/>
      <c r="FF16" s="178"/>
      <c r="FG16" s="178"/>
      <c r="FH16" s="178"/>
      <c r="FI16" s="178"/>
      <c r="FJ16" s="178"/>
      <c r="FK16" s="178"/>
      <c r="FL16" s="178"/>
      <c r="FM16" s="178"/>
      <c r="FN16" s="178"/>
      <c r="FO16" s="178"/>
      <c r="FP16" s="178"/>
      <c r="FQ16" s="178"/>
      <c r="FR16" s="178"/>
      <c r="FS16" s="178"/>
      <c r="FT16" s="178"/>
      <c r="FU16" s="178"/>
      <c r="FV16" s="178"/>
      <c r="FW16" s="178"/>
      <c r="FX16" s="178"/>
      <c r="FY16" s="178"/>
      <c r="FZ16" s="178"/>
      <c r="GA16" s="178"/>
      <c r="GB16" s="178"/>
      <c r="GC16" s="178"/>
      <c r="GD16" s="178"/>
      <c r="GE16" s="178"/>
      <c r="GF16" s="178"/>
      <c r="GG16" s="178"/>
      <c r="GH16" s="178"/>
      <c r="GI16" s="178"/>
      <c r="GJ16" s="178"/>
      <c r="GK16" s="178"/>
      <c r="GL16" s="178"/>
      <c r="GM16" s="178"/>
      <c r="GN16" s="178"/>
      <c r="GO16" s="178"/>
      <c r="GP16" s="178"/>
      <c r="GQ16" s="178"/>
    </row>
    <row r="17" spans="1:199" hidden="1" outlineLevel="1">
      <c r="B17" s="182" t="s">
        <v>408</v>
      </c>
      <c r="C17" s="155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79"/>
      <c r="AX17" s="179"/>
      <c r="AY17" s="179"/>
      <c r="AZ17" s="179"/>
      <c r="BA17" s="179"/>
      <c r="BB17" s="179"/>
      <c r="BC17" s="179"/>
      <c r="BD17" s="179"/>
      <c r="BE17" s="179"/>
      <c r="BF17" s="179"/>
      <c r="BG17" s="179"/>
      <c r="BH17" s="179"/>
      <c r="BI17" s="179"/>
      <c r="BJ17" s="179"/>
      <c r="BK17" s="179"/>
      <c r="BL17" s="179"/>
      <c r="BM17" s="179"/>
      <c r="BN17" s="179"/>
      <c r="BO17" s="179"/>
      <c r="BP17" s="179"/>
      <c r="BQ17" s="179"/>
      <c r="BR17" s="179"/>
      <c r="BS17" s="179"/>
      <c r="BT17" s="179"/>
      <c r="BU17" s="179"/>
      <c r="BV17" s="179"/>
      <c r="BW17" s="179"/>
      <c r="BX17" s="179"/>
      <c r="BY17" s="179"/>
      <c r="BZ17" s="179"/>
      <c r="CA17" s="179"/>
      <c r="CB17" s="179"/>
      <c r="CC17" s="179"/>
      <c r="CD17" s="179"/>
      <c r="CE17" s="179"/>
      <c r="CF17" s="179"/>
      <c r="CG17" s="179"/>
      <c r="CH17" s="179"/>
      <c r="CI17" s="179"/>
      <c r="CJ17" s="179"/>
      <c r="CK17" s="179"/>
      <c r="CL17" s="179"/>
      <c r="CM17" s="179"/>
      <c r="CN17" s="179"/>
      <c r="CO17" s="179"/>
      <c r="CP17" s="179"/>
      <c r="CQ17" s="179"/>
      <c r="CR17" s="179"/>
      <c r="CS17" s="179"/>
      <c r="CT17" s="179"/>
      <c r="CU17" s="179"/>
      <c r="CV17" s="179"/>
      <c r="CW17" s="179"/>
      <c r="CX17" s="179"/>
      <c r="CY17" s="179"/>
      <c r="CZ17" s="179"/>
      <c r="DA17" s="179"/>
      <c r="DB17" s="179"/>
      <c r="DC17" s="179"/>
      <c r="DD17" s="179"/>
      <c r="DE17" s="179"/>
      <c r="DF17" s="179"/>
      <c r="DG17" s="179"/>
      <c r="DH17" s="179"/>
      <c r="DI17" s="179"/>
      <c r="DJ17" s="179"/>
      <c r="DK17" s="179"/>
      <c r="DL17" s="179"/>
      <c r="DM17" s="179"/>
      <c r="DN17" s="179"/>
      <c r="DO17" s="179"/>
      <c r="DP17" s="179"/>
      <c r="DQ17" s="179"/>
      <c r="DR17" s="179"/>
      <c r="DS17" s="179"/>
      <c r="DT17" s="179"/>
      <c r="DU17" s="179"/>
      <c r="DV17" s="179"/>
      <c r="DW17" s="179"/>
      <c r="DX17" s="179"/>
      <c r="DY17" s="179"/>
      <c r="DZ17" s="179"/>
      <c r="EA17" s="179"/>
      <c r="EB17" s="179"/>
      <c r="EC17" s="179"/>
      <c r="ED17" s="179"/>
      <c r="EE17" s="179"/>
      <c r="EF17" s="179"/>
      <c r="EG17" s="179"/>
      <c r="EH17" s="179"/>
      <c r="EI17" s="179"/>
      <c r="EJ17" s="179"/>
      <c r="EK17" s="179"/>
      <c r="EL17" s="179"/>
      <c r="EM17" s="179"/>
      <c r="EN17" s="179"/>
      <c r="EO17" s="179"/>
      <c r="EP17" s="179"/>
      <c r="EQ17" s="179"/>
      <c r="ER17" s="179"/>
      <c r="ES17" s="179"/>
      <c r="ET17" s="179"/>
      <c r="EU17" s="179"/>
      <c r="EV17" s="179"/>
      <c r="EW17" s="179"/>
      <c r="EX17" s="179"/>
      <c r="EY17" s="179"/>
      <c r="EZ17" s="179"/>
      <c r="FA17" s="179"/>
      <c r="FB17" s="179"/>
      <c r="FC17" s="179"/>
      <c r="FD17" s="179"/>
      <c r="FE17" s="179"/>
      <c r="FF17" s="179"/>
      <c r="FG17" s="179"/>
      <c r="FH17" s="179"/>
      <c r="FI17" s="179"/>
      <c r="FJ17" s="179"/>
      <c r="FK17" s="179"/>
      <c r="FL17" s="179"/>
      <c r="FM17" s="179"/>
      <c r="FN17" s="179"/>
      <c r="FO17" s="179"/>
      <c r="FP17" s="179"/>
      <c r="FQ17" s="179"/>
      <c r="FR17" s="179"/>
      <c r="FS17" s="179"/>
      <c r="FT17" s="179"/>
      <c r="FU17" s="179"/>
      <c r="FV17" s="179"/>
      <c r="FW17" s="179"/>
      <c r="FX17" s="179"/>
      <c r="FY17" s="179"/>
      <c r="FZ17" s="179"/>
      <c r="GA17" s="179"/>
      <c r="GB17" s="179"/>
      <c r="GC17" s="179"/>
      <c r="GD17" s="179"/>
      <c r="GE17" s="179"/>
      <c r="GF17" s="179"/>
      <c r="GG17" s="179"/>
      <c r="GH17" s="179"/>
      <c r="GI17" s="179"/>
      <c r="GJ17" s="179"/>
      <c r="GK17" s="179"/>
      <c r="GL17" s="179"/>
      <c r="GM17" s="179"/>
      <c r="GN17" s="179"/>
      <c r="GO17" s="179"/>
      <c r="GP17" s="179"/>
      <c r="GQ17" s="179"/>
    </row>
    <row r="18" spans="1:199" collapsed="1"/>
    <row r="19" spans="1:199">
      <c r="B19" s="219" t="s">
        <v>419</v>
      </c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0"/>
      <c r="BJ19" s="220"/>
      <c r="BK19" s="220"/>
      <c r="BL19" s="220"/>
      <c r="BM19" s="220"/>
      <c r="BN19" s="220"/>
      <c r="BO19" s="220"/>
      <c r="BP19" s="220"/>
      <c r="BQ19" s="220"/>
      <c r="BR19" s="220"/>
      <c r="BS19" s="220"/>
      <c r="BT19" s="220"/>
      <c r="BU19" s="220"/>
      <c r="BV19" s="220"/>
      <c r="BW19" s="220"/>
      <c r="BX19" s="220"/>
      <c r="BY19" s="220"/>
      <c r="BZ19" s="220"/>
      <c r="CA19" s="220"/>
      <c r="CB19" s="220"/>
      <c r="CC19" s="220"/>
      <c r="CD19" s="220"/>
      <c r="CE19" s="220"/>
      <c r="CF19" s="220"/>
      <c r="CG19" s="220"/>
      <c r="CH19" s="220"/>
      <c r="CI19" s="220"/>
      <c r="CJ19" s="220"/>
      <c r="CK19" s="220"/>
      <c r="CL19" s="220"/>
      <c r="CM19" s="220"/>
      <c r="CN19" s="220"/>
      <c r="CO19" s="220"/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0"/>
      <c r="DA19" s="220"/>
      <c r="DB19" s="220"/>
      <c r="DC19" s="220"/>
      <c r="DD19" s="220"/>
      <c r="DE19" s="220"/>
      <c r="DF19" s="220"/>
      <c r="DG19" s="220"/>
      <c r="DH19" s="220"/>
      <c r="DI19" s="220"/>
      <c r="DJ19" s="220"/>
    </row>
    <row r="20" spans="1:199">
      <c r="A20" s="315">
        <v>15</v>
      </c>
      <c r="B20" s="182" t="s">
        <v>418</v>
      </c>
      <c r="F20" s="177">
        <v>0</v>
      </c>
      <c r="G20" s="177">
        <f>F26</f>
        <v>335.214</v>
      </c>
      <c r="H20" s="177">
        <f t="shared" ref="H20:O20" si="1">G26</f>
        <v>292764.24177896208</v>
      </c>
      <c r="I20" s="177">
        <f t="shared" si="1"/>
        <v>101010.09212418718</v>
      </c>
      <c r="J20" s="177">
        <f t="shared" si="1"/>
        <v>47500.000000000044</v>
      </c>
      <c r="K20" s="177">
        <f t="shared" si="1"/>
        <v>0</v>
      </c>
      <c r="L20" s="177">
        <f t="shared" si="1"/>
        <v>0</v>
      </c>
      <c r="M20" s="177">
        <f t="shared" si="1"/>
        <v>0</v>
      </c>
      <c r="N20" s="177">
        <f t="shared" si="1"/>
        <v>0</v>
      </c>
      <c r="O20" s="177">
        <f t="shared" si="1"/>
        <v>0</v>
      </c>
      <c r="P20" s="177">
        <f t="shared" ref="P20:Y20" si="2">O26</f>
        <v>0</v>
      </c>
      <c r="Q20" s="177">
        <f t="shared" si="2"/>
        <v>0</v>
      </c>
      <c r="R20" s="177">
        <f t="shared" si="2"/>
        <v>0</v>
      </c>
      <c r="S20" s="177">
        <f t="shared" si="2"/>
        <v>0</v>
      </c>
      <c r="T20" s="177">
        <f t="shared" si="2"/>
        <v>0</v>
      </c>
      <c r="U20" s="177">
        <f t="shared" si="2"/>
        <v>0</v>
      </c>
      <c r="V20" s="177">
        <f t="shared" si="2"/>
        <v>0</v>
      </c>
      <c r="W20" s="177">
        <f t="shared" si="2"/>
        <v>0</v>
      </c>
      <c r="X20" s="177">
        <f t="shared" si="2"/>
        <v>0</v>
      </c>
      <c r="Y20" s="177">
        <f t="shared" si="2"/>
        <v>0</v>
      </c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7"/>
      <c r="BA20" s="177"/>
      <c r="BB20" s="177"/>
      <c r="BC20" s="177"/>
      <c r="BD20" s="177"/>
      <c r="BE20" s="177"/>
      <c r="BF20" s="177"/>
      <c r="BG20" s="177"/>
      <c r="BH20" s="177"/>
      <c r="BI20" s="177"/>
      <c r="BJ20" s="177"/>
      <c r="BK20" s="177"/>
      <c r="BL20" s="177"/>
      <c r="BM20" s="177"/>
      <c r="BN20" s="177"/>
      <c r="BO20" s="177"/>
      <c r="BP20" s="177"/>
      <c r="BQ20" s="177"/>
      <c r="BR20" s="177"/>
      <c r="BS20" s="177"/>
      <c r="BT20" s="177"/>
      <c r="BU20" s="177"/>
      <c r="BV20" s="177"/>
      <c r="BW20" s="177"/>
      <c r="BX20" s="177"/>
      <c r="BY20" s="177"/>
      <c r="BZ20" s="177"/>
      <c r="CA20" s="177"/>
      <c r="CB20" s="177"/>
      <c r="CC20" s="177"/>
      <c r="CD20" s="177"/>
      <c r="CE20" s="177"/>
      <c r="CF20" s="177"/>
      <c r="CG20" s="177"/>
      <c r="CH20" s="177"/>
      <c r="CI20" s="177"/>
      <c r="CJ20" s="177"/>
      <c r="CK20" s="177"/>
      <c r="CL20" s="177"/>
      <c r="CM20" s="177"/>
      <c r="CN20" s="177"/>
      <c r="CO20" s="177"/>
      <c r="CP20" s="177"/>
      <c r="CQ20" s="177"/>
      <c r="CR20" s="177"/>
      <c r="CS20" s="177"/>
      <c r="CT20" s="177"/>
      <c r="CU20" s="177"/>
      <c r="CV20" s="177"/>
      <c r="CW20" s="177"/>
      <c r="CX20" s="177"/>
      <c r="CY20" s="177"/>
      <c r="CZ20" s="177"/>
      <c r="DA20" s="177"/>
      <c r="DB20" s="177"/>
      <c r="DC20" s="177"/>
      <c r="DD20" s="177"/>
      <c r="DE20" s="177"/>
      <c r="DF20" s="177"/>
      <c r="DG20" s="177"/>
      <c r="DH20" s="177"/>
      <c r="DI20" s="177"/>
      <c r="DJ20" s="177"/>
    </row>
    <row r="21" spans="1:199">
      <c r="A21" s="315">
        <v>16</v>
      </c>
      <c r="B21" s="182" t="s">
        <v>389</v>
      </c>
      <c r="F21" s="317"/>
      <c r="G21" s="317">
        <f>SUMIF($E$112:$GQ$112,G$7,$E126:$GQ126)+SUMIF($E$52:$GQ$52,G$7,$E66:$GQ66)+SUMIF($E$82:$GQ$82,G$7,$E96:$GQ96)</f>
        <v>0</v>
      </c>
      <c r="H21" s="317">
        <f t="shared" ref="H21:O21" si="3">SUMIF($E$112:$GQ$112,H$7,$E126:$GQ126)+SUMIF($E$52:$GQ$52,H$7,$E66:$GQ66)+SUMIF($E$82:$GQ$82,H$7,$E96:$GQ96)</f>
        <v>0</v>
      </c>
      <c r="I21" s="317">
        <f t="shared" si="3"/>
        <v>0</v>
      </c>
      <c r="J21" s="317">
        <f t="shared" si="3"/>
        <v>0</v>
      </c>
      <c r="K21" s="317">
        <f t="shared" si="3"/>
        <v>0</v>
      </c>
      <c r="L21" s="317">
        <f t="shared" si="3"/>
        <v>0</v>
      </c>
      <c r="M21" s="317">
        <f t="shared" si="3"/>
        <v>0</v>
      </c>
      <c r="N21" s="317">
        <f t="shared" si="3"/>
        <v>0</v>
      </c>
      <c r="O21" s="317">
        <f t="shared" si="3"/>
        <v>0</v>
      </c>
      <c r="P21" s="317">
        <f t="shared" ref="P21:Y21" si="4">SUMIF($E$112:$GQ$112,P$7,$E126:$GQ126)+SUMIF($E$52:$GQ$52,P$7,$E66:$GQ66)+SUMIF($E$82:$GQ$82,P$7,$E96:$GQ96)</f>
        <v>0</v>
      </c>
      <c r="Q21" s="317">
        <f t="shared" si="4"/>
        <v>0</v>
      </c>
      <c r="R21" s="317">
        <f t="shared" si="4"/>
        <v>0</v>
      </c>
      <c r="S21" s="317">
        <f t="shared" si="4"/>
        <v>0</v>
      </c>
      <c r="T21" s="317">
        <f t="shared" si="4"/>
        <v>0</v>
      </c>
      <c r="U21" s="317">
        <f t="shared" si="4"/>
        <v>0</v>
      </c>
      <c r="V21" s="317">
        <f t="shared" si="4"/>
        <v>0</v>
      </c>
      <c r="W21" s="317">
        <f t="shared" si="4"/>
        <v>0</v>
      </c>
      <c r="X21" s="317">
        <f t="shared" si="4"/>
        <v>0</v>
      </c>
      <c r="Y21" s="317">
        <f t="shared" si="4"/>
        <v>0</v>
      </c>
      <c r="Z21" s="317"/>
      <c r="AA21" s="317"/>
      <c r="AB21" s="317"/>
      <c r="AC21" s="317"/>
      <c r="AD21" s="317"/>
      <c r="AE21" s="317"/>
      <c r="AF21" s="317"/>
      <c r="AG21" s="317"/>
      <c r="AH21" s="317"/>
      <c r="AI21" s="317"/>
      <c r="AJ21" s="317"/>
      <c r="AK21" s="317"/>
      <c r="AL21" s="317"/>
      <c r="AM21" s="317"/>
      <c r="AN21" s="317"/>
      <c r="AO21" s="317"/>
      <c r="AP21" s="317"/>
      <c r="AQ21" s="317"/>
      <c r="AR21" s="317"/>
      <c r="AS21" s="317"/>
      <c r="AT21" s="317"/>
      <c r="AU21" s="317"/>
      <c r="AV21" s="317"/>
      <c r="AW21" s="317"/>
      <c r="AX21" s="317"/>
      <c r="AY21" s="317"/>
      <c r="AZ21" s="317"/>
      <c r="BA21" s="317"/>
      <c r="BB21" s="317"/>
      <c r="BC21" s="317"/>
      <c r="BD21" s="317"/>
      <c r="BE21" s="317"/>
      <c r="BF21" s="317"/>
      <c r="BG21" s="317"/>
      <c r="BH21" s="317"/>
      <c r="BI21" s="317"/>
      <c r="BJ21" s="317"/>
      <c r="BK21" s="317"/>
      <c r="BL21" s="317"/>
      <c r="BM21" s="317"/>
      <c r="BN21" s="317"/>
      <c r="BO21" s="317"/>
      <c r="BP21" s="317"/>
      <c r="BQ21" s="317"/>
      <c r="BR21" s="317"/>
      <c r="BS21" s="317"/>
      <c r="BT21" s="317"/>
      <c r="BU21" s="317"/>
      <c r="BV21" s="317"/>
      <c r="BW21" s="317"/>
      <c r="BX21" s="317"/>
      <c r="BY21" s="317"/>
      <c r="BZ21" s="317"/>
      <c r="CA21" s="317"/>
      <c r="CB21" s="317"/>
      <c r="CC21" s="317"/>
      <c r="CD21" s="317"/>
      <c r="CE21" s="317"/>
      <c r="CF21" s="317"/>
      <c r="CG21" s="317"/>
      <c r="CH21" s="317"/>
      <c r="CI21" s="317"/>
      <c r="CJ21" s="317"/>
      <c r="CK21" s="317"/>
      <c r="CL21" s="317"/>
      <c r="CM21" s="317"/>
      <c r="CN21" s="317"/>
      <c r="CO21" s="317"/>
      <c r="CP21" s="317"/>
      <c r="CQ21" s="317"/>
      <c r="CR21" s="317"/>
      <c r="CS21" s="317"/>
      <c r="CT21" s="317"/>
      <c r="CU21" s="317"/>
      <c r="CV21" s="317"/>
      <c r="CW21" s="317"/>
      <c r="CX21" s="317"/>
      <c r="CY21" s="317"/>
      <c r="CZ21" s="317"/>
      <c r="DA21" s="317"/>
      <c r="DB21" s="317"/>
      <c r="DC21" s="317"/>
      <c r="DD21" s="317"/>
      <c r="DE21" s="317"/>
      <c r="DF21" s="317"/>
      <c r="DG21" s="317"/>
      <c r="DH21" s="317"/>
      <c r="DI21" s="317"/>
      <c r="DJ21" s="317"/>
    </row>
    <row r="22" spans="1:199">
      <c r="A22" s="315">
        <v>17</v>
      </c>
      <c r="B22" s="218" t="s">
        <v>395</v>
      </c>
      <c r="C22" s="164"/>
      <c r="D22" s="162"/>
      <c r="E22" s="162"/>
      <c r="F22" s="317"/>
      <c r="G22" s="317">
        <f>SUMIF($E$112:$GQ$112,G$7,$E127:$GQ127)+SUMIF($E$52:$GQ$52,G$7,$E67:$GQ67)+SUMIF($E$82:$GQ$82,G$7,$E97:$GQ97)</f>
        <v>0</v>
      </c>
      <c r="H22" s="317">
        <f t="shared" ref="H22:N25" si="5">SUMIF($E$112:$GQ$112,H$7,$E127:$GQ127)+SUMIF($E$52:$GQ$52,H$7,$E67:$GQ67)+SUMIF($E$82:$GQ$82,H$7,$E97:$GQ97)</f>
        <v>0</v>
      </c>
      <c r="I22" s="317">
        <f t="shared" si="5"/>
        <v>0</v>
      </c>
      <c r="J22" s="317">
        <f t="shared" si="5"/>
        <v>0</v>
      </c>
      <c r="K22" s="317">
        <f t="shared" si="5"/>
        <v>0</v>
      </c>
      <c r="L22" s="317">
        <f t="shared" si="5"/>
        <v>0</v>
      </c>
      <c r="M22" s="317">
        <f t="shared" si="5"/>
        <v>0</v>
      </c>
      <c r="N22" s="317">
        <f t="shared" si="5"/>
        <v>0</v>
      </c>
      <c r="O22" s="317">
        <f t="shared" ref="O22:Y22" si="6">SUMIF($E$112:$GQ$112,O$7,$E127:$GQ127)+SUMIF($E$52:$GQ$52,O$7,$E67:$GQ67)+SUMIF($E$82:$GQ$82,O$7,$E97:$GQ97)</f>
        <v>0</v>
      </c>
      <c r="P22" s="317">
        <f t="shared" si="6"/>
        <v>0</v>
      </c>
      <c r="Q22" s="317">
        <f t="shared" si="6"/>
        <v>0</v>
      </c>
      <c r="R22" s="317">
        <f t="shared" si="6"/>
        <v>0</v>
      </c>
      <c r="S22" s="317">
        <f t="shared" si="6"/>
        <v>0</v>
      </c>
      <c r="T22" s="317">
        <f t="shared" si="6"/>
        <v>0</v>
      </c>
      <c r="U22" s="317">
        <f t="shared" si="6"/>
        <v>0</v>
      </c>
      <c r="V22" s="317">
        <f t="shared" si="6"/>
        <v>0</v>
      </c>
      <c r="W22" s="317">
        <f t="shared" si="6"/>
        <v>0</v>
      </c>
      <c r="X22" s="317">
        <f t="shared" si="6"/>
        <v>0</v>
      </c>
      <c r="Y22" s="317">
        <f t="shared" si="6"/>
        <v>0</v>
      </c>
      <c r="Z22" s="317"/>
      <c r="AA22" s="317"/>
      <c r="AB22" s="317"/>
      <c r="AC22" s="317"/>
      <c r="AD22" s="317"/>
      <c r="AE22" s="317"/>
      <c r="AF22" s="317"/>
      <c r="AG22" s="317"/>
      <c r="AH22" s="317"/>
      <c r="AI22" s="317"/>
      <c r="AJ22" s="317"/>
      <c r="AK22" s="317"/>
      <c r="AL22" s="317"/>
      <c r="AM22" s="317"/>
      <c r="AN22" s="317"/>
      <c r="AO22" s="317"/>
      <c r="AP22" s="317"/>
      <c r="AQ22" s="317"/>
      <c r="AR22" s="317"/>
      <c r="AS22" s="317"/>
      <c r="AT22" s="317"/>
      <c r="AU22" s="317"/>
      <c r="AV22" s="317"/>
      <c r="AW22" s="317"/>
      <c r="AX22" s="317"/>
      <c r="AY22" s="317"/>
      <c r="AZ22" s="317"/>
      <c r="BA22" s="317"/>
      <c r="BB22" s="317"/>
      <c r="BC22" s="317"/>
      <c r="BD22" s="317"/>
      <c r="BE22" s="317"/>
      <c r="BF22" s="317"/>
      <c r="BG22" s="317"/>
      <c r="BH22" s="317"/>
      <c r="BI22" s="317"/>
      <c r="BJ22" s="317"/>
      <c r="BK22" s="317"/>
      <c r="BL22" s="317"/>
      <c r="BM22" s="317"/>
      <c r="BN22" s="317"/>
      <c r="BO22" s="317"/>
      <c r="BP22" s="317"/>
      <c r="BQ22" s="317"/>
      <c r="BR22" s="317"/>
      <c r="BS22" s="317"/>
      <c r="BT22" s="317"/>
      <c r="BU22" s="317"/>
      <c r="BV22" s="317"/>
      <c r="BW22" s="317"/>
      <c r="BX22" s="317"/>
      <c r="BY22" s="317"/>
      <c r="BZ22" s="317"/>
      <c r="CA22" s="317"/>
      <c r="CB22" s="317"/>
      <c r="CC22" s="317"/>
      <c r="CD22" s="317"/>
      <c r="CE22" s="317"/>
      <c r="CF22" s="317"/>
      <c r="CG22" s="317"/>
      <c r="CH22" s="317"/>
      <c r="CI22" s="317"/>
      <c r="CJ22" s="317"/>
      <c r="CK22" s="317"/>
      <c r="CL22" s="317"/>
      <c r="CM22" s="317"/>
      <c r="CN22" s="317"/>
      <c r="CO22" s="317"/>
      <c r="CP22" s="317"/>
      <c r="CQ22" s="317"/>
      <c r="CR22" s="317"/>
      <c r="CS22" s="317"/>
      <c r="CT22" s="317"/>
      <c r="CU22" s="317"/>
      <c r="CV22" s="317"/>
      <c r="CW22" s="317"/>
      <c r="CX22" s="317"/>
      <c r="CY22" s="317"/>
      <c r="CZ22" s="317"/>
      <c r="DA22" s="317"/>
      <c r="DB22" s="317"/>
      <c r="DC22" s="317"/>
      <c r="DD22" s="317"/>
      <c r="DE22" s="317"/>
      <c r="DF22" s="317"/>
      <c r="DG22" s="317"/>
      <c r="DH22" s="317"/>
      <c r="DI22" s="317"/>
      <c r="DJ22" s="317"/>
      <c r="DK22" s="162"/>
      <c r="DL22" s="162"/>
      <c r="DM22" s="162"/>
      <c r="DN22" s="162"/>
      <c r="DO22" s="162"/>
      <c r="DP22" s="162"/>
      <c r="DQ22" s="162"/>
      <c r="DR22" s="162"/>
      <c r="DS22" s="162"/>
      <c r="DT22" s="162"/>
      <c r="DU22" s="162"/>
      <c r="DV22" s="162"/>
      <c r="DW22" s="162"/>
      <c r="DX22" s="162"/>
      <c r="DY22" s="162"/>
      <c r="DZ22" s="162"/>
      <c r="EA22" s="162"/>
      <c r="EB22" s="162"/>
      <c r="EC22" s="162"/>
      <c r="ED22" s="162"/>
      <c r="EE22" s="162"/>
      <c r="EF22" s="162"/>
      <c r="EG22" s="162"/>
      <c r="EH22" s="162"/>
      <c r="EI22" s="162"/>
      <c r="EJ22" s="162"/>
      <c r="EK22" s="162"/>
      <c r="EL22" s="162"/>
      <c r="EM22" s="162"/>
      <c r="EN22" s="162"/>
      <c r="EO22" s="162"/>
      <c r="EP22" s="162"/>
      <c r="EQ22" s="162"/>
      <c r="ER22" s="162"/>
      <c r="ES22" s="162"/>
      <c r="ET22" s="162"/>
      <c r="EU22" s="162"/>
      <c r="EV22" s="162"/>
      <c r="EW22" s="162"/>
      <c r="EX22" s="162"/>
      <c r="EY22" s="162"/>
      <c r="EZ22" s="162"/>
      <c r="FA22" s="162"/>
      <c r="FB22" s="162"/>
      <c r="FC22" s="162"/>
      <c r="FD22" s="162"/>
      <c r="FE22" s="162"/>
      <c r="FF22" s="162"/>
      <c r="FG22" s="162"/>
      <c r="FH22" s="162"/>
      <c r="FI22" s="162"/>
      <c r="FJ22" s="162"/>
      <c r="FK22" s="162"/>
      <c r="FL22" s="162"/>
      <c r="FM22" s="162"/>
      <c r="FN22" s="162"/>
      <c r="FO22" s="162"/>
      <c r="FP22" s="162"/>
      <c r="FQ22" s="162"/>
      <c r="FR22" s="162"/>
      <c r="FS22" s="162"/>
      <c r="FT22" s="162"/>
      <c r="FU22" s="162"/>
      <c r="FV22" s="162"/>
      <c r="FW22" s="162"/>
      <c r="FX22" s="162"/>
      <c r="FY22" s="162"/>
      <c r="FZ22" s="162"/>
      <c r="GA22" s="162"/>
      <c r="GB22" s="162"/>
      <c r="GC22" s="162"/>
      <c r="GD22" s="162"/>
      <c r="GE22" s="162"/>
      <c r="GF22" s="162"/>
      <c r="GG22" s="162"/>
      <c r="GH22" s="162"/>
      <c r="GI22" s="162"/>
      <c r="GJ22" s="162"/>
      <c r="GK22" s="162"/>
      <c r="GL22" s="162"/>
      <c r="GM22" s="162"/>
      <c r="GN22" s="162"/>
      <c r="GO22" s="162"/>
      <c r="GP22" s="162"/>
      <c r="GQ22" s="162"/>
    </row>
    <row r="23" spans="1:199">
      <c r="A23" s="315">
        <v>18</v>
      </c>
      <c r="B23" s="182" t="s">
        <v>390</v>
      </c>
      <c r="F23" s="317"/>
      <c r="G23" s="317">
        <f>SUMIF($E$112:$GQ$112,G$7,$E128:$GQ128)+SUMIF($E$52:$GQ$52,G$7,$E68:$GQ68)+SUMIF($E$82:$GQ$82,G$7,$E98:$GQ98)</f>
        <v>32194.982411967409</v>
      </c>
      <c r="H23" s="317">
        <f t="shared" si="5"/>
        <v>17955.927423539073</v>
      </c>
      <c r="I23" s="317">
        <f t="shared" si="5"/>
        <v>10322.9430747653</v>
      </c>
      <c r="J23" s="317">
        <f t="shared" si="5"/>
        <v>4913.4651167875882</v>
      </c>
      <c r="K23" s="317">
        <f t="shared" si="5"/>
        <v>0</v>
      </c>
      <c r="L23" s="317">
        <f t="shared" si="5"/>
        <v>0</v>
      </c>
      <c r="M23" s="317">
        <f t="shared" si="5"/>
        <v>0</v>
      </c>
      <c r="N23" s="317">
        <f t="shared" si="5"/>
        <v>0</v>
      </c>
      <c r="O23" s="317">
        <f t="shared" ref="O23:Y23" si="7">SUMIF($E$112:$GQ$112,O$7,$E128:$GQ128)+SUMIF($E$52:$GQ$52,O$7,$E68:$GQ68)+SUMIF($E$82:$GQ$82,O$7,$E98:$GQ98)</f>
        <v>0</v>
      </c>
      <c r="P23" s="317">
        <f t="shared" si="7"/>
        <v>0</v>
      </c>
      <c r="Q23" s="317">
        <f t="shared" si="7"/>
        <v>0</v>
      </c>
      <c r="R23" s="317">
        <f t="shared" si="7"/>
        <v>0</v>
      </c>
      <c r="S23" s="317">
        <f t="shared" si="7"/>
        <v>0</v>
      </c>
      <c r="T23" s="317">
        <f t="shared" si="7"/>
        <v>0</v>
      </c>
      <c r="U23" s="317">
        <f t="shared" si="7"/>
        <v>0</v>
      </c>
      <c r="V23" s="317">
        <f t="shared" si="7"/>
        <v>0</v>
      </c>
      <c r="W23" s="317">
        <f t="shared" si="7"/>
        <v>0</v>
      </c>
      <c r="X23" s="317">
        <f t="shared" si="7"/>
        <v>0</v>
      </c>
      <c r="Y23" s="317">
        <f t="shared" si="7"/>
        <v>0</v>
      </c>
      <c r="Z23" s="317"/>
      <c r="AA23" s="317"/>
      <c r="AB23" s="317"/>
      <c r="AC23" s="317"/>
      <c r="AD23" s="317"/>
      <c r="AE23" s="317"/>
      <c r="AF23" s="317"/>
      <c r="AG23" s="317"/>
      <c r="AH23" s="317"/>
      <c r="AI23" s="317"/>
      <c r="AJ23" s="317"/>
      <c r="AK23" s="317"/>
      <c r="AL23" s="317"/>
      <c r="AM23" s="317"/>
      <c r="AN23" s="317"/>
      <c r="AO23" s="317"/>
      <c r="AP23" s="317"/>
      <c r="AQ23" s="317"/>
      <c r="AR23" s="317"/>
      <c r="AS23" s="317"/>
      <c r="AT23" s="317"/>
      <c r="AU23" s="317"/>
      <c r="AV23" s="317"/>
      <c r="AW23" s="317"/>
      <c r="AX23" s="317"/>
      <c r="AY23" s="317"/>
      <c r="AZ23" s="317"/>
      <c r="BA23" s="317"/>
      <c r="BB23" s="317"/>
      <c r="BC23" s="317"/>
      <c r="BD23" s="317"/>
      <c r="BE23" s="317"/>
      <c r="BF23" s="317"/>
      <c r="BG23" s="317"/>
      <c r="BH23" s="317"/>
      <c r="BI23" s="317"/>
      <c r="BJ23" s="317"/>
      <c r="BK23" s="317"/>
      <c r="BL23" s="317"/>
      <c r="BM23" s="317"/>
      <c r="BN23" s="317"/>
      <c r="BO23" s="317"/>
      <c r="BP23" s="317"/>
      <c r="BQ23" s="317"/>
      <c r="BR23" s="317"/>
      <c r="BS23" s="317"/>
      <c r="BT23" s="317"/>
      <c r="BU23" s="317"/>
      <c r="BV23" s="317"/>
      <c r="BW23" s="317"/>
      <c r="BX23" s="317"/>
      <c r="BY23" s="317"/>
      <c r="BZ23" s="317"/>
      <c r="CA23" s="317"/>
      <c r="CB23" s="317"/>
      <c r="CC23" s="317"/>
      <c r="CD23" s="317"/>
      <c r="CE23" s="317"/>
      <c r="CF23" s="317"/>
      <c r="CG23" s="317"/>
      <c r="CH23" s="317"/>
      <c r="CI23" s="317"/>
      <c r="CJ23" s="317"/>
      <c r="CK23" s="317"/>
      <c r="CL23" s="317"/>
      <c r="CM23" s="317"/>
      <c r="CN23" s="317"/>
      <c r="CO23" s="317"/>
      <c r="CP23" s="317"/>
      <c r="CQ23" s="317"/>
      <c r="CR23" s="317"/>
      <c r="CS23" s="317"/>
      <c r="CT23" s="317"/>
      <c r="CU23" s="317"/>
      <c r="CV23" s="317"/>
      <c r="CW23" s="317"/>
      <c r="CX23" s="317"/>
      <c r="CY23" s="317"/>
      <c r="CZ23" s="317"/>
      <c r="DA23" s="317"/>
      <c r="DB23" s="317"/>
      <c r="DC23" s="317"/>
      <c r="DD23" s="317"/>
      <c r="DE23" s="317"/>
      <c r="DF23" s="317"/>
      <c r="DG23" s="317"/>
      <c r="DH23" s="317"/>
      <c r="DI23" s="317"/>
      <c r="DJ23" s="317"/>
    </row>
    <row r="24" spans="1:199">
      <c r="A24" s="315">
        <v>19</v>
      </c>
      <c r="B24" s="182" t="s">
        <v>391</v>
      </c>
      <c r="F24" s="317"/>
      <c r="G24" s="317">
        <f>SUMIF($E$112:$GQ$112,G$7,$E129:$GQ129)+SUMIF($E$52:$GQ$52,G$7,$E69:$GQ69)+SUMIF($E$82:$GQ$82,G$7,$E99:$GQ99)</f>
        <v>-21235.407299671988</v>
      </c>
      <c r="H24" s="317">
        <f t="shared" si="5"/>
        <v>-30425.743744980711</v>
      </c>
      <c r="I24" s="317">
        <f t="shared" si="5"/>
        <v>-10423.701865619085</v>
      </c>
      <c r="J24" s="317">
        <f t="shared" si="5"/>
        <v>-4913.4651167875882</v>
      </c>
      <c r="K24" s="317">
        <f t="shared" si="5"/>
        <v>0</v>
      </c>
      <c r="L24" s="317">
        <f t="shared" si="5"/>
        <v>0</v>
      </c>
      <c r="M24" s="317">
        <f t="shared" si="5"/>
        <v>0</v>
      </c>
      <c r="N24" s="317">
        <f t="shared" si="5"/>
        <v>0</v>
      </c>
      <c r="O24" s="317">
        <f t="shared" ref="O24:Y24" si="8">SUMIF($E$112:$GQ$112,O$7,$E129:$GQ129)+SUMIF($E$52:$GQ$52,O$7,$E69:$GQ69)+SUMIF($E$82:$GQ$82,O$7,$E99:$GQ99)</f>
        <v>0</v>
      </c>
      <c r="P24" s="317">
        <f t="shared" si="8"/>
        <v>0</v>
      </c>
      <c r="Q24" s="317">
        <f t="shared" si="8"/>
        <v>0</v>
      </c>
      <c r="R24" s="317">
        <f t="shared" si="8"/>
        <v>0</v>
      </c>
      <c r="S24" s="317">
        <f t="shared" si="8"/>
        <v>0</v>
      </c>
      <c r="T24" s="317">
        <f t="shared" si="8"/>
        <v>0</v>
      </c>
      <c r="U24" s="317">
        <f t="shared" si="8"/>
        <v>0</v>
      </c>
      <c r="V24" s="317">
        <f t="shared" si="8"/>
        <v>0</v>
      </c>
      <c r="W24" s="317">
        <f t="shared" si="8"/>
        <v>0</v>
      </c>
      <c r="X24" s="317">
        <f t="shared" si="8"/>
        <v>0</v>
      </c>
      <c r="Y24" s="317">
        <f t="shared" si="8"/>
        <v>0</v>
      </c>
      <c r="Z24" s="317"/>
      <c r="AA24" s="317"/>
      <c r="AB24" s="317"/>
      <c r="AC24" s="317"/>
      <c r="AD24" s="317"/>
      <c r="AE24" s="317"/>
      <c r="AF24" s="317"/>
      <c r="AG24" s="317"/>
      <c r="AH24" s="317"/>
      <c r="AI24" s="317"/>
      <c r="AJ24" s="317"/>
      <c r="AK24" s="317"/>
      <c r="AL24" s="317"/>
      <c r="AM24" s="317"/>
      <c r="AN24" s="317"/>
      <c r="AO24" s="317"/>
      <c r="AP24" s="317"/>
      <c r="AQ24" s="317"/>
      <c r="AR24" s="317"/>
      <c r="AS24" s="317"/>
      <c r="AT24" s="317"/>
      <c r="AU24" s="317"/>
      <c r="AV24" s="317"/>
      <c r="AW24" s="317"/>
      <c r="AX24" s="317"/>
      <c r="AY24" s="317"/>
      <c r="AZ24" s="317"/>
      <c r="BA24" s="317"/>
      <c r="BB24" s="317"/>
      <c r="BC24" s="317"/>
      <c r="BD24" s="317"/>
      <c r="BE24" s="317"/>
      <c r="BF24" s="317"/>
      <c r="BG24" s="317"/>
      <c r="BH24" s="317"/>
      <c r="BI24" s="317"/>
      <c r="BJ24" s="317"/>
      <c r="BK24" s="317"/>
      <c r="BL24" s="317"/>
      <c r="BM24" s="317"/>
      <c r="BN24" s="317"/>
      <c r="BO24" s="317"/>
      <c r="BP24" s="317"/>
      <c r="BQ24" s="317"/>
      <c r="BR24" s="317"/>
      <c r="BS24" s="317"/>
      <c r="BT24" s="317"/>
      <c r="BU24" s="317"/>
      <c r="BV24" s="317"/>
      <c r="BW24" s="317"/>
      <c r="BX24" s="317"/>
      <c r="BY24" s="317"/>
      <c r="BZ24" s="317"/>
      <c r="CA24" s="317"/>
      <c r="CB24" s="317"/>
      <c r="CC24" s="317"/>
      <c r="CD24" s="317"/>
      <c r="CE24" s="317"/>
      <c r="CF24" s="317"/>
      <c r="CG24" s="317"/>
      <c r="CH24" s="317"/>
      <c r="CI24" s="317"/>
      <c r="CJ24" s="317"/>
      <c r="CK24" s="317"/>
      <c r="CL24" s="317"/>
      <c r="CM24" s="317"/>
      <c r="CN24" s="317"/>
      <c r="CO24" s="317"/>
      <c r="CP24" s="317"/>
      <c r="CQ24" s="317"/>
      <c r="CR24" s="317"/>
      <c r="CS24" s="317"/>
      <c r="CT24" s="317"/>
      <c r="CU24" s="317"/>
      <c r="CV24" s="317"/>
      <c r="CW24" s="317"/>
      <c r="CX24" s="317"/>
      <c r="CY24" s="317"/>
      <c r="CZ24" s="317"/>
      <c r="DA24" s="317"/>
      <c r="DB24" s="317"/>
      <c r="DC24" s="317"/>
      <c r="DD24" s="317"/>
      <c r="DE24" s="317"/>
      <c r="DF24" s="317"/>
      <c r="DG24" s="317"/>
      <c r="DH24" s="317"/>
      <c r="DI24" s="317"/>
      <c r="DJ24" s="317"/>
    </row>
    <row r="25" spans="1:199">
      <c r="A25" s="315">
        <v>20</v>
      </c>
      <c r="B25" s="182" t="s">
        <v>392</v>
      </c>
      <c r="F25" s="317"/>
      <c r="G25" s="317">
        <f>SUMIF($E$112:$GQ$112,G$7,$E130:$GQ130)+SUMIF($E$52:$GQ$52,G$7,$E70:$GQ70)+SUMIF($E$82:$GQ$82,G$7,$E100:$GQ100)</f>
        <v>-53409.333333333336</v>
      </c>
      <c r="H25" s="317">
        <f t="shared" si="5"/>
        <v>-179284.33333333334</v>
      </c>
      <c r="I25" s="317">
        <f t="shared" si="5"/>
        <v>-53409.333333333336</v>
      </c>
      <c r="J25" s="317">
        <f t="shared" si="5"/>
        <v>-47500</v>
      </c>
      <c r="K25" s="317">
        <f t="shared" si="5"/>
        <v>0</v>
      </c>
      <c r="L25" s="317">
        <f t="shared" si="5"/>
        <v>0</v>
      </c>
      <c r="M25" s="317">
        <f t="shared" si="5"/>
        <v>0</v>
      </c>
      <c r="N25" s="317">
        <f t="shared" si="5"/>
        <v>0</v>
      </c>
      <c r="O25" s="317">
        <f t="shared" ref="O25:Y25" si="9">SUMIF($E$112:$GQ$112,O$7,$E130:$GQ130)+SUMIF($E$52:$GQ$52,O$7,$E70:$GQ70)+SUMIF($E$82:$GQ$82,O$7,$E100:$GQ100)</f>
        <v>0</v>
      </c>
      <c r="P25" s="317">
        <f t="shared" si="9"/>
        <v>0</v>
      </c>
      <c r="Q25" s="317">
        <f t="shared" si="9"/>
        <v>0</v>
      </c>
      <c r="R25" s="317">
        <f t="shared" si="9"/>
        <v>0</v>
      </c>
      <c r="S25" s="317">
        <f t="shared" si="9"/>
        <v>0</v>
      </c>
      <c r="T25" s="317">
        <f t="shared" si="9"/>
        <v>0</v>
      </c>
      <c r="U25" s="317">
        <f t="shared" si="9"/>
        <v>0</v>
      </c>
      <c r="V25" s="317">
        <f t="shared" si="9"/>
        <v>0</v>
      </c>
      <c r="W25" s="317">
        <f t="shared" si="9"/>
        <v>0</v>
      </c>
      <c r="X25" s="317">
        <f t="shared" si="9"/>
        <v>0</v>
      </c>
      <c r="Y25" s="317">
        <f t="shared" si="9"/>
        <v>0</v>
      </c>
      <c r="Z25" s="317"/>
      <c r="AA25" s="317"/>
      <c r="AB25" s="317"/>
      <c r="AC25" s="317"/>
      <c r="AD25" s="317"/>
      <c r="AE25" s="317"/>
      <c r="AF25" s="317"/>
      <c r="AG25" s="317"/>
      <c r="AH25" s="317"/>
      <c r="AI25" s="317"/>
      <c r="AJ25" s="317"/>
      <c r="AK25" s="317"/>
      <c r="AL25" s="317"/>
      <c r="AM25" s="317"/>
      <c r="AN25" s="317"/>
      <c r="AO25" s="317"/>
      <c r="AP25" s="317"/>
      <c r="AQ25" s="317"/>
      <c r="AR25" s="317"/>
      <c r="AS25" s="317"/>
      <c r="AT25" s="317"/>
      <c r="AU25" s="317"/>
      <c r="AV25" s="317"/>
      <c r="AW25" s="317"/>
      <c r="AX25" s="317"/>
      <c r="AY25" s="317"/>
      <c r="AZ25" s="317"/>
      <c r="BA25" s="317"/>
      <c r="BB25" s="317"/>
      <c r="BC25" s="317"/>
      <c r="BD25" s="317"/>
      <c r="BE25" s="317"/>
      <c r="BF25" s="317"/>
      <c r="BG25" s="317"/>
      <c r="BH25" s="317"/>
      <c r="BI25" s="317"/>
      <c r="BJ25" s="317"/>
      <c r="BK25" s="317"/>
      <c r="BL25" s="317"/>
      <c r="BM25" s="317"/>
      <c r="BN25" s="317"/>
      <c r="BO25" s="317"/>
      <c r="BP25" s="317"/>
      <c r="BQ25" s="317"/>
      <c r="BR25" s="317"/>
      <c r="BS25" s="317"/>
      <c r="BT25" s="317"/>
      <c r="BU25" s="317"/>
      <c r="BV25" s="317"/>
      <c r="BW25" s="317"/>
      <c r="BX25" s="317"/>
      <c r="BY25" s="317"/>
      <c r="BZ25" s="317"/>
      <c r="CA25" s="317"/>
      <c r="CB25" s="317"/>
      <c r="CC25" s="317"/>
      <c r="CD25" s="317"/>
      <c r="CE25" s="317"/>
      <c r="CF25" s="317"/>
      <c r="CG25" s="317"/>
      <c r="CH25" s="317"/>
      <c r="CI25" s="317"/>
      <c r="CJ25" s="317"/>
      <c r="CK25" s="317"/>
      <c r="CL25" s="317"/>
      <c r="CM25" s="317"/>
      <c r="CN25" s="317"/>
      <c r="CO25" s="317"/>
      <c r="CP25" s="317"/>
      <c r="CQ25" s="317"/>
      <c r="CR25" s="317"/>
      <c r="CS25" s="317"/>
      <c r="CT25" s="317"/>
      <c r="CU25" s="317"/>
      <c r="CV25" s="317"/>
      <c r="CW25" s="317"/>
      <c r="CX25" s="317"/>
      <c r="CY25" s="317"/>
      <c r="CZ25" s="317"/>
      <c r="DA25" s="317"/>
      <c r="DB25" s="317"/>
      <c r="DC25" s="317"/>
      <c r="DD25" s="317"/>
      <c r="DE25" s="317"/>
      <c r="DF25" s="317"/>
      <c r="DG25" s="317"/>
      <c r="DH25" s="317"/>
      <c r="DI25" s="317"/>
      <c r="DJ25" s="317"/>
    </row>
    <row r="26" spans="1:199">
      <c r="A26" s="315">
        <v>21</v>
      </c>
      <c r="B26" s="182" t="s">
        <v>393</v>
      </c>
      <c r="F26" s="177">
        <f>PROJ_AGCeAGPar!J238</f>
        <v>335.214</v>
      </c>
      <c r="G26" s="177">
        <f>IFERROR(HLOOKUP(DATE(G7,12,1),$E$81:$GQ$101,$A26,0),0)+IFERROR(HLOOKUP(DATE(G7,12,1),$E$111:$GQ$131,$A26,0),0)+IFERROR(HLOOKUP(DATE(G7,12,1),$E$51:$GQ$71,$A26,0),0)</f>
        <v>292764.24177896208</v>
      </c>
      <c r="H26" s="177">
        <f t="shared" ref="H26:Y26" si="10">IFERROR(HLOOKUP(DATE(H7,12,1),$E$81:$GQ$101,$A26,0),0)+IFERROR(HLOOKUP(DATE(H7,12,1),$E$111:$GQ$131,$A26,0),0)+IFERROR(HLOOKUP(DATE(H7,12,1),$E$51:$GQ$71,$A26,0),0)</f>
        <v>101010.09212418718</v>
      </c>
      <c r="I26" s="177">
        <f t="shared" si="10"/>
        <v>47500.000000000044</v>
      </c>
      <c r="J26" s="177">
        <f t="shared" si="10"/>
        <v>0</v>
      </c>
      <c r="K26" s="177">
        <f t="shared" si="10"/>
        <v>0</v>
      </c>
      <c r="L26" s="177">
        <f t="shared" si="10"/>
        <v>0</v>
      </c>
      <c r="M26" s="177">
        <f t="shared" si="10"/>
        <v>0</v>
      </c>
      <c r="N26" s="177">
        <f t="shared" si="10"/>
        <v>0</v>
      </c>
      <c r="O26" s="177">
        <f t="shared" si="10"/>
        <v>0</v>
      </c>
      <c r="P26" s="177">
        <f t="shared" si="10"/>
        <v>0</v>
      </c>
      <c r="Q26" s="177">
        <f t="shared" si="10"/>
        <v>0</v>
      </c>
      <c r="R26" s="177">
        <f t="shared" si="10"/>
        <v>0</v>
      </c>
      <c r="S26" s="177">
        <f t="shared" si="10"/>
        <v>0</v>
      </c>
      <c r="T26" s="177">
        <f t="shared" si="10"/>
        <v>0</v>
      </c>
      <c r="U26" s="177">
        <f t="shared" si="10"/>
        <v>0</v>
      </c>
      <c r="V26" s="177">
        <f t="shared" si="10"/>
        <v>0</v>
      </c>
      <c r="W26" s="177">
        <f t="shared" si="10"/>
        <v>0</v>
      </c>
      <c r="X26" s="177">
        <f t="shared" si="10"/>
        <v>0</v>
      </c>
      <c r="Y26" s="177">
        <f t="shared" si="10"/>
        <v>0</v>
      </c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7"/>
      <c r="AQ26" s="177"/>
      <c r="AR26" s="177"/>
      <c r="AS26" s="177"/>
      <c r="AT26" s="177"/>
      <c r="AU26" s="177"/>
      <c r="AV26" s="177"/>
      <c r="AW26" s="177"/>
      <c r="AX26" s="177"/>
      <c r="AY26" s="177"/>
      <c r="AZ26" s="177"/>
      <c r="BA26" s="177"/>
      <c r="BB26" s="177"/>
      <c r="BC26" s="177"/>
      <c r="BD26" s="177"/>
      <c r="BE26" s="177"/>
      <c r="BF26" s="177"/>
      <c r="BG26" s="177"/>
      <c r="BH26" s="177"/>
      <c r="BI26" s="177"/>
      <c r="BJ26" s="177"/>
      <c r="BK26" s="177"/>
      <c r="BL26" s="177"/>
      <c r="BM26" s="177"/>
      <c r="BN26" s="177"/>
      <c r="BO26" s="177"/>
      <c r="BP26" s="177"/>
      <c r="BQ26" s="177"/>
      <c r="BR26" s="177"/>
      <c r="BS26" s="177"/>
      <c r="BT26" s="177"/>
      <c r="BU26" s="177"/>
      <c r="BV26" s="177"/>
      <c r="BW26" s="177"/>
      <c r="BX26" s="177"/>
      <c r="BY26" s="177"/>
      <c r="BZ26" s="177"/>
      <c r="CA26" s="177"/>
      <c r="CB26" s="177"/>
      <c r="CC26" s="177"/>
      <c r="CD26" s="177"/>
      <c r="CE26" s="177"/>
      <c r="CF26" s="177"/>
      <c r="CG26" s="177"/>
      <c r="CH26" s="177"/>
      <c r="CI26" s="177"/>
      <c r="CJ26" s="177"/>
      <c r="CK26" s="177"/>
      <c r="CL26" s="177"/>
      <c r="CM26" s="177"/>
      <c r="CN26" s="177"/>
      <c r="CO26" s="177"/>
      <c r="CP26" s="177"/>
      <c r="CQ26" s="177"/>
      <c r="CR26" s="177"/>
      <c r="CS26" s="177"/>
      <c r="CT26" s="177"/>
      <c r="CU26" s="177"/>
      <c r="CV26" s="177"/>
      <c r="CW26" s="177"/>
      <c r="CX26" s="177"/>
      <c r="CY26" s="177"/>
      <c r="CZ26" s="177"/>
      <c r="DA26" s="177"/>
      <c r="DB26" s="177"/>
      <c r="DC26" s="177"/>
      <c r="DD26" s="177"/>
      <c r="DE26" s="177"/>
      <c r="DF26" s="177"/>
      <c r="DG26" s="177"/>
      <c r="DH26" s="177"/>
      <c r="DI26" s="177"/>
      <c r="DJ26" s="177"/>
    </row>
    <row r="27" spans="1:199">
      <c r="B27" s="182" t="s">
        <v>407</v>
      </c>
      <c r="F27" s="178">
        <v>52464</v>
      </c>
      <c r="G27" s="178">
        <f>IF(G26&gt;0,-SUM(H25),0)</f>
        <v>179284.33333333334</v>
      </c>
      <c r="H27" s="178">
        <f>IF(H26&gt;0,-SUM(I25),0)</f>
        <v>53409.333333333336</v>
      </c>
      <c r="I27" s="178">
        <f t="shared" ref="I27:J27" si="11">IF(I26&gt;0,-SUM(J25),0)</f>
        <v>47500</v>
      </c>
      <c r="J27" s="178">
        <f t="shared" si="11"/>
        <v>0</v>
      </c>
      <c r="K27" s="178">
        <f t="shared" ref="K27:Y27" si="12">IF(K26&gt;0,-SUM(L25:O25),0)</f>
        <v>0</v>
      </c>
      <c r="L27" s="178">
        <f t="shared" si="12"/>
        <v>0</v>
      </c>
      <c r="M27" s="178">
        <f t="shared" si="12"/>
        <v>0</v>
      </c>
      <c r="N27" s="178">
        <f t="shared" si="12"/>
        <v>0</v>
      </c>
      <c r="O27" s="178">
        <f t="shared" si="12"/>
        <v>0</v>
      </c>
      <c r="P27" s="178">
        <f t="shared" si="12"/>
        <v>0</v>
      </c>
      <c r="Q27" s="178">
        <f t="shared" si="12"/>
        <v>0</v>
      </c>
      <c r="R27" s="178">
        <f t="shared" si="12"/>
        <v>0</v>
      </c>
      <c r="S27" s="178">
        <f t="shared" si="12"/>
        <v>0</v>
      </c>
      <c r="T27" s="178">
        <f t="shared" si="12"/>
        <v>0</v>
      </c>
      <c r="U27" s="178">
        <f t="shared" si="12"/>
        <v>0</v>
      </c>
      <c r="V27" s="178">
        <f t="shared" si="12"/>
        <v>0</v>
      </c>
      <c r="W27" s="178">
        <f t="shared" si="12"/>
        <v>0</v>
      </c>
      <c r="X27" s="178">
        <f t="shared" si="12"/>
        <v>0</v>
      </c>
      <c r="Y27" s="178">
        <f t="shared" si="12"/>
        <v>0</v>
      </c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8"/>
      <c r="BU27" s="178"/>
      <c r="BV27" s="178"/>
      <c r="BW27" s="178"/>
      <c r="BX27" s="178"/>
      <c r="BY27" s="178"/>
      <c r="BZ27" s="178"/>
      <c r="CA27" s="178"/>
      <c r="CB27" s="178"/>
      <c r="CC27" s="178"/>
      <c r="CD27" s="178"/>
      <c r="CE27" s="178"/>
      <c r="CF27" s="178"/>
      <c r="CG27" s="178"/>
      <c r="CH27" s="178"/>
      <c r="CI27" s="178"/>
      <c r="CJ27" s="178"/>
      <c r="CK27" s="178"/>
      <c r="CL27" s="178"/>
      <c r="CM27" s="178"/>
      <c r="CN27" s="178"/>
      <c r="CO27" s="178"/>
      <c r="CP27" s="178"/>
      <c r="CQ27" s="178"/>
      <c r="CR27" s="178"/>
      <c r="CS27" s="178"/>
      <c r="CT27" s="178"/>
      <c r="CU27" s="178"/>
      <c r="CV27" s="178"/>
      <c r="CW27" s="178"/>
      <c r="CX27" s="178"/>
      <c r="CY27" s="178"/>
      <c r="CZ27" s="178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</row>
    <row r="28" spans="1:199">
      <c r="B28" s="182" t="s">
        <v>408</v>
      </c>
      <c r="F28" s="179">
        <v>282750</v>
      </c>
      <c r="G28" s="179">
        <f t="shared" ref="G28:M28" si="13">ROUND(G26-G27+G30,8)</f>
        <v>113479.90844563</v>
      </c>
      <c r="H28" s="179">
        <f t="shared" ref="H28:J28" si="14">ROUND(H26-H27+H30,8)</f>
        <v>47600.758790849999</v>
      </c>
      <c r="I28" s="179">
        <f t="shared" si="14"/>
        <v>0</v>
      </c>
      <c r="J28" s="179">
        <f t="shared" si="14"/>
        <v>0</v>
      </c>
      <c r="K28" s="179">
        <f t="shared" si="13"/>
        <v>0</v>
      </c>
      <c r="L28" s="179">
        <f t="shared" si="13"/>
        <v>0</v>
      </c>
      <c r="M28" s="179">
        <f t="shared" si="13"/>
        <v>0</v>
      </c>
      <c r="N28" s="179">
        <f>ROUND(N26-N27+N30,8)</f>
        <v>0</v>
      </c>
      <c r="O28" s="179">
        <f t="shared" ref="O28:S28" si="15">ROUND(O26-O27+O30,8)</f>
        <v>0</v>
      </c>
      <c r="P28" s="179">
        <f t="shared" si="15"/>
        <v>0</v>
      </c>
      <c r="Q28" s="179">
        <f t="shared" si="15"/>
        <v>0</v>
      </c>
      <c r="R28" s="179">
        <f t="shared" si="15"/>
        <v>0</v>
      </c>
      <c r="S28" s="179">
        <f t="shared" si="15"/>
        <v>0</v>
      </c>
      <c r="T28" s="179">
        <f>ROUND(T26-T27+T30,8)</f>
        <v>0</v>
      </c>
      <c r="U28" s="179">
        <f t="shared" ref="U28:Y28" si="16">ROUND(U26-U27+U30,8)</f>
        <v>0</v>
      </c>
      <c r="V28" s="179">
        <f t="shared" si="16"/>
        <v>0</v>
      </c>
      <c r="W28" s="179">
        <f t="shared" si="16"/>
        <v>0</v>
      </c>
      <c r="X28" s="179">
        <f t="shared" si="16"/>
        <v>0</v>
      </c>
      <c r="Y28" s="179">
        <f t="shared" si="16"/>
        <v>0</v>
      </c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79"/>
      <c r="AU28" s="179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79"/>
      <c r="BG28" s="179"/>
      <c r="BH28" s="179"/>
      <c r="BI28" s="179"/>
      <c r="BJ28" s="179"/>
      <c r="BK28" s="179"/>
      <c r="BL28" s="179"/>
      <c r="BM28" s="179"/>
      <c r="BN28" s="179"/>
      <c r="BO28" s="179"/>
      <c r="BP28" s="179"/>
      <c r="BQ28" s="179"/>
      <c r="BR28" s="179"/>
      <c r="BS28" s="179"/>
      <c r="BT28" s="179"/>
      <c r="BU28" s="179"/>
      <c r="BV28" s="179"/>
      <c r="BW28" s="179"/>
      <c r="BX28" s="179"/>
      <c r="BY28" s="179"/>
      <c r="BZ28" s="179"/>
      <c r="CA28" s="179"/>
      <c r="CB28" s="179"/>
      <c r="CC28" s="179"/>
      <c r="CD28" s="179"/>
      <c r="CE28" s="179"/>
      <c r="CF28" s="179"/>
      <c r="CG28" s="179"/>
      <c r="CH28" s="179"/>
      <c r="CI28" s="179"/>
      <c r="CJ28" s="179"/>
      <c r="CK28" s="179"/>
      <c r="CL28" s="179"/>
      <c r="CM28" s="179"/>
      <c r="CN28" s="179"/>
      <c r="CO28" s="179"/>
      <c r="CP28" s="179"/>
      <c r="CQ28" s="179"/>
      <c r="CR28" s="179"/>
      <c r="CS28" s="179"/>
      <c r="CT28" s="179"/>
      <c r="CU28" s="179"/>
      <c r="CV28" s="179"/>
      <c r="CW28" s="179"/>
      <c r="CX28" s="179"/>
      <c r="CY28" s="179"/>
      <c r="CZ28" s="179"/>
      <c r="DA28" s="179"/>
      <c r="DB28" s="179"/>
      <c r="DC28" s="179"/>
      <c r="DD28" s="179"/>
      <c r="DE28" s="179"/>
      <c r="DF28" s="179"/>
      <c r="DG28" s="179"/>
      <c r="DH28" s="179"/>
      <c r="DI28" s="179"/>
      <c r="DJ28" s="179"/>
    </row>
    <row r="30" spans="1:199">
      <c r="B30" s="222" t="s">
        <v>469</v>
      </c>
      <c r="C30" s="223"/>
      <c r="D30" s="223"/>
      <c r="E30" s="224"/>
      <c r="F30" s="298">
        <v>0</v>
      </c>
      <c r="G30" s="440">
        <f>-2%*G21</f>
        <v>0</v>
      </c>
      <c r="H30" s="440">
        <f>G30+H31</f>
        <v>0</v>
      </c>
      <c r="I30" s="440">
        <f t="shared" ref="I30:X30" si="17">H30+I31</f>
        <v>0</v>
      </c>
      <c r="J30" s="440">
        <f t="shared" si="17"/>
        <v>0</v>
      </c>
      <c r="K30" s="440">
        <f t="shared" si="17"/>
        <v>0</v>
      </c>
      <c r="L30" s="440">
        <f t="shared" si="17"/>
        <v>0</v>
      </c>
      <c r="M30" s="440">
        <f t="shared" si="17"/>
        <v>0</v>
      </c>
      <c r="N30" s="440">
        <f t="shared" si="17"/>
        <v>0</v>
      </c>
      <c r="O30" s="440">
        <f t="shared" si="17"/>
        <v>0</v>
      </c>
      <c r="P30" s="440">
        <f t="shared" si="17"/>
        <v>0</v>
      </c>
      <c r="Q30" s="440">
        <f t="shared" si="17"/>
        <v>0</v>
      </c>
      <c r="R30" s="440">
        <f t="shared" si="17"/>
        <v>0</v>
      </c>
      <c r="S30" s="440">
        <f t="shared" si="17"/>
        <v>0</v>
      </c>
      <c r="T30" s="440">
        <f t="shared" si="17"/>
        <v>0</v>
      </c>
      <c r="U30" s="440">
        <f t="shared" si="17"/>
        <v>0</v>
      </c>
      <c r="V30" s="440">
        <f t="shared" si="17"/>
        <v>0</v>
      </c>
      <c r="W30" s="440">
        <f t="shared" si="17"/>
        <v>0</v>
      </c>
      <c r="X30" s="440">
        <f t="shared" si="17"/>
        <v>0</v>
      </c>
      <c r="Y30" s="440">
        <v>0</v>
      </c>
      <c r="Z30" s="440"/>
      <c r="AA30" s="298"/>
      <c r="AB30" s="298"/>
      <c r="AC30" s="298"/>
      <c r="AD30" s="298"/>
      <c r="AE30" s="298"/>
      <c r="AF30" s="298"/>
      <c r="AG30" s="298"/>
      <c r="AH30" s="298"/>
      <c r="AI30" s="298"/>
      <c r="AJ30" s="298"/>
      <c r="AK30" s="298"/>
      <c r="AL30" s="298"/>
      <c r="AM30" s="298"/>
      <c r="AN30" s="298"/>
      <c r="AO30" s="298"/>
      <c r="AP30" s="298"/>
      <c r="AQ30" s="298"/>
      <c r="AR30" s="298"/>
      <c r="AS30" s="298"/>
      <c r="AT30" s="298"/>
      <c r="AU30" s="298"/>
      <c r="AV30" s="298"/>
      <c r="AW30" s="298"/>
      <c r="AX30" s="298"/>
      <c r="AY30" s="298"/>
      <c r="AZ30" s="298"/>
      <c r="BA30" s="298"/>
      <c r="BB30" s="298"/>
      <c r="BC30" s="298"/>
      <c r="BD30" s="298"/>
      <c r="BE30" s="298"/>
      <c r="BF30" s="298"/>
      <c r="BG30" s="298"/>
      <c r="BH30" s="298"/>
      <c r="BI30" s="298"/>
      <c r="BJ30" s="298"/>
      <c r="BK30" s="298"/>
      <c r="BL30" s="298"/>
      <c r="BM30" s="298"/>
      <c r="BN30" s="298"/>
      <c r="BO30" s="298"/>
      <c r="BP30" s="298"/>
      <c r="BQ30" s="298"/>
      <c r="BR30" s="298"/>
      <c r="BS30" s="298"/>
      <c r="BT30" s="298"/>
      <c r="BU30" s="298"/>
      <c r="BV30" s="298"/>
      <c r="BW30" s="298"/>
      <c r="BX30" s="298"/>
      <c r="BY30" s="298"/>
      <c r="BZ30" s="298"/>
      <c r="CA30" s="298"/>
      <c r="CB30" s="298"/>
      <c r="CC30" s="298"/>
      <c r="CD30" s="298"/>
      <c r="CE30" s="298"/>
      <c r="CF30" s="298"/>
      <c r="CG30" s="298"/>
      <c r="CH30" s="298"/>
      <c r="CI30" s="298"/>
      <c r="CJ30" s="298"/>
      <c r="CK30" s="298"/>
      <c r="CL30" s="298"/>
      <c r="CM30" s="298"/>
      <c r="CN30" s="298"/>
      <c r="CO30" s="298"/>
      <c r="CP30" s="298"/>
      <c r="CQ30" s="298"/>
      <c r="CR30" s="298"/>
      <c r="CS30" s="298"/>
      <c r="CT30" s="298"/>
      <c r="CU30" s="298"/>
      <c r="CV30" s="298"/>
      <c r="CW30" s="298"/>
      <c r="CX30" s="298"/>
      <c r="CY30" s="298"/>
      <c r="CZ30" s="298"/>
      <c r="DA30" s="298"/>
      <c r="DB30" s="298"/>
      <c r="DC30" s="298"/>
      <c r="DD30" s="298"/>
      <c r="DE30" s="298"/>
      <c r="DF30" s="298"/>
      <c r="DG30" s="298"/>
      <c r="DH30" s="298"/>
      <c r="DI30" s="298"/>
      <c r="DJ30" s="298"/>
      <c r="DK30" s="162"/>
      <c r="DL30" s="162"/>
      <c r="DM30" s="162"/>
      <c r="DN30" s="162"/>
      <c r="DO30" s="162"/>
      <c r="DP30" s="162"/>
      <c r="DQ30" s="162"/>
      <c r="DR30" s="162"/>
      <c r="DS30" s="162"/>
      <c r="DT30" s="162"/>
      <c r="DU30" s="162"/>
      <c r="DV30" s="162"/>
      <c r="DW30" s="162"/>
      <c r="DX30" s="162"/>
      <c r="DY30" s="162"/>
      <c r="DZ30" s="162"/>
      <c r="EA30" s="162"/>
      <c r="EB30" s="162"/>
      <c r="EC30" s="162"/>
      <c r="ED30" s="162"/>
      <c r="EE30" s="162"/>
      <c r="EF30" s="162"/>
      <c r="EG30" s="162"/>
      <c r="EH30" s="162"/>
      <c r="EI30" s="162"/>
      <c r="EJ30" s="162"/>
      <c r="EK30" s="162"/>
      <c r="EL30" s="162"/>
      <c r="EM30" s="162"/>
      <c r="EN30" s="162"/>
      <c r="EO30" s="162"/>
      <c r="EP30" s="162"/>
      <c r="EQ30" s="162"/>
      <c r="ER30" s="162"/>
      <c r="ES30" s="162"/>
      <c r="ET30" s="162"/>
      <c r="EU30" s="162"/>
      <c r="EV30" s="162"/>
      <c r="EW30" s="162"/>
      <c r="EX30" s="162"/>
      <c r="EY30" s="162"/>
      <c r="EZ30" s="162"/>
      <c r="FA30" s="162"/>
      <c r="FB30" s="162"/>
      <c r="FC30" s="162"/>
      <c r="FD30" s="162"/>
      <c r="FE30" s="162"/>
      <c r="FF30" s="162"/>
      <c r="FG30" s="162"/>
      <c r="FH30" s="162"/>
      <c r="FI30" s="162"/>
      <c r="FJ30" s="162"/>
      <c r="FK30" s="162"/>
      <c r="FL30" s="162"/>
      <c r="FM30" s="162"/>
      <c r="FN30" s="162"/>
      <c r="FO30" s="162"/>
      <c r="FP30" s="162"/>
      <c r="FQ30" s="162"/>
      <c r="FR30" s="162"/>
      <c r="FS30" s="162"/>
      <c r="FT30" s="162"/>
      <c r="FU30" s="162"/>
      <c r="FV30" s="162"/>
      <c r="FW30" s="162"/>
      <c r="FX30" s="162"/>
      <c r="FY30" s="162"/>
      <c r="FZ30" s="162"/>
      <c r="GA30" s="162"/>
      <c r="GB30" s="162"/>
      <c r="GC30" s="162"/>
      <c r="GD30" s="162"/>
      <c r="GE30" s="162"/>
      <c r="GF30" s="162"/>
      <c r="GG30" s="162"/>
      <c r="GH30" s="162"/>
      <c r="GI30" s="162"/>
      <c r="GJ30" s="162"/>
      <c r="GK30" s="162"/>
      <c r="GL30" s="162"/>
      <c r="GM30" s="162"/>
      <c r="GN30" s="162"/>
      <c r="GO30" s="162"/>
      <c r="GP30" s="162"/>
      <c r="GQ30" s="162"/>
    </row>
    <row r="31" spans="1:199">
      <c r="B31" s="218"/>
      <c r="C31" s="164"/>
      <c r="D31" s="225"/>
      <c r="E31" s="225"/>
      <c r="F31" s="297"/>
      <c r="G31" s="297">
        <f>-F30/20</f>
        <v>0</v>
      </c>
      <c r="H31" s="441">
        <f>-G30/18</f>
        <v>0</v>
      </c>
      <c r="I31" s="441">
        <f>H31</f>
        <v>0</v>
      </c>
      <c r="J31" s="441">
        <f t="shared" ref="J31:R31" si="18">I31</f>
        <v>0</v>
      </c>
      <c r="K31" s="441">
        <f t="shared" si="18"/>
        <v>0</v>
      </c>
      <c r="L31" s="441">
        <f t="shared" si="18"/>
        <v>0</v>
      </c>
      <c r="M31" s="441">
        <f t="shared" si="18"/>
        <v>0</v>
      </c>
      <c r="N31" s="441">
        <f t="shared" si="18"/>
        <v>0</v>
      </c>
      <c r="O31" s="441">
        <f t="shared" si="18"/>
        <v>0</v>
      </c>
      <c r="P31" s="441">
        <f t="shared" si="18"/>
        <v>0</v>
      </c>
      <c r="Q31" s="441">
        <f t="shared" si="18"/>
        <v>0</v>
      </c>
      <c r="R31" s="441">
        <f t="shared" si="18"/>
        <v>0</v>
      </c>
      <c r="S31" s="441">
        <f>R31</f>
        <v>0</v>
      </c>
      <c r="T31" s="441">
        <f t="shared" ref="T31:Y31" si="19">S31</f>
        <v>0</v>
      </c>
      <c r="U31" s="441">
        <f t="shared" si="19"/>
        <v>0</v>
      </c>
      <c r="V31" s="441">
        <f t="shared" si="19"/>
        <v>0</v>
      </c>
      <c r="W31" s="441">
        <f t="shared" si="19"/>
        <v>0</v>
      </c>
      <c r="X31" s="441">
        <f t="shared" si="19"/>
        <v>0</v>
      </c>
      <c r="Y31" s="441">
        <f t="shared" si="19"/>
        <v>0</v>
      </c>
      <c r="Z31" s="441"/>
      <c r="AA31" s="297"/>
      <c r="AB31" s="297"/>
      <c r="AC31" s="297"/>
      <c r="AD31" s="297"/>
      <c r="AE31" s="297"/>
      <c r="AF31" s="297"/>
      <c r="AG31" s="297"/>
      <c r="AH31" s="297"/>
      <c r="AI31" s="297"/>
      <c r="AJ31" s="297"/>
      <c r="AK31" s="297"/>
      <c r="AL31" s="297"/>
      <c r="AM31" s="297"/>
      <c r="AN31" s="297"/>
      <c r="AO31" s="297"/>
      <c r="AP31" s="297"/>
      <c r="AQ31" s="297"/>
      <c r="AR31" s="297"/>
      <c r="AS31" s="297"/>
      <c r="AT31" s="297"/>
      <c r="AU31" s="297"/>
      <c r="AV31" s="297"/>
      <c r="AW31" s="297"/>
      <c r="AX31" s="297"/>
      <c r="AY31" s="297"/>
      <c r="AZ31" s="297"/>
      <c r="BA31" s="297"/>
      <c r="BB31" s="297"/>
      <c r="BC31" s="297"/>
      <c r="BD31" s="297"/>
      <c r="BE31" s="297"/>
      <c r="BF31" s="297"/>
      <c r="BG31" s="297"/>
      <c r="BH31" s="297"/>
      <c r="BI31" s="297"/>
      <c r="BJ31" s="297"/>
      <c r="BK31" s="297"/>
      <c r="BL31" s="297"/>
      <c r="BM31" s="297"/>
      <c r="BN31" s="297"/>
      <c r="BO31" s="297"/>
      <c r="BP31" s="297"/>
      <c r="BQ31" s="297"/>
      <c r="BR31" s="297"/>
      <c r="BS31" s="297"/>
      <c r="BT31" s="297"/>
      <c r="BU31" s="297"/>
      <c r="BV31" s="297"/>
      <c r="BW31" s="297"/>
      <c r="BX31" s="297"/>
      <c r="BY31" s="297"/>
      <c r="BZ31" s="297"/>
      <c r="CA31" s="297"/>
      <c r="CB31" s="297"/>
      <c r="CC31" s="297"/>
      <c r="CD31" s="297"/>
      <c r="CE31" s="297"/>
      <c r="CF31" s="297"/>
      <c r="CG31" s="297"/>
      <c r="CH31" s="297"/>
      <c r="CI31" s="297"/>
      <c r="CJ31" s="297"/>
      <c r="CK31" s="297"/>
      <c r="CL31" s="297"/>
      <c r="CM31" s="297"/>
      <c r="CN31" s="297"/>
      <c r="CO31" s="297"/>
      <c r="CP31" s="297"/>
      <c r="CQ31" s="297"/>
      <c r="CR31" s="297"/>
      <c r="CS31" s="297"/>
      <c r="CT31" s="297"/>
      <c r="CU31" s="297"/>
      <c r="CV31" s="297"/>
      <c r="CW31" s="297"/>
      <c r="CX31" s="297"/>
      <c r="CY31" s="297"/>
      <c r="CZ31" s="297"/>
      <c r="DA31" s="297"/>
      <c r="DB31" s="297"/>
      <c r="DC31" s="297"/>
      <c r="DD31" s="297"/>
      <c r="DE31" s="297"/>
      <c r="DF31" s="297"/>
      <c r="DG31" s="297"/>
      <c r="DH31" s="297"/>
      <c r="DI31" s="297"/>
      <c r="DJ31" s="297"/>
      <c r="DK31" s="178"/>
      <c r="DL31" s="178"/>
      <c r="DM31" s="178"/>
      <c r="DN31" s="178"/>
      <c r="DO31" s="178"/>
      <c r="DP31" s="178"/>
      <c r="DQ31" s="178"/>
      <c r="DR31" s="178"/>
      <c r="DS31" s="178"/>
      <c r="DT31" s="178"/>
      <c r="DU31" s="178"/>
      <c r="DV31" s="178"/>
      <c r="DW31" s="178"/>
      <c r="DX31" s="178"/>
      <c r="DY31" s="178"/>
      <c r="DZ31" s="178"/>
      <c r="EA31" s="178"/>
      <c r="EB31" s="178"/>
      <c r="EC31" s="178"/>
      <c r="ED31" s="178"/>
      <c r="EE31" s="178"/>
      <c r="EF31" s="178"/>
      <c r="EG31" s="178"/>
      <c r="EH31" s="178"/>
      <c r="EI31" s="178"/>
      <c r="EJ31" s="178"/>
      <c r="EK31" s="178"/>
      <c r="EL31" s="178"/>
      <c r="EM31" s="178"/>
      <c r="EN31" s="178"/>
      <c r="EO31" s="178"/>
      <c r="EP31" s="178"/>
      <c r="EQ31" s="178"/>
      <c r="ER31" s="178"/>
      <c r="ES31" s="178"/>
      <c r="ET31" s="178"/>
      <c r="EU31" s="178"/>
      <c r="EV31" s="178"/>
      <c r="EW31" s="178"/>
      <c r="EX31" s="178"/>
      <c r="EY31" s="178"/>
      <c r="EZ31" s="178"/>
      <c r="FA31" s="178"/>
      <c r="FB31" s="178"/>
      <c r="FC31" s="178"/>
      <c r="FD31" s="178"/>
      <c r="FE31" s="178"/>
      <c r="FF31" s="178"/>
      <c r="FG31" s="178"/>
      <c r="FH31" s="178"/>
      <c r="FI31" s="178"/>
      <c r="FJ31" s="178"/>
      <c r="FK31" s="178"/>
      <c r="FL31" s="178"/>
      <c r="FM31" s="178"/>
      <c r="FN31" s="178"/>
      <c r="FO31" s="178"/>
      <c r="FP31" s="178"/>
      <c r="FQ31" s="178"/>
      <c r="FR31" s="178"/>
      <c r="FS31" s="178"/>
      <c r="FT31" s="178"/>
      <c r="FU31" s="178"/>
      <c r="FV31" s="178"/>
      <c r="FW31" s="178"/>
      <c r="FX31" s="178"/>
      <c r="FY31" s="178"/>
      <c r="FZ31" s="178"/>
      <c r="GA31" s="178"/>
      <c r="GB31" s="178"/>
      <c r="GC31" s="178"/>
      <c r="GD31" s="178"/>
      <c r="GE31" s="178"/>
      <c r="GF31" s="178"/>
      <c r="GG31" s="178"/>
      <c r="GH31" s="178"/>
      <c r="GI31" s="178"/>
      <c r="GJ31" s="178"/>
      <c r="GK31" s="178"/>
      <c r="GL31" s="178"/>
      <c r="GM31" s="178"/>
      <c r="GN31" s="178"/>
      <c r="GO31" s="178"/>
      <c r="GP31" s="178"/>
      <c r="GQ31" s="178"/>
    </row>
    <row r="32" spans="1:199">
      <c r="B32" s="371" t="s">
        <v>628</v>
      </c>
      <c r="C32" s="352"/>
      <c r="D32" s="368"/>
      <c r="E32" s="368"/>
      <c r="F32" s="368"/>
      <c r="G32" s="361"/>
      <c r="H32" s="361"/>
      <c r="I32" s="361"/>
      <c r="J32" s="392"/>
      <c r="K32" s="352"/>
      <c r="L32" s="441"/>
      <c r="M32" s="441"/>
      <c r="N32" s="441"/>
      <c r="O32" s="441"/>
      <c r="P32" s="441"/>
      <c r="Q32" s="441"/>
      <c r="R32" s="441"/>
      <c r="S32" s="441"/>
      <c r="T32" s="441"/>
      <c r="U32" s="441"/>
      <c r="V32" s="441"/>
      <c r="W32" s="441"/>
      <c r="X32" s="441"/>
      <c r="Y32" s="441"/>
      <c r="Z32" s="441"/>
      <c r="AA32" s="297"/>
      <c r="AB32" s="297"/>
      <c r="AC32" s="297"/>
      <c r="AD32" s="297"/>
      <c r="AE32" s="297"/>
      <c r="AF32" s="297"/>
      <c r="AG32" s="297"/>
      <c r="AH32" s="297"/>
      <c r="AI32" s="297"/>
      <c r="AJ32" s="297"/>
      <c r="AK32" s="297"/>
      <c r="AL32" s="297"/>
      <c r="AM32" s="297"/>
      <c r="AN32" s="297"/>
      <c r="AO32" s="297"/>
      <c r="AP32" s="297"/>
      <c r="AQ32" s="297"/>
      <c r="AR32" s="297"/>
      <c r="AS32" s="297"/>
      <c r="AT32" s="297"/>
      <c r="AU32" s="297"/>
      <c r="AV32" s="297"/>
      <c r="AW32" s="297"/>
      <c r="AX32" s="297"/>
      <c r="AY32" s="297"/>
      <c r="AZ32" s="297"/>
      <c r="BA32" s="297"/>
      <c r="BB32" s="297"/>
      <c r="BC32" s="297"/>
      <c r="BD32" s="297"/>
      <c r="BE32" s="297"/>
      <c r="BF32" s="297"/>
      <c r="BG32" s="297"/>
      <c r="BH32" s="297"/>
      <c r="BI32" s="297"/>
      <c r="BJ32" s="297"/>
      <c r="BK32" s="297"/>
      <c r="BL32" s="297"/>
      <c r="BM32" s="297"/>
      <c r="BN32" s="297"/>
      <c r="BO32" s="297"/>
      <c r="BP32" s="297"/>
      <c r="BQ32" s="297"/>
      <c r="BR32" s="297"/>
      <c r="BS32" s="297"/>
      <c r="BT32" s="297"/>
      <c r="BU32" s="297"/>
      <c r="BV32" s="297"/>
      <c r="BW32" s="297"/>
      <c r="BX32" s="297"/>
      <c r="BY32" s="297"/>
      <c r="BZ32" s="297"/>
      <c r="CA32" s="297"/>
      <c r="CB32" s="297"/>
      <c r="CC32" s="297"/>
      <c r="CD32" s="297"/>
      <c r="CE32" s="297"/>
      <c r="CF32" s="297"/>
      <c r="CG32" s="297"/>
      <c r="CH32" s="297"/>
      <c r="CI32" s="297"/>
      <c r="CJ32" s="297"/>
      <c r="CK32" s="297"/>
      <c r="CL32" s="297"/>
      <c r="CM32" s="297"/>
      <c r="CN32" s="297"/>
      <c r="CO32" s="297"/>
      <c r="CP32" s="297"/>
      <c r="CQ32" s="297"/>
      <c r="CR32" s="297"/>
      <c r="CS32" s="297"/>
      <c r="CT32" s="297"/>
      <c r="CU32" s="297"/>
      <c r="CV32" s="297"/>
      <c r="CW32" s="297"/>
      <c r="CX32" s="297"/>
      <c r="CY32" s="297"/>
      <c r="CZ32" s="297"/>
      <c r="DA32" s="297"/>
      <c r="DB32" s="297"/>
      <c r="DC32" s="297"/>
      <c r="DD32" s="297"/>
      <c r="DE32" s="297"/>
      <c r="DF32" s="297"/>
      <c r="DG32" s="297"/>
      <c r="DH32" s="297"/>
      <c r="DI32" s="297"/>
      <c r="DJ32" s="297"/>
      <c r="DK32" s="178"/>
      <c r="DL32" s="178"/>
      <c r="DM32" s="178"/>
      <c r="DN32" s="178"/>
      <c r="DO32" s="178"/>
      <c r="DP32" s="178"/>
      <c r="DQ32" s="178"/>
      <c r="DR32" s="178"/>
      <c r="DS32" s="178"/>
      <c r="DT32" s="178"/>
      <c r="DU32" s="178"/>
      <c r="DV32" s="178"/>
      <c r="DW32" s="178"/>
      <c r="DX32" s="178"/>
      <c r="DY32" s="178"/>
      <c r="DZ32" s="178"/>
      <c r="EA32" s="178"/>
      <c r="EB32" s="178"/>
      <c r="EC32" s="178"/>
      <c r="ED32" s="178"/>
      <c r="EE32" s="178"/>
      <c r="EF32" s="178"/>
      <c r="EG32" s="178"/>
      <c r="EH32" s="178"/>
      <c r="EI32" s="178"/>
      <c r="EJ32" s="178"/>
      <c r="EK32" s="178"/>
      <c r="EL32" s="178"/>
      <c r="EM32" s="178"/>
      <c r="EN32" s="178"/>
      <c r="EO32" s="178"/>
      <c r="EP32" s="178"/>
      <c r="EQ32" s="178"/>
      <c r="ER32" s="178"/>
      <c r="ES32" s="178"/>
      <c r="ET32" s="178"/>
      <c r="EU32" s="178"/>
      <c r="EV32" s="178"/>
      <c r="EW32" s="178"/>
      <c r="EX32" s="178"/>
      <c r="EY32" s="178"/>
      <c r="EZ32" s="178"/>
      <c r="FA32" s="178"/>
      <c r="FB32" s="178"/>
      <c r="FC32" s="178"/>
      <c r="FD32" s="178"/>
      <c r="FE32" s="178"/>
      <c r="FF32" s="178"/>
      <c r="FG32" s="178"/>
      <c r="FH32" s="178"/>
      <c r="FI32" s="178"/>
      <c r="FJ32" s="178"/>
      <c r="FK32" s="178"/>
      <c r="FL32" s="178"/>
      <c r="FM32" s="178"/>
      <c r="FN32" s="178"/>
      <c r="FO32" s="178"/>
      <c r="FP32" s="178"/>
      <c r="FQ32" s="178"/>
      <c r="FR32" s="178"/>
      <c r="FS32" s="178"/>
      <c r="FT32" s="178"/>
      <c r="FU32" s="178"/>
      <c r="FV32" s="178"/>
      <c r="FW32" s="178"/>
      <c r="FX32" s="178"/>
      <c r="FY32" s="178"/>
      <c r="FZ32" s="178"/>
      <c r="GA32" s="178"/>
      <c r="GB32" s="178"/>
      <c r="GC32" s="178"/>
      <c r="GD32" s="178"/>
      <c r="GE32" s="178"/>
      <c r="GF32" s="178"/>
      <c r="GG32" s="178"/>
      <c r="GH32" s="178"/>
      <c r="GI32" s="178"/>
      <c r="GJ32" s="178"/>
      <c r="GK32" s="178"/>
      <c r="GL32" s="178"/>
      <c r="GM32" s="178"/>
      <c r="GN32" s="178"/>
      <c r="GO32" s="178"/>
      <c r="GP32" s="178"/>
      <c r="GQ32" s="178"/>
    </row>
    <row r="33" spans="2:199">
      <c r="B33" s="715" t="s">
        <v>470</v>
      </c>
      <c r="C33" s="715"/>
      <c r="D33" s="716"/>
      <c r="E33" s="716"/>
      <c r="F33" s="716"/>
      <c r="G33" s="717">
        <f>PROJ_AGCeAGPar!I211</f>
        <v>0</v>
      </c>
      <c r="H33" s="717">
        <f>PROJ_AGCeAGPar!J211</f>
        <v>0</v>
      </c>
      <c r="I33" s="717">
        <f>PROJ_AGCeAGPar!K211</f>
        <v>0</v>
      </c>
      <c r="J33" s="717">
        <f>PROJ_AGCeAGPar!L211</f>
        <v>0</v>
      </c>
      <c r="K33" s="717">
        <f>PROJ_AGCeAGPar!M211</f>
        <v>0</v>
      </c>
      <c r="L33" s="717">
        <f>PROJ_AGCeAGPar!N211</f>
        <v>0</v>
      </c>
      <c r="M33" s="717">
        <f>PROJ_AGCeAGPar!O211</f>
        <v>0</v>
      </c>
      <c r="N33" s="717">
        <f>PROJ_AGCeAGPar!P211</f>
        <v>0</v>
      </c>
      <c r="O33" s="717">
        <f>PROJ_AGCeAGPar!Q211</f>
        <v>0</v>
      </c>
      <c r="P33" s="717">
        <f>PROJ_AGCeAGPar!R211</f>
        <v>0</v>
      </c>
      <c r="Q33" s="717">
        <f>PROJ_AGCeAGPar!S211</f>
        <v>0</v>
      </c>
      <c r="R33" s="717">
        <f>PROJ_AGCeAGPar!T211</f>
        <v>0</v>
      </c>
      <c r="S33" s="717">
        <f>PROJ_AGCeAGPar!U211</f>
        <v>0</v>
      </c>
      <c r="T33" s="717">
        <f>PROJ_AGCeAGPar!V211</f>
        <v>0</v>
      </c>
      <c r="U33" s="717">
        <f>PROJ_AGCeAGPar!W211</f>
        <v>0</v>
      </c>
      <c r="V33" s="717">
        <f>PROJ_AGCeAGPar!X211</f>
        <v>0</v>
      </c>
      <c r="W33" s="717">
        <f>PROJ_AGCeAGPar!Y211</f>
        <v>0</v>
      </c>
      <c r="X33" s="717">
        <f>PROJ_AGCeAGPar!Z211</f>
        <v>0</v>
      </c>
      <c r="Y33" s="717">
        <f>PROJ_AGCeAGPar!AA211</f>
        <v>0</v>
      </c>
      <c r="Z33" s="441"/>
      <c r="AA33" s="297"/>
      <c r="AB33" s="297"/>
      <c r="AC33" s="297"/>
      <c r="AD33" s="297"/>
      <c r="AE33" s="297"/>
      <c r="AF33" s="297"/>
      <c r="AG33" s="297"/>
      <c r="AH33" s="297"/>
      <c r="AI33" s="297"/>
      <c r="AJ33" s="297"/>
      <c r="AK33" s="297"/>
      <c r="AL33" s="297"/>
      <c r="AM33" s="297"/>
      <c r="AN33" s="297"/>
      <c r="AO33" s="297"/>
      <c r="AP33" s="297"/>
      <c r="AQ33" s="297"/>
      <c r="AR33" s="297"/>
      <c r="AS33" s="297"/>
      <c r="AT33" s="297"/>
      <c r="AU33" s="297"/>
      <c r="AV33" s="297"/>
      <c r="AW33" s="297"/>
      <c r="AX33" s="297"/>
      <c r="AY33" s="297"/>
      <c r="AZ33" s="297"/>
      <c r="BA33" s="297"/>
      <c r="BB33" s="297"/>
      <c r="BC33" s="297"/>
      <c r="BD33" s="297"/>
      <c r="BE33" s="297"/>
      <c r="BF33" s="297"/>
      <c r="BG33" s="297"/>
      <c r="BH33" s="297"/>
      <c r="BI33" s="297"/>
      <c r="BJ33" s="297"/>
      <c r="BK33" s="297"/>
      <c r="BL33" s="297"/>
      <c r="BM33" s="297"/>
      <c r="BN33" s="297"/>
      <c r="BO33" s="297"/>
      <c r="BP33" s="297"/>
      <c r="BQ33" s="297"/>
      <c r="BR33" s="297"/>
      <c r="BS33" s="297"/>
      <c r="BT33" s="297"/>
      <c r="BU33" s="297"/>
      <c r="BV33" s="297"/>
      <c r="BW33" s="297"/>
      <c r="BX33" s="297"/>
      <c r="BY33" s="297"/>
      <c r="BZ33" s="297"/>
      <c r="CA33" s="297"/>
      <c r="CB33" s="297"/>
      <c r="CC33" s="297"/>
      <c r="CD33" s="297"/>
      <c r="CE33" s="297"/>
      <c r="CF33" s="297"/>
      <c r="CG33" s="297"/>
      <c r="CH33" s="297"/>
      <c r="CI33" s="297"/>
      <c r="CJ33" s="297"/>
      <c r="CK33" s="297"/>
      <c r="CL33" s="297"/>
      <c r="CM33" s="297"/>
      <c r="CN33" s="297"/>
      <c r="CO33" s="297"/>
      <c r="CP33" s="297"/>
      <c r="CQ33" s="297"/>
      <c r="CR33" s="297"/>
      <c r="CS33" s="297"/>
      <c r="CT33" s="297"/>
      <c r="CU33" s="297"/>
      <c r="CV33" s="297"/>
      <c r="CW33" s="297"/>
      <c r="CX33" s="297"/>
      <c r="CY33" s="297"/>
      <c r="CZ33" s="297"/>
      <c r="DA33" s="297"/>
      <c r="DB33" s="297"/>
      <c r="DC33" s="297"/>
      <c r="DD33" s="297"/>
      <c r="DE33" s="297"/>
      <c r="DF33" s="297"/>
      <c r="DG33" s="297"/>
      <c r="DH33" s="297"/>
      <c r="DI33" s="297"/>
      <c r="DJ33" s="297"/>
      <c r="DK33" s="178"/>
      <c r="DL33" s="178"/>
      <c r="DM33" s="178"/>
      <c r="DN33" s="178"/>
      <c r="DO33" s="178"/>
      <c r="DP33" s="178"/>
      <c r="DQ33" s="178"/>
      <c r="DR33" s="178"/>
      <c r="DS33" s="178"/>
      <c r="DT33" s="178"/>
      <c r="DU33" s="178"/>
      <c r="DV33" s="178"/>
      <c r="DW33" s="178"/>
      <c r="DX33" s="178"/>
      <c r="DY33" s="178"/>
      <c r="DZ33" s="178"/>
      <c r="EA33" s="178"/>
      <c r="EB33" s="178"/>
      <c r="EC33" s="178"/>
      <c r="ED33" s="178"/>
      <c r="EE33" s="178"/>
      <c r="EF33" s="178"/>
      <c r="EG33" s="178"/>
      <c r="EH33" s="178"/>
      <c r="EI33" s="178"/>
      <c r="EJ33" s="178"/>
      <c r="EK33" s="178"/>
      <c r="EL33" s="178"/>
      <c r="EM33" s="178"/>
      <c r="EN33" s="178"/>
      <c r="EO33" s="178"/>
      <c r="EP33" s="178"/>
      <c r="EQ33" s="178"/>
      <c r="ER33" s="178"/>
      <c r="ES33" s="178"/>
      <c r="ET33" s="178"/>
      <c r="EU33" s="178"/>
      <c r="EV33" s="178"/>
      <c r="EW33" s="178"/>
      <c r="EX33" s="178"/>
      <c r="EY33" s="178"/>
      <c r="EZ33" s="178"/>
      <c r="FA33" s="178"/>
      <c r="FB33" s="178"/>
      <c r="FC33" s="178"/>
      <c r="FD33" s="178"/>
      <c r="FE33" s="178"/>
      <c r="FF33" s="178"/>
      <c r="FG33" s="178"/>
      <c r="FH33" s="178"/>
      <c r="FI33" s="178"/>
      <c r="FJ33" s="178"/>
      <c r="FK33" s="178"/>
      <c r="FL33" s="178"/>
      <c r="FM33" s="178"/>
      <c r="FN33" s="178"/>
      <c r="FO33" s="178"/>
      <c r="FP33" s="178"/>
      <c r="FQ33" s="178"/>
      <c r="FR33" s="178"/>
      <c r="FS33" s="178"/>
      <c r="FT33" s="178"/>
      <c r="FU33" s="178"/>
      <c r="FV33" s="178"/>
      <c r="FW33" s="178"/>
      <c r="FX33" s="178"/>
      <c r="FY33" s="178"/>
      <c r="FZ33" s="178"/>
      <c r="GA33" s="178"/>
      <c r="GB33" s="178"/>
      <c r="GC33" s="178"/>
      <c r="GD33" s="178"/>
      <c r="GE33" s="178"/>
      <c r="GF33" s="178"/>
      <c r="GG33" s="178"/>
      <c r="GH33" s="178"/>
      <c r="GI33" s="178"/>
      <c r="GJ33" s="178"/>
      <c r="GK33" s="178"/>
      <c r="GL33" s="178"/>
      <c r="GM33" s="178"/>
      <c r="GN33" s="178"/>
      <c r="GO33" s="178"/>
      <c r="GP33" s="178"/>
      <c r="GQ33" s="178"/>
    </row>
    <row r="34" spans="2:199">
      <c r="B34" s="352" t="s">
        <v>686</v>
      </c>
      <c r="C34" s="352"/>
      <c r="D34" s="368"/>
      <c r="E34" s="368"/>
      <c r="F34" s="368"/>
      <c r="G34" s="800">
        <f>MAX(0,G38-G33)</f>
        <v>0</v>
      </c>
      <c r="H34" s="800">
        <f t="shared" ref="H34:Y34" si="20">MAX(0,H38-H33)</f>
        <v>0</v>
      </c>
      <c r="I34" s="800">
        <f t="shared" si="20"/>
        <v>0</v>
      </c>
      <c r="J34" s="800">
        <f t="shared" si="20"/>
        <v>0</v>
      </c>
      <c r="K34" s="800">
        <f t="shared" si="20"/>
        <v>0</v>
      </c>
      <c r="L34" s="800">
        <f t="shared" si="20"/>
        <v>0</v>
      </c>
      <c r="M34" s="800">
        <f t="shared" si="20"/>
        <v>0</v>
      </c>
      <c r="N34" s="800">
        <f t="shared" si="20"/>
        <v>0</v>
      </c>
      <c r="O34" s="800">
        <f t="shared" si="20"/>
        <v>0</v>
      </c>
      <c r="P34" s="800">
        <f t="shared" si="20"/>
        <v>0</v>
      </c>
      <c r="Q34" s="800">
        <f t="shared" si="20"/>
        <v>0</v>
      </c>
      <c r="R34" s="800">
        <f t="shared" si="20"/>
        <v>0</v>
      </c>
      <c r="S34" s="800">
        <f t="shared" si="20"/>
        <v>0</v>
      </c>
      <c r="T34" s="800">
        <f t="shared" si="20"/>
        <v>0</v>
      </c>
      <c r="U34" s="800">
        <f t="shared" si="20"/>
        <v>0</v>
      </c>
      <c r="V34" s="800">
        <f t="shared" si="20"/>
        <v>0</v>
      </c>
      <c r="W34" s="800">
        <f t="shared" si="20"/>
        <v>0</v>
      </c>
      <c r="X34" s="800">
        <f t="shared" si="20"/>
        <v>0</v>
      </c>
      <c r="Y34" s="800">
        <f t="shared" si="20"/>
        <v>0</v>
      </c>
      <c r="Z34" s="441"/>
      <c r="AA34" s="297"/>
      <c r="AB34" s="297"/>
      <c r="AC34" s="297"/>
      <c r="AD34" s="297"/>
      <c r="AE34" s="297"/>
      <c r="AF34" s="297"/>
      <c r="AG34" s="297"/>
      <c r="AH34" s="297"/>
      <c r="AI34" s="297"/>
      <c r="AJ34" s="297"/>
      <c r="AK34" s="297"/>
      <c r="AL34" s="297"/>
      <c r="AM34" s="297"/>
      <c r="AN34" s="297"/>
      <c r="AO34" s="297"/>
      <c r="AP34" s="297"/>
      <c r="AQ34" s="297"/>
      <c r="AR34" s="297"/>
      <c r="AS34" s="297"/>
      <c r="AT34" s="297"/>
      <c r="AU34" s="297"/>
      <c r="AV34" s="297"/>
      <c r="AW34" s="297"/>
      <c r="AX34" s="297"/>
      <c r="AY34" s="297"/>
      <c r="AZ34" s="297"/>
      <c r="BA34" s="297"/>
      <c r="BB34" s="297"/>
      <c r="BC34" s="297"/>
      <c r="BD34" s="297"/>
      <c r="BE34" s="297"/>
      <c r="BF34" s="297"/>
      <c r="BG34" s="297"/>
      <c r="BH34" s="297"/>
      <c r="BI34" s="297"/>
      <c r="BJ34" s="297"/>
      <c r="BK34" s="297"/>
      <c r="BL34" s="297"/>
      <c r="BM34" s="297"/>
      <c r="BN34" s="297"/>
      <c r="BO34" s="297"/>
      <c r="BP34" s="297"/>
      <c r="BQ34" s="297"/>
      <c r="BR34" s="297"/>
      <c r="BS34" s="297"/>
      <c r="BT34" s="297"/>
      <c r="BU34" s="297"/>
      <c r="BV34" s="297"/>
      <c r="BW34" s="297"/>
      <c r="BX34" s="297"/>
      <c r="BY34" s="297"/>
      <c r="BZ34" s="297"/>
      <c r="CA34" s="297"/>
      <c r="CB34" s="297"/>
      <c r="CC34" s="297"/>
      <c r="CD34" s="297"/>
      <c r="CE34" s="297"/>
      <c r="CF34" s="297"/>
      <c r="CG34" s="297"/>
      <c r="CH34" s="297"/>
      <c r="CI34" s="297"/>
      <c r="CJ34" s="297"/>
      <c r="CK34" s="297"/>
      <c r="CL34" s="297"/>
      <c r="CM34" s="297"/>
      <c r="CN34" s="297"/>
      <c r="CO34" s="297"/>
      <c r="CP34" s="297"/>
      <c r="CQ34" s="297"/>
      <c r="CR34" s="297"/>
      <c r="CS34" s="297"/>
      <c r="CT34" s="297"/>
      <c r="CU34" s="297"/>
      <c r="CV34" s="297"/>
      <c r="CW34" s="297"/>
      <c r="CX34" s="297"/>
      <c r="CY34" s="297"/>
      <c r="CZ34" s="297"/>
      <c r="DA34" s="297"/>
      <c r="DB34" s="297"/>
      <c r="DC34" s="297"/>
      <c r="DD34" s="297"/>
      <c r="DE34" s="297"/>
      <c r="DF34" s="297"/>
      <c r="DG34" s="297"/>
      <c r="DH34" s="297"/>
      <c r="DI34" s="297"/>
      <c r="DJ34" s="297"/>
      <c r="DK34" s="178"/>
      <c r="DL34" s="178"/>
      <c r="DM34" s="178"/>
      <c r="DN34" s="178"/>
      <c r="DO34" s="178"/>
      <c r="DP34" s="178"/>
      <c r="DQ34" s="178"/>
      <c r="DR34" s="178"/>
      <c r="DS34" s="178"/>
      <c r="DT34" s="178"/>
      <c r="DU34" s="178"/>
      <c r="DV34" s="178"/>
      <c r="DW34" s="178"/>
      <c r="DX34" s="178"/>
      <c r="DY34" s="178"/>
      <c r="DZ34" s="178"/>
      <c r="EA34" s="178"/>
      <c r="EB34" s="178"/>
      <c r="EC34" s="178"/>
      <c r="ED34" s="178"/>
      <c r="EE34" s="178"/>
      <c r="EF34" s="178"/>
      <c r="EG34" s="178"/>
      <c r="EH34" s="178"/>
      <c r="EI34" s="178"/>
      <c r="EJ34" s="178"/>
      <c r="EK34" s="178"/>
      <c r="EL34" s="178"/>
      <c r="EM34" s="178"/>
      <c r="EN34" s="178"/>
      <c r="EO34" s="178"/>
      <c r="EP34" s="178"/>
      <c r="EQ34" s="178"/>
      <c r="ER34" s="178"/>
      <c r="ES34" s="178"/>
      <c r="ET34" s="178"/>
      <c r="EU34" s="178"/>
      <c r="EV34" s="178"/>
      <c r="EW34" s="178"/>
      <c r="EX34" s="178"/>
      <c r="EY34" s="178"/>
      <c r="EZ34" s="178"/>
      <c r="FA34" s="178"/>
      <c r="FB34" s="178"/>
      <c r="FC34" s="178"/>
      <c r="FD34" s="178"/>
      <c r="FE34" s="178"/>
      <c r="FF34" s="178"/>
      <c r="FG34" s="178"/>
      <c r="FH34" s="178"/>
      <c r="FI34" s="178"/>
      <c r="FJ34" s="178"/>
      <c r="FK34" s="178"/>
      <c r="FL34" s="178"/>
      <c r="FM34" s="178"/>
      <c r="FN34" s="178"/>
      <c r="FO34" s="178"/>
      <c r="FP34" s="178"/>
      <c r="FQ34" s="178"/>
      <c r="FR34" s="178"/>
      <c r="FS34" s="178"/>
      <c r="FT34" s="178"/>
      <c r="FU34" s="178"/>
      <c r="FV34" s="178"/>
      <c r="FW34" s="178"/>
      <c r="FX34" s="178"/>
      <c r="FY34" s="178"/>
      <c r="FZ34" s="178"/>
      <c r="GA34" s="178"/>
      <c r="GB34" s="178"/>
      <c r="GC34" s="178"/>
      <c r="GD34" s="178"/>
      <c r="GE34" s="178"/>
      <c r="GF34" s="178"/>
      <c r="GG34" s="178"/>
      <c r="GH34" s="178"/>
      <c r="GI34" s="178"/>
      <c r="GJ34" s="178"/>
      <c r="GK34" s="178"/>
      <c r="GL34" s="178"/>
      <c r="GM34" s="178"/>
      <c r="GN34" s="178"/>
      <c r="GO34" s="178"/>
      <c r="GP34" s="178"/>
      <c r="GQ34" s="178"/>
    </row>
    <row r="35" spans="2:199">
      <c r="B35" s="352" t="s">
        <v>433</v>
      </c>
      <c r="C35" s="352"/>
      <c r="D35" s="368"/>
      <c r="E35" s="368"/>
      <c r="F35" s="368"/>
      <c r="G35" s="800">
        <f>MIN(0,G38-G33)</f>
        <v>0</v>
      </c>
      <c r="H35" s="800">
        <f t="shared" ref="H35:Y35" si="21">MIN(0,H38-H33)</f>
        <v>0</v>
      </c>
      <c r="I35" s="800">
        <f t="shared" si="21"/>
        <v>0</v>
      </c>
      <c r="J35" s="800">
        <f t="shared" si="21"/>
        <v>0</v>
      </c>
      <c r="K35" s="800">
        <f t="shared" si="21"/>
        <v>0</v>
      </c>
      <c r="L35" s="800">
        <f t="shared" si="21"/>
        <v>0</v>
      </c>
      <c r="M35" s="800">
        <f t="shared" si="21"/>
        <v>0</v>
      </c>
      <c r="N35" s="800">
        <f t="shared" si="21"/>
        <v>0</v>
      </c>
      <c r="O35" s="800">
        <f t="shared" si="21"/>
        <v>0</v>
      </c>
      <c r="P35" s="800">
        <f t="shared" si="21"/>
        <v>0</v>
      </c>
      <c r="Q35" s="800">
        <f t="shared" si="21"/>
        <v>0</v>
      </c>
      <c r="R35" s="800">
        <f t="shared" si="21"/>
        <v>0</v>
      </c>
      <c r="S35" s="800">
        <f t="shared" si="21"/>
        <v>0</v>
      </c>
      <c r="T35" s="800">
        <f t="shared" si="21"/>
        <v>0</v>
      </c>
      <c r="U35" s="800">
        <f t="shared" si="21"/>
        <v>0</v>
      </c>
      <c r="V35" s="800">
        <f t="shared" si="21"/>
        <v>0</v>
      </c>
      <c r="W35" s="800">
        <f t="shared" si="21"/>
        <v>0</v>
      </c>
      <c r="X35" s="800">
        <f t="shared" si="21"/>
        <v>0</v>
      </c>
      <c r="Y35" s="800">
        <f t="shared" si="21"/>
        <v>0</v>
      </c>
      <c r="Z35" s="441"/>
      <c r="AA35" s="297"/>
      <c r="AB35" s="297"/>
      <c r="AC35" s="297"/>
      <c r="AD35" s="297"/>
      <c r="AE35" s="297"/>
      <c r="AF35" s="297"/>
      <c r="AG35" s="297"/>
      <c r="AH35" s="297"/>
      <c r="AI35" s="297"/>
      <c r="AJ35" s="297"/>
      <c r="AK35" s="297"/>
      <c r="AL35" s="297"/>
      <c r="AM35" s="297"/>
      <c r="AN35" s="297"/>
      <c r="AO35" s="297"/>
      <c r="AP35" s="297"/>
      <c r="AQ35" s="297"/>
      <c r="AR35" s="297"/>
      <c r="AS35" s="297"/>
      <c r="AT35" s="297"/>
      <c r="AU35" s="297"/>
      <c r="AV35" s="297"/>
      <c r="AW35" s="297"/>
      <c r="AX35" s="297"/>
      <c r="AY35" s="297"/>
      <c r="AZ35" s="297"/>
      <c r="BA35" s="297"/>
      <c r="BB35" s="297"/>
      <c r="BC35" s="297"/>
      <c r="BD35" s="297"/>
      <c r="BE35" s="297"/>
      <c r="BF35" s="297"/>
      <c r="BG35" s="297"/>
      <c r="BH35" s="297"/>
      <c r="BI35" s="297"/>
      <c r="BJ35" s="297"/>
      <c r="BK35" s="297"/>
      <c r="BL35" s="297"/>
      <c r="BM35" s="297"/>
      <c r="BN35" s="297"/>
      <c r="BO35" s="297"/>
      <c r="BP35" s="297"/>
      <c r="BQ35" s="297"/>
      <c r="BR35" s="297"/>
      <c r="BS35" s="297"/>
      <c r="BT35" s="297"/>
      <c r="BU35" s="297"/>
      <c r="BV35" s="297"/>
      <c r="BW35" s="297"/>
      <c r="BX35" s="297"/>
      <c r="BY35" s="297"/>
      <c r="BZ35" s="297"/>
      <c r="CA35" s="297"/>
      <c r="CB35" s="297"/>
      <c r="CC35" s="297"/>
      <c r="CD35" s="297"/>
      <c r="CE35" s="297"/>
      <c r="CF35" s="297"/>
      <c r="CG35" s="297"/>
      <c r="CH35" s="297"/>
      <c r="CI35" s="297"/>
      <c r="CJ35" s="297"/>
      <c r="CK35" s="297"/>
      <c r="CL35" s="297"/>
      <c r="CM35" s="297"/>
      <c r="CN35" s="297"/>
      <c r="CO35" s="297"/>
      <c r="CP35" s="297"/>
      <c r="CQ35" s="297"/>
      <c r="CR35" s="297"/>
      <c r="CS35" s="297"/>
      <c r="CT35" s="297"/>
      <c r="CU35" s="297"/>
      <c r="CV35" s="297"/>
      <c r="CW35" s="297"/>
      <c r="CX35" s="297"/>
      <c r="CY35" s="297"/>
      <c r="CZ35" s="297"/>
      <c r="DA35" s="297"/>
      <c r="DB35" s="297"/>
      <c r="DC35" s="297"/>
      <c r="DD35" s="297"/>
      <c r="DE35" s="297"/>
      <c r="DF35" s="297"/>
      <c r="DG35" s="297"/>
      <c r="DH35" s="297"/>
      <c r="DI35" s="297"/>
      <c r="DJ35" s="297"/>
      <c r="DK35" s="178"/>
      <c r="DL35" s="178"/>
      <c r="DM35" s="178"/>
      <c r="DN35" s="178"/>
      <c r="DO35" s="178"/>
      <c r="DP35" s="178"/>
      <c r="DQ35" s="178"/>
      <c r="DR35" s="178"/>
      <c r="DS35" s="178"/>
      <c r="DT35" s="178"/>
      <c r="DU35" s="178"/>
      <c r="DV35" s="178"/>
      <c r="DW35" s="178"/>
      <c r="DX35" s="178"/>
      <c r="DY35" s="178"/>
      <c r="DZ35" s="178"/>
      <c r="EA35" s="178"/>
      <c r="EB35" s="178"/>
      <c r="EC35" s="178"/>
      <c r="ED35" s="178"/>
      <c r="EE35" s="178"/>
      <c r="EF35" s="178"/>
      <c r="EG35" s="178"/>
      <c r="EH35" s="178"/>
      <c r="EI35" s="178"/>
      <c r="EJ35" s="178"/>
      <c r="EK35" s="178"/>
      <c r="EL35" s="178"/>
      <c r="EM35" s="178"/>
      <c r="EN35" s="178"/>
      <c r="EO35" s="178"/>
      <c r="EP35" s="178"/>
      <c r="EQ35" s="178"/>
      <c r="ER35" s="178"/>
      <c r="ES35" s="178"/>
      <c r="ET35" s="178"/>
      <c r="EU35" s="178"/>
      <c r="EV35" s="178"/>
      <c r="EW35" s="178"/>
      <c r="EX35" s="178"/>
      <c r="EY35" s="178"/>
      <c r="EZ35" s="178"/>
      <c r="FA35" s="178"/>
      <c r="FB35" s="178"/>
      <c r="FC35" s="178"/>
      <c r="FD35" s="178"/>
      <c r="FE35" s="178"/>
      <c r="FF35" s="178"/>
      <c r="FG35" s="178"/>
      <c r="FH35" s="178"/>
      <c r="FI35" s="178"/>
      <c r="FJ35" s="178"/>
      <c r="FK35" s="178"/>
      <c r="FL35" s="178"/>
      <c r="FM35" s="178"/>
      <c r="FN35" s="178"/>
      <c r="FO35" s="178"/>
      <c r="FP35" s="178"/>
      <c r="FQ35" s="178"/>
      <c r="FR35" s="178"/>
      <c r="FS35" s="178"/>
      <c r="FT35" s="178"/>
      <c r="FU35" s="178"/>
      <c r="FV35" s="178"/>
      <c r="FW35" s="178"/>
      <c r="FX35" s="178"/>
      <c r="FY35" s="178"/>
      <c r="FZ35" s="178"/>
      <c r="GA35" s="178"/>
      <c r="GB35" s="178"/>
      <c r="GC35" s="178"/>
      <c r="GD35" s="178"/>
      <c r="GE35" s="178"/>
      <c r="GF35" s="178"/>
      <c r="GG35" s="178"/>
      <c r="GH35" s="178"/>
      <c r="GI35" s="178"/>
      <c r="GJ35" s="178"/>
      <c r="GK35" s="178"/>
      <c r="GL35" s="178"/>
      <c r="GM35" s="178"/>
      <c r="GN35" s="178"/>
      <c r="GO35" s="178"/>
      <c r="GP35" s="178"/>
      <c r="GQ35" s="178"/>
    </row>
    <row r="36" spans="2:199" ht="13.5" thickBot="1">
      <c r="B36" s="352" t="s">
        <v>687</v>
      </c>
      <c r="C36" s="372" t="s">
        <v>466</v>
      </c>
      <c r="D36" s="368"/>
      <c r="E36" s="368"/>
      <c r="F36" s="368"/>
      <c r="G36" s="361">
        <f>-G37*(G33)</f>
        <v>0</v>
      </c>
      <c r="H36" s="361">
        <f t="shared" ref="H36:K36" si="22">-H37*(H33)</f>
        <v>0</v>
      </c>
      <c r="I36" s="361">
        <f t="shared" si="22"/>
        <v>0</v>
      </c>
      <c r="J36" s="361">
        <f t="shared" si="22"/>
        <v>0</v>
      </c>
      <c r="K36" s="361">
        <f t="shared" si="22"/>
        <v>0</v>
      </c>
      <c r="L36" s="361">
        <f t="shared" ref="L36" si="23">-L37*(L33)</f>
        <v>0</v>
      </c>
      <c r="M36" s="361">
        <f t="shared" ref="M36" si="24">-M37*(M33)</f>
        <v>0</v>
      </c>
      <c r="N36" s="361">
        <f t="shared" ref="N36" si="25">-N37*(N33)</f>
        <v>0</v>
      </c>
      <c r="O36" s="361">
        <f t="shared" ref="O36" si="26">-O37*(O33)</f>
        <v>0</v>
      </c>
      <c r="P36" s="361">
        <f t="shared" ref="P36" si="27">-P37*(P33)</f>
        <v>0</v>
      </c>
      <c r="Q36" s="361">
        <f t="shared" ref="Q36" si="28">-Q37*(Q33)</f>
        <v>0</v>
      </c>
      <c r="R36" s="361">
        <f t="shared" ref="R36" si="29">-R37*(R33)</f>
        <v>0</v>
      </c>
      <c r="S36" s="361">
        <f t="shared" ref="S36" si="30">-S37*(S33)</f>
        <v>0</v>
      </c>
      <c r="T36" s="361">
        <f t="shared" ref="T36" si="31">-T37*(T33)</f>
        <v>0</v>
      </c>
      <c r="U36" s="361">
        <f t="shared" ref="U36" si="32">-U37*(U33)</f>
        <v>0</v>
      </c>
      <c r="V36" s="361">
        <f t="shared" ref="V36" si="33">-V37*(V33)</f>
        <v>0</v>
      </c>
      <c r="W36" s="361">
        <f t="shared" ref="W36" si="34">-W37*(W33)</f>
        <v>0</v>
      </c>
      <c r="X36" s="361">
        <f t="shared" ref="X36" si="35">-X37*(X33)</f>
        <v>0</v>
      </c>
      <c r="Y36" s="361">
        <f t="shared" ref="Y36" si="36">-Y37*(Y33)</f>
        <v>0</v>
      </c>
      <c r="Z36" s="441"/>
      <c r="AA36" s="297"/>
      <c r="AB36" s="297"/>
      <c r="AC36" s="297"/>
      <c r="AD36" s="297"/>
      <c r="AE36" s="297"/>
      <c r="AF36" s="297"/>
      <c r="AG36" s="297"/>
      <c r="AH36" s="297"/>
      <c r="AI36" s="297"/>
      <c r="AJ36" s="297"/>
      <c r="AK36" s="297"/>
      <c r="AL36" s="297"/>
      <c r="AM36" s="297"/>
      <c r="AN36" s="297"/>
      <c r="AO36" s="297"/>
      <c r="AP36" s="297"/>
      <c r="AQ36" s="297"/>
      <c r="AR36" s="297"/>
      <c r="AS36" s="297"/>
      <c r="AT36" s="297"/>
      <c r="AU36" s="297"/>
      <c r="AV36" s="297"/>
      <c r="AW36" s="297"/>
      <c r="AX36" s="297"/>
      <c r="AY36" s="297"/>
      <c r="AZ36" s="297"/>
      <c r="BA36" s="297"/>
      <c r="BB36" s="297"/>
      <c r="BC36" s="297"/>
      <c r="BD36" s="297"/>
      <c r="BE36" s="297"/>
      <c r="BF36" s="297"/>
      <c r="BG36" s="297"/>
      <c r="BH36" s="297"/>
      <c r="BI36" s="297"/>
      <c r="BJ36" s="297"/>
      <c r="BK36" s="297"/>
      <c r="BL36" s="297"/>
      <c r="BM36" s="297"/>
      <c r="BN36" s="297"/>
      <c r="BO36" s="297"/>
      <c r="BP36" s="297"/>
      <c r="BQ36" s="297"/>
      <c r="BR36" s="297"/>
      <c r="BS36" s="297"/>
      <c r="BT36" s="297"/>
      <c r="BU36" s="297"/>
      <c r="BV36" s="297"/>
      <c r="BW36" s="297"/>
      <c r="BX36" s="297"/>
      <c r="BY36" s="297"/>
      <c r="BZ36" s="297"/>
      <c r="CA36" s="297"/>
      <c r="CB36" s="297"/>
      <c r="CC36" s="297"/>
      <c r="CD36" s="297"/>
      <c r="CE36" s="297"/>
      <c r="CF36" s="297"/>
      <c r="CG36" s="297"/>
      <c r="CH36" s="297"/>
      <c r="CI36" s="297"/>
      <c r="CJ36" s="297"/>
      <c r="CK36" s="297"/>
      <c r="CL36" s="297"/>
      <c r="CM36" s="297"/>
      <c r="CN36" s="297"/>
      <c r="CO36" s="297"/>
      <c r="CP36" s="297"/>
      <c r="CQ36" s="297"/>
      <c r="CR36" s="297"/>
      <c r="CS36" s="297"/>
      <c r="CT36" s="297"/>
      <c r="CU36" s="297"/>
      <c r="CV36" s="297"/>
      <c r="CW36" s="297"/>
      <c r="CX36" s="297"/>
      <c r="CY36" s="297"/>
      <c r="CZ36" s="297"/>
      <c r="DA36" s="297"/>
      <c r="DB36" s="297"/>
      <c r="DC36" s="297"/>
      <c r="DD36" s="297"/>
      <c r="DE36" s="297"/>
      <c r="DF36" s="297"/>
      <c r="DG36" s="297"/>
      <c r="DH36" s="297"/>
      <c r="DI36" s="297"/>
      <c r="DJ36" s="297"/>
      <c r="DK36" s="178"/>
      <c r="DL36" s="178"/>
      <c r="DM36" s="178"/>
      <c r="DN36" s="178"/>
      <c r="DO36" s="178"/>
      <c r="DP36" s="178"/>
      <c r="DQ36" s="178"/>
      <c r="DR36" s="178"/>
      <c r="DS36" s="178"/>
      <c r="DT36" s="178"/>
      <c r="DU36" s="178"/>
      <c r="DV36" s="178"/>
      <c r="DW36" s="178"/>
      <c r="DX36" s="178"/>
      <c r="DY36" s="178"/>
      <c r="DZ36" s="178"/>
      <c r="EA36" s="178"/>
      <c r="EB36" s="178"/>
      <c r="EC36" s="178"/>
      <c r="ED36" s="178"/>
      <c r="EE36" s="178"/>
      <c r="EF36" s="178"/>
      <c r="EG36" s="178"/>
      <c r="EH36" s="178"/>
      <c r="EI36" s="178"/>
      <c r="EJ36" s="178"/>
      <c r="EK36" s="178"/>
      <c r="EL36" s="178"/>
      <c r="EM36" s="178"/>
      <c r="EN36" s="178"/>
      <c r="EO36" s="178"/>
      <c r="EP36" s="178"/>
      <c r="EQ36" s="178"/>
      <c r="ER36" s="178"/>
      <c r="ES36" s="178"/>
      <c r="ET36" s="178"/>
      <c r="EU36" s="178"/>
      <c r="EV36" s="178"/>
      <c r="EW36" s="178"/>
      <c r="EX36" s="178"/>
      <c r="EY36" s="178"/>
      <c r="EZ36" s="178"/>
      <c r="FA36" s="178"/>
      <c r="FB36" s="178"/>
      <c r="FC36" s="178"/>
      <c r="FD36" s="178"/>
      <c r="FE36" s="178"/>
      <c r="FF36" s="178"/>
      <c r="FG36" s="178"/>
      <c r="FH36" s="178"/>
      <c r="FI36" s="178"/>
      <c r="FJ36" s="178"/>
      <c r="FK36" s="178"/>
      <c r="FL36" s="178"/>
      <c r="FM36" s="178"/>
      <c r="FN36" s="178"/>
      <c r="FO36" s="178"/>
      <c r="FP36" s="178"/>
      <c r="FQ36" s="178"/>
      <c r="FR36" s="178"/>
      <c r="FS36" s="178"/>
      <c r="FT36" s="178"/>
      <c r="FU36" s="178"/>
      <c r="FV36" s="178"/>
      <c r="FW36" s="178"/>
      <c r="FX36" s="178"/>
      <c r="FY36" s="178"/>
      <c r="FZ36" s="178"/>
      <c r="GA36" s="178"/>
      <c r="GB36" s="178"/>
      <c r="GC36" s="178"/>
      <c r="GD36" s="178"/>
      <c r="GE36" s="178"/>
      <c r="GF36" s="178"/>
      <c r="GG36" s="178"/>
      <c r="GH36" s="178"/>
      <c r="GI36" s="178"/>
      <c r="GJ36" s="178"/>
      <c r="GK36" s="178"/>
      <c r="GL36" s="178"/>
      <c r="GM36" s="178"/>
      <c r="GN36" s="178"/>
      <c r="GO36" s="178"/>
      <c r="GP36" s="178"/>
      <c r="GQ36" s="178"/>
    </row>
    <row r="37" spans="2:199">
      <c r="B37" s="356" t="s">
        <v>689</v>
      </c>
      <c r="C37" s="712">
        <v>1</v>
      </c>
      <c r="D37" s="421"/>
      <c r="E37" s="421"/>
      <c r="F37" s="421"/>
      <c r="G37" s="714">
        <f>$C$37*HLOOKUP(G$7,Macroeconomics!$B$5:$GB$36,Macroeconomics!$A$24,0)</f>
        <v>8.756043060229167E-2</v>
      </c>
      <c r="H37" s="714">
        <f>$C$37*HLOOKUP(H$7,Macroeconomics!$B$5:$GB$36,Macroeconomics!$A$24,0)</f>
        <v>8.444931666376497E-2</v>
      </c>
      <c r="I37" s="714">
        <f>$C$37*HLOOKUP(I$7,Macroeconomics!$B$5:$GB$36,Macroeconomics!$A$24,0)</f>
        <v>9.6145242716012547E-2</v>
      </c>
      <c r="J37" s="714">
        <f>$C$37*HLOOKUP(J$7,Macroeconomics!$B$5:$GB$36,Macroeconomics!$A$24,0)</f>
        <v>9.4942253320802195E-2</v>
      </c>
      <c r="K37" s="714">
        <f>$C$37*HLOOKUP(K$7,Macroeconomics!$B$5:$GB$36,Macroeconomics!$A$24,0)</f>
        <v>9.6699999999999994E-2</v>
      </c>
      <c r="L37" s="714">
        <f>$C$37*HLOOKUP(L$7,Macroeconomics!$B$5:$GB$36,Macroeconomics!$A$24,0)</f>
        <v>9.6699999999999994E-2</v>
      </c>
      <c r="M37" s="714">
        <f>$C$37*HLOOKUP(M$7,Macroeconomics!$B$5:$GB$36,Macroeconomics!$A$24,0)</f>
        <v>9.4299999999999995E-2</v>
      </c>
      <c r="N37" s="714">
        <f>$C$37*HLOOKUP(N$7,Macroeconomics!$B$5:$GB$36,Macroeconomics!$A$24,0)</f>
        <v>9.4200000000000006E-2</v>
      </c>
      <c r="O37" s="714">
        <f>$C$37*HLOOKUP(O$7,Macroeconomics!$B$5:$GB$36,Macroeconomics!$A$24,0)</f>
        <v>9.4200000000000006E-2</v>
      </c>
      <c r="P37" s="714">
        <f>$C$37*HLOOKUP(P$7,Macroeconomics!$B$5:$GB$36,Macroeconomics!$A$24,0)</f>
        <v>9.4200000000000006E-2</v>
      </c>
      <c r="Q37" s="714">
        <f>$C$37*HLOOKUP(Q$7,Macroeconomics!$B$5:$GB$36,Macroeconomics!$A$24,0)</f>
        <v>9.1799999999999993E-2</v>
      </c>
      <c r="R37" s="714">
        <f>$C$37*HLOOKUP(R$7,Macroeconomics!$B$5:$GB$36,Macroeconomics!$A$24,0)</f>
        <v>9.1799999999999993E-2</v>
      </c>
      <c r="S37" s="714">
        <f>$C$37*HLOOKUP(S$7,Macroeconomics!$B$5:$GB$36,Macroeconomics!$A$24,0)</f>
        <v>9.1799999999999993E-2</v>
      </c>
      <c r="T37" s="714">
        <f>$C$37*HLOOKUP(T$7,Macroeconomics!$B$5:$GB$36,Macroeconomics!$A$24,0)</f>
        <v>9.1799999999999993E-2</v>
      </c>
      <c r="U37" s="714">
        <f>$C$37*HLOOKUP(U$7,Macroeconomics!$B$5:$GB$36,Macroeconomics!$A$24,0)</f>
        <v>9.1799999999999993E-2</v>
      </c>
      <c r="V37" s="714">
        <f>$C$37*HLOOKUP(V$7,Macroeconomics!$B$5:$GB$36,Macroeconomics!$A$24,0)</f>
        <v>8.929999999999999E-2</v>
      </c>
      <c r="W37" s="714">
        <f>$C$37*HLOOKUP(W$7,Macroeconomics!$B$5:$GB$36,Macroeconomics!$A$24,0)</f>
        <v>8.929999999999999E-2</v>
      </c>
      <c r="X37" s="714">
        <f>$C$37*HLOOKUP(X$7,Macroeconomics!$B$5:$GB$36,Macroeconomics!$A$24,0)</f>
        <v>8.929999999999999E-2</v>
      </c>
      <c r="Y37" s="714">
        <f>$C$37*HLOOKUP(Y$7,Macroeconomics!$B$5:$GB$36,Macroeconomics!$A$24,0)</f>
        <v>8.929999999999999E-2</v>
      </c>
      <c r="Z37" s="441"/>
      <c r="AA37" s="297"/>
      <c r="AB37" s="297"/>
      <c r="AC37" s="297"/>
      <c r="AD37" s="297"/>
      <c r="AE37" s="297"/>
      <c r="AF37" s="297"/>
      <c r="AG37" s="297"/>
      <c r="AH37" s="297"/>
      <c r="AI37" s="297"/>
      <c r="AJ37" s="297"/>
      <c r="AK37" s="297"/>
      <c r="AL37" s="297"/>
      <c r="AM37" s="297"/>
      <c r="AN37" s="297"/>
      <c r="AO37" s="297"/>
      <c r="AP37" s="297"/>
      <c r="AQ37" s="297"/>
      <c r="AR37" s="297"/>
      <c r="AS37" s="297"/>
      <c r="AT37" s="297"/>
      <c r="AU37" s="297"/>
      <c r="AV37" s="297"/>
      <c r="AW37" s="297"/>
      <c r="AX37" s="297"/>
      <c r="AY37" s="297"/>
      <c r="AZ37" s="297"/>
      <c r="BA37" s="297"/>
      <c r="BB37" s="297"/>
      <c r="BC37" s="297"/>
      <c r="BD37" s="297"/>
      <c r="BE37" s="297"/>
      <c r="BF37" s="297"/>
      <c r="BG37" s="297"/>
      <c r="BH37" s="297"/>
      <c r="BI37" s="297"/>
      <c r="BJ37" s="297"/>
      <c r="BK37" s="297"/>
      <c r="BL37" s="297"/>
      <c r="BM37" s="297"/>
      <c r="BN37" s="297"/>
      <c r="BO37" s="297"/>
      <c r="BP37" s="297"/>
      <c r="BQ37" s="297"/>
      <c r="BR37" s="297"/>
      <c r="BS37" s="297"/>
      <c r="BT37" s="297"/>
      <c r="BU37" s="297"/>
      <c r="BV37" s="297"/>
      <c r="BW37" s="297"/>
      <c r="BX37" s="297"/>
      <c r="BY37" s="297"/>
      <c r="BZ37" s="297"/>
      <c r="CA37" s="297"/>
      <c r="CB37" s="297"/>
      <c r="CC37" s="297"/>
      <c r="CD37" s="297"/>
      <c r="CE37" s="297"/>
      <c r="CF37" s="297"/>
      <c r="CG37" s="297"/>
      <c r="CH37" s="297"/>
      <c r="CI37" s="297"/>
      <c r="CJ37" s="297"/>
      <c r="CK37" s="297"/>
      <c r="CL37" s="297"/>
      <c r="CM37" s="297"/>
      <c r="CN37" s="297"/>
      <c r="CO37" s="297"/>
      <c r="CP37" s="297"/>
      <c r="CQ37" s="297"/>
      <c r="CR37" s="297"/>
      <c r="CS37" s="297"/>
      <c r="CT37" s="297"/>
      <c r="CU37" s="297"/>
      <c r="CV37" s="297"/>
      <c r="CW37" s="297"/>
      <c r="CX37" s="297"/>
      <c r="CY37" s="297"/>
      <c r="CZ37" s="297"/>
      <c r="DA37" s="297"/>
      <c r="DB37" s="297"/>
      <c r="DC37" s="297"/>
      <c r="DD37" s="297"/>
      <c r="DE37" s="297"/>
      <c r="DF37" s="297"/>
      <c r="DG37" s="297"/>
      <c r="DH37" s="297"/>
      <c r="DI37" s="297"/>
      <c r="DJ37" s="297"/>
      <c r="DK37" s="178"/>
      <c r="DL37" s="178"/>
      <c r="DM37" s="178"/>
      <c r="DN37" s="178"/>
      <c r="DO37" s="178"/>
      <c r="DP37" s="178"/>
      <c r="DQ37" s="178"/>
      <c r="DR37" s="178"/>
      <c r="DS37" s="178"/>
      <c r="DT37" s="178"/>
      <c r="DU37" s="178"/>
      <c r="DV37" s="178"/>
      <c r="DW37" s="178"/>
      <c r="DX37" s="178"/>
      <c r="DY37" s="178"/>
      <c r="DZ37" s="178"/>
      <c r="EA37" s="178"/>
      <c r="EB37" s="178"/>
      <c r="EC37" s="178"/>
      <c r="ED37" s="178"/>
      <c r="EE37" s="178"/>
      <c r="EF37" s="178"/>
      <c r="EG37" s="178"/>
      <c r="EH37" s="178"/>
      <c r="EI37" s="178"/>
      <c r="EJ37" s="178"/>
      <c r="EK37" s="178"/>
      <c r="EL37" s="178"/>
      <c r="EM37" s="178"/>
      <c r="EN37" s="178"/>
      <c r="EO37" s="178"/>
      <c r="EP37" s="178"/>
      <c r="EQ37" s="178"/>
      <c r="ER37" s="178"/>
      <c r="ES37" s="178"/>
      <c r="ET37" s="178"/>
      <c r="EU37" s="178"/>
      <c r="EV37" s="178"/>
      <c r="EW37" s="178"/>
      <c r="EX37" s="178"/>
      <c r="EY37" s="178"/>
      <c r="EZ37" s="178"/>
      <c r="FA37" s="178"/>
      <c r="FB37" s="178"/>
      <c r="FC37" s="178"/>
      <c r="FD37" s="178"/>
      <c r="FE37" s="178"/>
      <c r="FF37" s="178"/>
      <c r="FG37" s="178"/>
      <c r="FH37" s="178"/>
      <c r="FI37" s="178"/>
      <c r="FJ37" s="178"/>
      <c r="FK37" s="178"/>
      <c r="FL37" s="178"/>
      <c r="FM37" s="178"/>
      <c r="FN37" s="178"/>
      <c r="FO37" s="178"/>
      <c r="FP37" s="178"/>
      <c r="FQ37" s="178"/>
      <c r="FR37" s="178"/>
      <c r="FS37" s="178"/>
      <c r="FT37" s="178"/>
      <c r="FU37" s="178"/>
      <c r="FV37" s="178"/>
      <c r="FW37" s="178"/>
      <c r="FX37" s="178"/>
      <c r="FY37" s="178"/>
      <c r="FZ37" s="178"/>
      <c r="GA37" s="178"/>
      <c r="GB37" s="178"/>
      <c r="GC37" s="178"/>
      <c r="GD37" s="178"/>
      <c r="GE37" s="178"/>
      <c r="GF37" s="178"/>
      <c r="GG37" s="178"/>
      <c r="GH37" s="178"/>
      <c r="GI37" s="178"/>
      <c r="GJ37" s="178"/>
      <c r="GK37" s="178"/>
      <c r="GL37" s="178"/>
      <c r="GM37" s="178"/>
      <c r="GN37" s="178"/>
      <c r="GO37" s="178"/>
      <c r="GP37" s="178"/>
      <c r="GQ37" s="178"/>
    </row>
    <row r="38" spans="2:199">
      <c r="B38" s="371" t="s">
        <v>688</v>
      </c>
      <c r="C38" s="352"/>
      <c r="D38" s="368"/>
      <c r="E38" s="368"/>
      <c r="F38" s="368"/>
      <c r="G38" s="592">
        <f>PROJ_AGCeAGPar!J211</f>
        <v>0</v>
      </c>
      <c r="H38" s="592">
        <f>PROJ_AGCeAGPar!K211</f>
        <v>0</v>
      </c>
      <c r="I38" s="592">
        <f>PROJ_AGCeAGPar!L211</f>
        <v>0</v>
      </c>
      <c r="J38" s="592">
        <f>PROJ_AGCeAGPar!M211</f>
        <v>0</v>
      </c>
      <c r="K38" s="592">
        <f>PROJ_AGCeAGPar!N211</f>
        <v>0</v>
      </c>
      <c r="L38" s="592">
        <f>PROJ_AGCeAGPar!O211</f>
        <v>0</v>
      </c>
      <c r="M38" s="592">
        <f>PROJ_AGCeAGPar!P211</f>
        <v>0</v>
      </c>
      <c r="N38" s="592">
        <f>PROJ_AGCeAGPar!Q211</f>
        <v>0</v>
      </c>
      <c r="O38" s="592">
        <f>PROJ_AGCeAGPar!R211</f>
        <v>0</v>
      </c>
      <c r="P38" s="592">
        <f>PROJ_AGCeAGPar!S211</f>
        <v>0</v>
      </c>
      <c r="Q38" s="592">
        <f>PROJ_AGCeAGPar!T211</f>
        <v>0</v>
      </c>
      <c r="R38" s="592">
        <f>PROJ_AGCeAGPar!U211</f>
        <v>0</v>
      </c>
      <c r="S38" s="592">
        <f>PROJ_AGCeAGPar!V211</f>
        <v>0</v>
      </c>
      <c r="T38" s="592">
        <f>PROJ_AGCeAGPar!W211</f>
        <v>0</v>
      </c>
      <c r="U38" s="592">
        <f>PROJ_AGCeAGPar!X211</f>
        <v>0</v>
      </c>
      <c r="V38" s="592">
        <f>PROJ_AGCeAGPar!Y211</f>
        <v>0</v>
      </c>
      <c r="W38" s="592">
        <f>PROJ_AGCeAGPar!Z211</f>
        <v>0</v>
      </c>
      <c r="X38" s="592">
        <f>PROJ_AGCeAGPar!AA211</f>
        <v>0</v>
      </c>
      <c r="Y38" s="592">
        <f>PROJ_AGCeAGPar!AB211</f>
        <v>0</v>
      </c>
      <c r="Z38" s="441"/>
      <c r="AA38" s="297"/>
      <c r="AB38" s="297"/>
      <c r="AC38" s="297"/>
      <c r="AD38" s="297"/>
      <c r="AE38" s="297"/>
      <c r="AF38" s="297"/>
      <c r="AG38" s="297"/>
      <c r="AH38" s="297"/>
      <c r="AI38" s="297"/>
      <c r="AJ38" s="297"/>
      <c r="AK38" s="297"/>
      <c r="AL38" s="297"/>
      <c r="AM38" s="297"/>
      <c r="AN38" s="297"/>
      <c r="AO38" s="297"/>
      <c r="AP38" s="297"/>
      <c r="AQ38" s="297"/>
      <c r="AR38" s="297"/>
      <c r="AS38" s="297"/>
      <c r="AT38" s="297"/>
      <c r="AU38" s="297"/>
      <c r="AV38" s="297"/>
      <c r="AW38" s="297"/>
      <c r="AX38" s="297"/>
      <c r="AY38" s="297"/>
      <c r="AZ38" s="297"/>
      <c r="BA38" s="297"/>
      <c r="BB38" s="297"/>
      <c r="BC38" s="297"/>
      <c r="BD38" s="297"/>
      <c r="BE38" s="297"/>
      <c r="BF38" s="297"/>
      <c r="BG38" s="297"/>
      <c r="BH38" s="297"/>
      <c r="BI38" s="297"/>
      <c r="BJ38" s="297"/>
      <c r="BK38" s="297"/>
      <c r="BL38" s="297"/>
      <c r="BM38" s="297"/>
      <c r="BN38" s="297"/>
      <c r="BO38" s="297"/>
      <c r="BP38" s="297"/>
      <c r="BQ38" s="297"/>
      <c r="BR38" s="297"/>
      <c r="BS38" s="297"/>
      <c r="BT38" s="297"/>
      <c r="BU38" s="297"/>
      <c r="BV38" s="297"/>
      <c r="BW38" s="297"/>
      <c r="BX38" s="297"/>
      <c r="BY38" s="297"/>
      <c r="BZ38" s="297"/>
      <c r="CA38" s="297"/>
      <c r="CB38" s="297"/>
      <c r="CC38" s="297"/>
      <c r="CD38" s="297"/>
      <c r="CE38" s="297"/>
      <c r="CF38" s="297"/>
      <c r="CG38" s="297"/>
      <c r="CH38" s="297"/>
      <c r="CI38" s="297"/>
      <c r="CJ38" s="297"/>
      <c r="CK38" s="297"/>
      <c r="CL38" s="297"/>
      <c r="CM38" s="297"/>
      <c r="CN38" s="297"/>
      <c r="CO38" s="297"/>
      <c r="CP38" s="297"/>
      <c r="CQ38" s="297"/>
      <c r="CR38" s="297"/>
      <c r="CS38" s="297"/>
      <c r="CT38" s="297"/>
      <c r="CU38" s="297"/>
      <c r="CV38" s="297"/>
      <c r="CW38" s="297"/>
      <c r="CX38" s="297"/>
      <c r="CY38" s="297"/>
      <c r="CZ38" s="297"/>
      <c r="DA38" s="297"/>
      <c r="DB38" s="297"/>
      <c r="DC38" s="297"/>
      <c r="DD38" s="297"/>
      <c r="DE38" s="297"/>
      <c r="DF38" s="297"/>
      <c r="DG38" s="297"/>
      <c r="DH38" s="297"/>
      <c r="DI38" s="297"/>
      <c r="DJ38" s="297"/>
      <c r="DK38" s="178"/>
      <c r="DL38" s="178"/>
      <c r="DM38" s="178"/>
      <c r="DN38" s="178"/>
      <c r="DO38" s="178"/>
      <c r="DP38" s="178"/>
      <c r="DQ38" s="178"/>
      <c r="DR38" s="178"/>
      <c r="DS38" s="178"/>
      <c r="DT38" s="178"/>
      <c r="DU38" s="178"/>
      <c r="DV38" s="178"/>
      <c r="DW38" s="178"/>
      <c r="DX38" s="178"/>
      <c r="DY38" s="178"/>
      <c r="DZ38" s="178"/>
      <c r="EA38" s="178"/>
      <c r="EB38" s="178"/>
      <c r="EC38" s="178"/>
      <c r="ED38" s="178"/>
      <c r="EE38" s="178"/>
      <c r="EF38" s="178"/>
      <c r="EG38" s="178"/>
      <c r="EH38" s="178"/>
      <c r="EI38" s="178"/>
      <c r="EJ38" s="178"/>
      <c r="EK38" s="178"/>
      <c r="EL38" s="178"/>
      <c r="EM38" s="178"/>
      <c r="EN38" s="178"/>
      <c r="EO38" s="178"/>
      <c r="EP38" s="178"/>
      <c r="EQ38" s="178"/>
      <c r="ER38" s="178"/>
      <c r="ES38" s="178"/>
      <c r="ET38" s="178"/>
      <c r="EU38" s="178"/>
      <c r="EV38" s="178"/>
      <c r="EW38" s="178"/>
      <c r="EX38" s="178"/>
      <c r="EY38" s="178"/>
      <c r="EZ38" s="178"/>
      <c r="FA38" s="178"/>
      <c r="FB38" s="178"/>
      <c r="FC38" s="178"/>
      <c r="FD38" s="178"/>
      <c r="FE38" s="178"/>
      <c r="FF38" s="178"/>
      <c r="FG38" s="178"/>
      <c r="FH38" s="178"/>
      <c r="FI38" s="178"/>
      <c r="FJ38" s="178"/>
      <c r="FK38" s="178"/>
      <c r="FL38" s="178"/>
      <c r="FM38" s="178"/>
      <c r="FN38" s="178"/>
      <c r="FO38" s="178"/>
      <c r="FP38" s="178"/>
      <c r="FQ38" s="178"/>
      <c r="FR38" s="178"/>
      <c r="FS38" s="178"/>
      <c r="FT38" s="178"/>
      <c r="FU38" s="178"/>
      <c r="FV38" s="178"/>
      <c r="FW38" s="178"/>
      <c r="FX38" s="178"/>
      <c r="FY38" s="178"/>
      <c r="FZ38" s="178"/>
      <c r="GA38" s="178"/>
      <c r="GB38" s="178"/>
      <c r="GC38" s="178"/>
      <c r="GD38" s="178"/>
      <c r="GE38" s="178"/>
      <c r="GF38" s="178"/>
      <c r="GG38" s="178"/>
      <c r="GH38" s="178"/>
      <c r="GI38" s="178"/>
      <c r="GJ38" s="178"/>
      <c r="GK38" s="178"/>
      <c r="GL38" s="178"/>
      <c r="GM38" s="178"/>
      <c r="GN38" s="178"/>
      <c r="GO38" s="178"/>
      <c r="GP38" s="178"/>
      <c r="GQ38" s="178"/>
    </row>
    <row r="39" spans="2:199">
      <c r="B39" s="218"/>
      <c r="C39" s="164"/>
      <c r="D39" s="225"/>
      <c r="E39" s="225"/>
      <c r="F39" s="297"/>
      <c r="G39" s="297"/>
      <c r="H39" s="441"/>
      <c r="I39" s="441"/>
      <c r="J39" s="441"/>
      <c r="K39" s="441"/>
      <c r="L39" s="441"/>
      <c r="M39" s="441"/>
      <c r="N39" s="441"/>
      <c r="O39" s="441"/>
      <c r="P39" s="441"/>
      <c r="Q39" s="441"/>
      <c r="R39" s="441"/>
      <c r="S39" s="441"/>
      <c r="T39" s="441"/>
      <c r="U39" s="441"/>
      <c r="V39" s="441"/>
      <c r="W39" s="441"/>
      <c r="X39" s="441"/>
      <c r="Y39" s="441"/>
      <c r="Z39" s="441"/>
      <c r="AA39" s="297"/>
      <c r="AB39" s="297"/>
      <c r="AC39" s="297"/>
      <c r="AD39" s="297"/>
      <c r="AE39" s="297"/>
      <c r="AF39" s="297"/>
      <c r="AG39" s="297"/>
      <c r="AH39" s="297"/>
      <c r="AI39" s="297"/>
      <c r="AJ39" s="297"/>
      <c r="AK39" s="297"/>
      <c r="AL39" s="297"/>
      <c r="AM39" s="297"/>
      <c r="AN39" s="297"/>
      <c r="AO39" s="297"/>
      <c r="AP39" s="297"/>
      <c r="AQ39" s="297"/>
      <c r="AR39" s="297"/>
      <c r="AS39" s="297"/>
      <c r="AT39" s="297"/>
      <c r="AU39" s="297"/>
      <c r="AV39" s="297"/>
      <c r="AW39" s="297"/>
      <c r="AX39" s="297"/>
      <c r="AY39" s="297"/>
      <c r="AZ39" s="297"/>
      <c r="BA39" s="297"/>
      <c r="BB39" s="297"/>
      <c r="BC39" s="297"/>
      <c r="BD39" s="297"/>
      <c r="BE39" s="297"/>
      <c r="BF39" s="297"/>
      <c r="BG39" s="297"/>
      <c r="BH39" s="297"/>
      <c r="BI39" s="297"/>
      <c r="BJ39" s="297"/>
      <c r="BK39" s="297"/>
      <c r="BL39" s="297"/>
      <c r="BM39" s="297"/>
      <c r="BN39" s="297"/>
      <c r="BO39" s="297"/>
      <c r="BP39" s="297"/>
      <c r="BQ39" s="297"/>
      <c r="BR39" s="297"/>
      <c r="BS39" s="297"/>
      <c r="BT39" s="297"/>
      <c r="BU39" s="297"/>
      <c r="BV39" s="297"/>
      <c r="BW39" s="297"/>
      <c r="BX39" s="297"/>
      <c r="BY39" s="297"/>
      <c r="BZ39" s="297"/>
      <c r="CA39" s="297"/>
      <c r="CB39" s="297"/>
      <c r="CC39" s="297"/>
      <c r="CD39" s="297"/>
      <c r="CE39" s="297"/>
      <c r="CF39" s="297"/>
      <c r="CG39" s="297"/>
      <c r="CH39" s="297"/>
      <c r="CI39" s="297"/>
      <c r="CJ39" s="297"/>
      <c r="CK39" s="297"/>
      <c r="CL39" s="297"/>
      <c r="CM39" s="297"/>
      <c r="CN39" s="297"/>
      <c r="CO39" s="297"/>
      <c r="CP39" s="297"/>
      <c r="CQ39" s="297"/>
      <c r="CR39" s="297"/>
      <c r="CS39" s="297"/>
      <c r="CT39" s="297"/>
      <c r="CU39" s="297"/>
      <c r="CV39" s="297"/>
      <c r="CW39" s="297"/>
      <c r="CX39" s="297"/>
      <c r="CY39" s="297"/>
      <c r="CZ39" s="297"/>
      <c r="DA39" s="297"/>
      <c r="DB39" s="297"/>
      <c r="DC39" s="297"/>
      <c r="DD39" s="297"/>
      <c r="DE39" s="297"/>
      <c r="DF39" s="297"/>
      <c r="DG39" s="297"/>
      <c r="DH39" s="297"/>
      <c r="DI39" s="297"/>
      <c r="DJ39" s="297"/>
      <c r="DK39" s="178"/>
      <c r="DL39" s="178"/>
      <c r="DM39" s="178"/>
      <c r="DN39" s="178"/>
      <c r="DO39" s="178"/>
      <c r="DP39" s="178"/>
      <c r="DQ39" s="178"/>
      <c r="DR39" s="178"/>
      <c r="DS39" s="178"/>
      <c r="DT39" s="178"/>
      <c r="DU39" s="178"/>
      <c r="DV39" s="178"/>
      <c r="DW39" s="178"/>
      <c r="DX39" s="178"/>
      <c r="DY39" s="178"/>
      <c r="DZ39" s="178"/>
      <c r="EA39" s="178"/>
      <c r="EB39" s="178"/>
      <c r="EC39" s="178"/>
      <c r="ED39" s="178"/>
      <c r="EE39" s="178"/>
      <c r="EF39" s="178"/>
      <c r="EG39" s="178"/>
      <c r="EH39" s="178"/>
      <c r="EI39" s="178"/>
      <c r="EJ39" s="178"/>
      <c r="EK39" s="178"/>
      <c r="EL39" s="178"/>
      <c r="EM39" s="178"/>
      <c r="EN39" s="178"/>
      <c r="EO39" s="178"/>
      <c r="EP39" s="178"/>
      <c r="EQ39" s="178"/>
      <c r="ER39" s="178"/>
      <c r="ES39" s="178"/>
      <c r="ET39" s="178"/>
      <c r="EU39" s="178"/>
      <c r="EV39" s="178"/>
      <c r="EW39" s="178"/>
      <c r="EX39" s="178"/>
      <c r="EY39" s="178"/>
      <c r="EZ39" s="178"/>
      <c r="FA39" s="178"/>
      <c r="FB39" s="178"/>
      <c r="FC39" s="178"/>
      <c r="FD39" s="178"/>
      <c r="FE39" s="178"/>
      <c r="FF39" s="178"/>
      <c r="FG39" s="178"/>
      <c r="FH39" s="178"/>
      <c r="FI39" s="178"/>
      <c r="FJ39" s="178"/>
      <c r="FK39" s="178"/>
      <c r="FL39" s="178"/>
      <c r="FM39" s="178"/>
      <c r="FN39" s="178"/>
      <c r="FO39" s="178"/>
      <c r="FP39" s="178"/>
      <c r="FQ39" s="178"/>
      <c r="FR39" s="178"/>
      <c r="FS39" s="178"/>
      <c r="FT39" s="178"/>
      <c r="FU39" s="178"/>
      <c r="FV39" s="178"/>
      <c r="FW39" s="178"/>
      <c r="FX39" s="178"/>
      <c r="FY39" s="178"/>
      <c r="FZ39" s="178"/>
      <c r="GA39" s="178"/>
      <c r="GB39" s="178"/>
      <c r="GC39" s="178"/>
      <c r="GD39" s="178"/>
      <c r="GE39" s="178"/>
      <c r="GF39" s="178"/>
      <c r="GG39" s="178"/>
      <c r="GH39" s="178"/>
      <c r="GI39" s="178"/>
      <c r="GJ39" s="178"/>
      <c r="GK39" s="178"/>
      <c r="GL39" s="178"/>
      <c r="GM39" s="178"/>
      <c r="GN39" s="178"/>
      <c r="GO39" s="178"/>
      <c r="GP39" s="178"/>
      <c r="GQ39" s="178"/>
    </row>
    <row r="40" spans="2:199">
      <c r="B40" s="196" t="s">
        <v>323</v>
      </c>
      <c r="C40" s="220"/>
      <c r="D40" s="496"/>
      <c r="E40" s="496"/>
      <c r="F40" s="497"/>
      <c r="G40" s="497"/>
      <c r="H40" s="497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Y40" s="497"/>
      <c r="Z40" s="441"/>
      <c r="AA40" s="297"/>
      <c r="AB40" s="297"/>
      <c r="AC40" s="297"/>
      <c r="AD40" s="297"/>
      <c r="AE40" s="297"/>
      <c r="AF40" s="297"/>
      <c r="AG40" s="297"/>
      <c r="AH40" s="297"/>
      <c r="AI40" s="297"/>
      <c r="AJ40" s="297"/>
      <c r="AK40" s="297"/>
      <c r="AL40" s="297"/>
      <c r="AM40" s="297"/>
      <c r="AN40" s="297"/>
      <c r="AO40" s="297"/>
      <c r="AP40" s="297"/>
      <c r="AQ40" s="297"/>
      <c r="AR40" s="297"/>
      <c r="AS40" s="297"/>
      <c r="AT40" s="297"/>
      <c r="AU40" s="297"/>
      <c r="AV40" s="297"/>
      <c r="AW40" s="297"/>
      <c r="AX40" s="297"/>
      <c r="AY40" s="297"/>
      <c r="AZ40" s="297"/>
      <c r="BA40" s="297"/>
      <c r="BB40" s="297"/>
      <c r="BC40" s="297"/>
      <c r="BD40" s="297"/>
      <c r="BE40" s="297"/>
      <c r="BF40" s="297"/>
      <c r="BG40" s="297"/>
      <c r="BH40" s="297"/>
      <c r="BI40" s="297"/>
      <c r="BJ40" s="297"/>
      <c r="BK40" s="297"/>
      <c r="BL40" s="297"/>
      <c r="BM40" s="297"/>
      <c r="BN40" s="297"/>
      <c r="BO40" s="297"/>
      <c r="BP40" s="297"/>
      <c r="BQ40" s="297"/>
      <c r="BR40" s="297"/>
      <c r="BS40" s="297"/>
      <c r="BT40" s="297"/>
      <c r="BU40" s="297"/>
      <c r="BV40" s="297"/>
      <c r="BW40" s="297"/>
      <c r="BX40" s="297"/>
      <c r="BY40" s="297"/>
      <c r="BZ40" s="297"/>
      <c r="CA40" s="297"/>
      <c r="CB40" s="297"/>
      <c r="CC40" s="297"/>
      <c r="CD40" s="297"/>
      <c r="CE40" s="297"/>
      <c r="CF40" s="297"/>
      <c r="CG40" s="297"/>
      <c r="CH40" s="297"/>
      <c r="CI40" s="297"/>
      <c r="CJ40" s="297"/>
      <c r="CK40" s="297"/>
      <c r="CL40" s="297"/>
      <c r="CM40" s="297"/>
      <c r="CN40" s="297"/>
      <c r="CO40" s="297"/>
      <c r="CP40" s="297"/>
      <c r="CQ40" s="297"/>
      <c r="CR40" s="297"/>
      <c r="CS40" s="297"/>
      <c r="CT40" s="297"/>
      <c r="CU40" s="297"/>
      <c r="CV40" s="297"/>
      <c r="CW40" s="297"/>
      <c r="CX40" s="297"/>
      <c r="CY40" s="297"/>
      <c r="CZ40" s="297"/>
      <c r="DA40" s="297"/>
      <c r="DB40" s="297"/>
      <c r="DC40" s="297"/>
      <c r="DD40" s="297"/>
      <c r="DE40" s="297"/>
      <c r="DF40" s="297"/>
      <c r="DG40" s="297"/>
      <c r="DH40" s="297"/>
      <c r="DI40" s="297"/>
      <c r="DJ40" s="297"/>
      <c r="DK40" s="178"/>
      <c r="DL40" s="178"/>
      <c r="DM40" s="178"/>
      <c r="DN40" s="178"/>
      <c r="DO40" s="178"/>
      <c r="DP40" s="178"/>
      <c r="DQ40" s="178"/>
      <c r="DR40" s="178"/>
      <c r="DS40" s="178"/>
      <c r="DT40" s="178"/>
      <c r="DU40" s="178"/>
      <c r="DV40" s="178"/>
      <c r="DW40" s="178"/>
      <c r="DX40" s="178"/>
      <c r="DY40" s="178"/>
      <c r="DZ40" s="178"/>
      <c r="EA40" s="178"/>
      <c r="EB40" s="178"/>
      <c r="EC40" s="178"/>
      <c r="ED40" s="178"/>
      <c r="EE40" s="178"/>
      <c r="EF40" s="178"/>
      <c r="EG40" s="178"/>
      <c r="EH40" s="178"/>
      <c r="EI40" s="178"/>
      <c r="EJ40" s="178"/>
      <c r="EK40" s="178"/>
      <c r="EL40" s="178"/>
      <c r="EM40" s="178"/>
      <c r="EN40" s="178"/>
      <c r="EO40" s="178"/>
      <c r="EP40" s="178"/>
      <c r="EQ40" s="178"/>
      <c r="ER40" s="178"/>
      <c r="ES40" s="178"/>
      <c r="ET40" s="178"/>
      <c r="EU40" s="178"/>
      <c r="EV40" s="178"/>
      <c r="EW40" s="178"/>
      <c r="EX40" s="178"/>
      <c r="EY40" s="178"/>
      <c r="EZ40" s="178"/>
      <c r="FA40" s="178"/>
      <c r="FB40" s="178"/>
      <c r="FC40" s="178"/>
      <c r="FD40" s="178"/>
      <c r="FE40" s="178"/>
      <c r="FF40" s="178"/>
      <c r="FG40" s="178"/>
      <c r="FH40" s="178"/>
      <c r="FI40" s="178"/>
      <c r="FJ40" s="178"/>
      <c r="FK40" s="178"/>
      <c r="FL40" s="178"/>
      <c r="FM40" s="178"/>
      <c r="FN40" s="178"/>
      <c r="FO40" s="178"/>
      <c r="FP40" s="178"/>
      <c r="FQ40" s="178"/>
      <c r="FR40" s="178"/>
      <c r="FS40" s="178"/>
      <c r="FT40" s="178"/>
      <c r="FU40" s="178"/>
      <c r="FV40" s="178"/>
      <c r="FW40" s="178"/>
      <c r="FX40" s="178"/>
      <c r="FY40" s="178"/>
      <c r="FZ40" s="178"/>
      <c r="GA40" s="178"/>
      <c r="GB40" s="178"/>
      <c r="GC40" s="178"/>
      <c r="GD40" s="178"/>
      <c r="GE40" s="178"/>
      <c r="GF40" s="178"/>
      <c r="GG40" s="178"/>
      <c r="GH40" s="178"/>
      <c r="GI40" s="178"/>
      <c r="GJ40" s="178"/>
      <c r="GK40" s="178"/>
      <c r="GL40" s="178"/>
      <c r="GM40" s="178"/>
      <c r="GN40" s="178"/>
      <c r="GO40" s="178"/>
      <c r="GP40" s="178"/>
      <c r="GQ40" s="178"/>
    </row>
    <row r="41" spans="2:199">
      <c r="B41" s="218" t="s">
        <v>626</v>
      </c>
      <c r="C41" s="164"/>
      <c r="D41" s="225">
        <f>PROJ_AGCeAGPar!G194+PROJ_AGCeAGPar!G195+PROJ_AGCeAGPar!G196+PROJ_AGCeAGPar!G202</f>
        <v>62.561</v>
      </c>
      <c r="E41" s="225">
        <f>PROJ_AGCeAGPar!H194+PROJ_AGCeAGPar!H195+PROJ_AGCeAGPar!H196+PROJ_AGCeAGPar!H202</f>
        <v>19.148</v>
      </c>
      <c r="F41" s="225">
        <f>PROJ_AGCeAGPar!I194+PROJ_AGCeAGPar!I195+PROJ_AGCeAGPar!I196+PROJ_AGCeAGPar!I202</f>
        <v>4.6310000000000002</v>
      </c>
      <c r="G41" s="225">
        <f>PROJ_AGCeAGPar!J194+PROJ_AGCeAGPar!J195+PROJ_AGCeAGPar!J196+PROJ_AGCeAGPar!J202</f>
        <v>16.120999999999999</v>
      </c>
      <c r="H41" s="225">
        <f>PROJ_AGCeAGPar!K194+PROJ_AGCeAGPar!K195+PROJ_AGCeAGPar!K196+PROJ_AGCeAGPar!K202</f>
        <v>33.36486161757275</v>
      </c>
      <c r="I41" s="225">
        <f>PROJ_AGCeAGPar!L194+PROJ_AGCeAGPar!L195+PROJ_AGCeAGPar!L196+PROJ_AGCeAGPar!L202</f>
        <v>138.80808406667381</v>
      </c>
      <c r="J41" s="225">
        <f>PROJ_AGCeAGPar!M194+PROJ_AGCeAGPar!M195+PROJ_AGCeAGPar!M196+PROJ_AGCeAGPar!M202</f>
        <v>129.32762064465297</v>
      </c>
      <c r="K41" s="225">
        <f>PROJ_AGCeAGPar!N194+PROJ_AGCeAGPar!N195+PROJ_AGCeAGPar!N196+PROJ_AGCeAGPar!N202</f>
        <v>75.579035102266872</v>
      </c>
      <c r="L41" s="225">
        <f>PROJ_AGCeAGPar!O194+PROJ_AGCeAGPar!O195+PROJ_AGCeAGPar!O196+PROJ_AGCeAGPar!O202</f>
        <v>86.527194686038811</v>
      </c>
      <c r="M41" s="225">
        <f>PROJ_AGCeAGPar!P194+PROJ_AGCeAGPar!P195+PROJ_AGCeAGPar!P196+PROJ_AGCeAGPar!P202</f>
        <v>87.633931822839159</v>
      </c>
      <c r="N41" s="225">
        <f>PROJ_AGCeAGPar!Q194+PROJ_AGCeAGPar!Q195+PROJ_AGCeAGPar!Q196+PROJ_AGCeAGPar!Q202</f>
        <v>131.70533067536996</v>
      </c>
      <c r="O41" s="225">
        <f>PROJ_AGCeAGPar!R194+PROJ_AGCeAGPar!R195+PROJ_AGCeAGPar!R196+PROJ_AGCeAGPar!R202</f>
        <v>131.70470295431539</v>
      </c>
      <c r="P41" s="225">
        <f>PROJ_AGCeAGPar!S194+PROJ_AGCeAGPar!S195+PROJ_AGCeAGPar!S196+PROJ_AGCeAGPar!S202</f>
        <v>143.0406620510829</v>
      </c>
      <c r="Q41" s="225">
        <f>PROJ_AGCeAGPar!T194+PROJ_AGCeAGPar!T195+PROJ_AGCeAGPar!T196+PROJ_AGCeAGPar!T202</f>
        <v>167.94140114201025</v>
      </c>
      <c r="R41" s="225">
        <f>PROJ_AGCeAGPar!U194+PROJ_AGCeAGPar!U195+PROJ_AGCeAGPar!U196+PROJ_AGCeAGPar!U202</f>
        <v>165.25096009864217</v>
      </c>
      <c r="S41" s="225">
        <f>PROJ_AGCeAGPar!V194+PROJ_AGCeAGPar!V195+PROJ_AGCeAGPar!V196+PROJ_AGCeAGPar!V202</f>
        <v>0</v>
      </c>
      <c r="T41" s="225">
        <f>PROJ_AGCeAGPar!W194+PROJ_AGCeAGPar!W195+PROJ_AGCeAGPar!W196+PROJ_AGCeAGPar!W202</f>
        <v>0</v>
      </c>
      <c r="U41" s="225">
        <f>PROJ_AGCeAGPar!X194+PROJ_AGCeAGPar!X195+PROJ_AGCeAGPar!X196+PROJ_AGCeAGPar!X202</f>
        <v>0</v>
      </c>
      <c r="V41" s="225">
        <f>PROJ_AGCeAGPar!Y194+PROJ_AGCeAGPar!Y195+PROJ_AGCeAGPar!Y196+PROJ_AGCeAGPar!Y202</f>
        <v>0</v>
      </c>
      <c r="W41" s="225">
        <f>PROJ_AGCeAGPar!Z194+PROJ_AGCeAGPar!Z195+PROJ_AGCeAGPar!Z196+PROJ_AGCeAGPar!Z202</f>
        <v>0</v>
      </c>
      <c r="X41" s="225">
        <f>PROJ_AGCeAGPar!AA194+PROJ_AGCeAGPar!AA195+PROJ_AGCeAGPar!AA196+PROJ_AGCeAGPar!AA202</f>
        <v>0</v>
      </c>
      <c r="Y41" s="225">
        <f>PROJ_AGCeAGPar!AB194+PROJ_AGCeAGPar!AB195+PROJ_AGCeAGPar!AB196+PROJ_AGCeAGPar!AB202</f>
        <v>0</v>
      </c>
      <c r="Z41" s="225"/>
      <c r="AA41" s="225"/>
      <c r="AB41" s="225"/>
      <c r="AC41" s="225"/>
      <c r="AD41" s="225"/>
      <c r="AE41" s="225"/>
      <c r="AF41" s="297"/>
      <c r="AG41" s="297"/>
      <c r="AH41" s="297"/>
      <c r="AI41" s="297"/>
      <c r="AJ41" s="297"/>
      <c r="AK41" s="297"/>
      <c r="AL41" s="297"/>
      <c r="AM41" s="297"/>
      <c r="AN41" s="297"/>
      <c r="AO41" s="297"/>
      <c r="AP41" s="297"/>
      <c r="AQ41" s="297"/>
      <c r="AR41" s="297"/>
      <c r="AS41" s="297"/>
      <c r="AT41" s="297"/>
      <c r="AU41" s="297"/>
      <c r="AV41" s="297"/>
      <c r="AW41" s="297"/>
      <c r="AX41" s="297"/>
      <c r="AY41" s="297"/>
      <c r="AZ41" s="297"/>
      <c r="BA41" s="297"/>
      <c r="BB41" s="297"/>
      <c r="BC41" s="297"/>
      <c r="BD41" s="297"/>
      <c r="BE41" s="297"/>
      <c r="BF41" s="297"/>
      <c r="BG41" s="297"/>
      <c r="BH41" s="297"/>
      <c r="BI41" s="297"/>
      <c r="BJ41" s="297"/>
      <c r="BK41" s="297"/>
      <c r="BL41" s="297"/>
      <c r="BM41" s="297"/>
      <c r="BN41" s="297"/>
      <c r="BO41" s="297"/>
      <c r="BP41" s="297"/>
      <c r="BQ41" s="297"/>
      <c r="BR41" s="297"/>
      <c r="BS41" s="297"/>
      <c r="BT41" s="297"/>
      <c r="BU41" s="297"/>
      <c r="BV41" s="297"/>
      <c r="BW41" s="297"/>
      <c r="BX41" s="297"/>
      <c r="BY41" s="297"/>
      <c r="BZ41" s="297"/>
      <c r="CA41" s="297"/>
      <c r="CB41" s="297"/>
      <c r="CC41" s="297"/>
      <c r="CD41" s="297"/>
      <c r="CE41" s="297"/>
      <c r="CF41" s="297"/>
      <c r="CG41" s="297"/>
      <c r="CH41" s="297"/>
      <c r="CI41" s="297"/>
      <c r="CJ41" s="297"/>
      <c r="CK41" s="297"/>
      <c r="CL41" s="297"/>
      <c r="CM41" s="297"/>
      <c r="CN41" s="297"/>
      <c r="CO41" s="297"/>
      <c r="CP41" s="297"/>
      <c r="CQ41" s="297"/>
      <c r="CR41" s="297"/>
      <c r="CS41" s="297"/>
      <c r="CT41" s="297"/>
      <c r="CU41" s="297"/>
      <c r="CV41" s="297"/>
      <c r="CW41" s="297"/>
      <c r="CX41" s="297"/>
      <c r="CY41" s="297"/>
      <c r="CZ41" s="297"/>
      <c r="DA41" s="297"/>
      <c r="DB41" s="297"/>
      <c r="DC41" s="297"/>
      <c r="DD41" s="297"/>
      <c r="DE41" s="297"/>
      <c r="DF41" s="297"/>
      <c r="DG41" s="297"/>
      <c r="DH41" s="297"/>
      <c r="DI41" s="297"/>
      <c r="DJ41" s="297"/>
      <c r="DK41" s="178"/>
      <c r="DL41" s="178"/>
      <c r="DM41" s="178"/>
      <c r="DN41" s="178"/>
      <c r="DO41" s="178"/>
      <c r="DP41" s="178"/>
      <c r="DQ41" s="178"/>
      <c r="DR41" s="178"/>
      <c r="DS41" s="178"/>
      <c r="DT41" s="178"/>
      <c r="DU41" s="178"/>
      <c r="DV41" s="178"/>
      <c r="DW41" s="178"/>
      <c r="DX41" s="178"/>
      <c r="DY41" s="178"/>
      <c r="DZ41" s="178"/>
      <c r="EA41" s="178"/>
      <c r="EB41" s="178"/>
      <c r="EC41" s="178"/>
      <c r="ED41" s="178"/>
      <c r="EE41" s="178"/>
      <c r="EF41" s="178"/>
      <c r="EG41" s="178"/>
      <c r="EH41" s="178"/>
      <c r="EI41" s="178"/>
      <c r="EJ41" s="178"/>
      <c r="EK41" s="178"/>
      <c r="EL41" s="178"/>
      <c r="EM41" s="178"/>
      <c r="EN41" s="178"/>
      <c r="EO41" s="178"/>
      <c r="EP41" s="178"/>
      <c r="EQ41" s="178"/>
      <c r="ER41" s="178"/>
      <c r="ES41" s="178"/>
      <c r="ET41" s="178"/>
      <c r="EU41" s="178"/>
      <c r="EV41" s="178"/>
      <c r="EW41" s="178"/>
      <c r="EX41" s="178"/>
      <c r="EY41" s="178"/>
      <c r="EZ41" s="178"/>
      <c r="FA41" s="178"/>
      <c r="FB41" s="178"/>
      <c r="FC41" s="178"/>
      <c r="FD41" s="178"/>
      <c r="FE41" s="178"/>
      <c r="FF41" s="178"/>
      <c r="FG41" s="178"/>
      <c r="FH41" s="178"/>
      <c r="FI41" s="178"/>
      <c r="FJ41" s="178"/>
      <c r="FK41" s="178"/>
      <c r="FL41" s="178"/>
      <c r="FM41" s="178"/>
      <c r="FN41" s="178"/>
      <c r="FO41" s="178"/>
      <c r="FP41" s="178"/>
      <c r="FQ41" s="178"/>
      <c r="FR41" s="178"/>
      <c r="FS41" s="178"/>
      <c r="FT41" s="178"/>
      <c r="FU41" s="178"/>
      <c r="FV41" s="178"/>
      <c r="FW41" s="178"/>
      <c r="FX41" s="178"/>
      <c r="FY41" s="178"/>
      <c r="FZ41" s="178"/>
      <c r="GA41" s="178"/>
      <c r="GB41" s="178"/>
      <c r="GC41" s="178"/>
      <c r="GD41" s="178"/>
      <c r="GE41" s="178"/>
      <c r="GF41" s="178"/>
      <c r="GG41" s="178"/>
      <c r="GH41" s="178"/>
      <c r="GI41" s="178"/>
      <c r="GJ41" s="178"/>
      <c r="GK41" s="178"/>
      <c r="GL41" s="178"/>
      <c r="GM41" s="178"/>
      <c r="GN41" s="178"/>
      <c r="GO41" s="178"/>
      <c r="GP41" s="178"/>
      <c r="GQ41" s="178"/>
    </row>
    <row r="42" spans="2:199">
      <c r="B42" s="218" t="s">
        <v>627</v>
      </c>
      <c r="C42" s="164"/>
      <c r="D42" s="225">
        <f>PROJ_AGCeAGPar!H194+PROJ_AGCeAGPar!H195+PROJ_AGCeAGPar!H196+PROJ_AGCeAGPar!H202</f>
        <v>19.148</v>
      </c>
      <c r="E42" s="225">
        <f>PROJ_AGCeAGPar!I194+PROJ_AGCeAGPar!I195+PROJ_AGCeAGPar!I196+PROJ_AGCeAGPar!I202</f>
        <v>4.6310000000000002</v>
      </c>
      <c r="F42" s="225">
        <f>PROJ_AGCeAGPar!J194+PROJ_AGCeAGPar!J195+PROJ_AGCeAGPar!J196+PROJ_AGCeAGPar!J202</f>
        <v>16.120999999999999</v>
      </c>
      <c r="G42" s="225">
        <f>PROJ_AGCeAGPar!K194+PROJ_AGCeAGPar!K195+PROJ_AGCeAGPar!K196+PROJ_AGCeAGPar!K202</f>
        <v>33.36486161757275</v>
      </c>
      <c r="H42" s="225">
        <f>PROJ_AGCeAGPar!L194+PROJ_AGCeAGPar!L195+PROJ_AGCeAGPar!L196+PROJ_AGCeAGPar!L202</f>
        <v>138.80808406667381</v>
      </c>
      <c r="I42" s="225">
        <f>PROJ_AGCeAGPar!M194+PROJ_AGCeAGPar!M195+PROJ_AGCeAGPar!M196+PROJ_AGCeAGPar!M202</f>
        <v>129.32762064465297</v>
      </c>
      <c r="J42" s="225">
        <f>PROJ_AGCeAGPar!N194+PROJ_AGCeAGPar!N195+PROJ_AGCeAGPar!N196+PROJ_AGCeAGPar!N202</f>
        <v>75.579035102266872</v>
      </c>
      <c r="K42" s="225">
        <f>PROJ_AGCeAGPar!O194+PROJ_AGCeAGPar!O195+PROJ_AGCeAGPar!O196+PROJ_AGCeAGPar!O202</f>
        <v>86.527194686038811</v>
      </c>
      <c r="L42" s="225">
        <f>PROJ_AGCeAGPar!P194+PROJ_AGCeAGPar!P195+PROJ_AGCeAGPar!P196+PROJ_AGCeAGPar!P202</f>
        <v>87.633931822839159</v>
      </c>
      <c r="M42" s="225">
        <f>PROJ_AGCeAGPar!Q194+PROJ_AGCeAGPar!Q195+PROJ_AGCeAGPar!Q196+PROJ_AGCeAGPar!Q202</f>
        <v>131.70533067536996</v>
      </c>
      <c r="N42" s="225">
        <f>PROJ_AGCeAGPar!R194+PROJ_AGCeAGPar!R195+PROJ_AGCeAGPar!R196+PROJ_AGCeAGPar!R202</f>
        <v>131.70470295431539</v>
      </c>
      <c r="O42" s="225">
        <f>PROJ_AGCeAGPar!S194+PROJ_AGCeAGPar!S195+PROJ_AGCeAGPar!S196+PROJ_AGCeAGPar!S202</f>
        <v>143.0406620510829</v>
      </c>
      <c r="P42" s="225">
        <f>PROJ_AGCeAGPar!T194+PROJ_AGCeAGPar!T195+PROJ_AGCeAGPar!T196+PROJ_AGCeAGPar!T202</f>
        <v>167.94140114201025</v>
      </c>
      <c r="Q42" s="225">
        <f>PROJ_AGCeAGPar!U194+PROJ_AGCeAGPar!U195+PROJ_AGCeAGPar!U196+PROJ_AGCeAGPar!U202</f>
        <v>165.25096009864217</v>
      </c>
      <c r="R42" s="225">
        <f>PROJ_AGCeAGPar!V194+PROJ_AGCeAGPar!V195+PROJ_AGCeAGPar!V196+PROJ_AGCeAGPar!V202</f>
        <v>0</v>
      </c>
      <c r="S42" s="225">
        <f>PROJ_AGCeAGPar!W194+PROJ_AGCeAGPar!W195+PROJ_AGCeAGPar!W196+PROJ_AGCeAGPar!W202</f>
        <v>0</v>
      </c>
      <c r="T42" s="225">
        <f>PROJ_AGCeAGPar!X194+PROJ_AGCeAGPar!X195+PROJ_AGCeAGPar!X196+PROJ_AGCeAGPar!X202</f>
        <v>0</v>
      </c>
      <c r="U42" s="225">
        <f>PROJ_AGCeAGPar!Y194+PROJ_AGCeAGPar!Y195+PROJ_AGCeAGPar!Y196+PROJ_AGCeAGPar!Y202</f>
        <v>0</v>
      </c>
      <c r="V42" s="225">
        <f>PROJ_AGCeAGPar!Z194+PROJ_AGCeAGPar!Z195+PROJ_AGCeAGPar!Z196+PROJ_AGCeAGPar!Z202</f>
        <v>0</v>
      </c>
      <c r="W42" s="225">
        <f>PROJ_AGCeAGPar!AA194+PROJ_AGCeAGPar!AA195+PROJ_AGCeAGPar!AA196+PROJ_AGCeAGPar!AA202</f>
        <v>0</v>
      </c>
      <c r="X42" s="225">
        <f>PROJ_AGCeAGPar!AB194+PROJ_AGCeAGPar!AB195+PROJ_AGCeAGPar!AB196+PROJ_AGCeAGPar!AB202</f>
        <v>0</v>
      </c>
      <c r="Y42" s="225">
        <f>PROJ_AGCeAGPar!AC194+PROJ_AGCeAGPar!AC195+PROJ_AGCeAGPar!AC196+PROJ_AGCeAGPar!AC202</f>
        <v>0</v>
      </c>
      <c r="Z42" s="225"/>
      <c r="AA42" s="225"/>
      <c r="AB42" s="225"/>
      <c r="AC42" s="225"/>
      <c r="AD42" s="225"/>
      <c r="AE42" s="225"/>
      <c r="AF42" s="297"/>
      <c r="AG42" s="297"/>
      <c r="AH42" s="297"/>
      <c r="AI42" s="297"/>
      <c r="AJ42" s="297"/>
      <c r="AK42" s="297"/>
      <c r="AL42" s="297"/>
      <c r="AM42" s="297"/>
      <c r="AN42" s="297"/>
      <c r="AO42" s="297"/>
      <c r="AP42" s="297"/>
      <c r="AQ42" s="297"/>
      <c r="AR42" s="297"/>
      <c r="AS42" s="297"/>
      <c r="AT42" s="297"/>
      <c r="AU42" s="297"/>
      <c r="AV42" s="297"/>
      <c r="AW42" s="297"/>
      <c r="AX42" s="297"/>
      <c r="AY42" s="297"/>
      <c r="AZ42" s="297"/>
      <c r="BA42" s="297"/>
      <c r="BB42" s="297"/>
      <c r="BC42" s="297"/>
      <c r="BD42" s="297"/>
      <c r="BE42" s="297"/>
      <c r="BF42" s="297"/>
      <c r="BG42" s="297"/>
      <c r="BH42" s="297"/>
      <c r="BI42" s="297"/>
      <c r="BJ42" s="297"/>
      <c r="BK42" s="297"/>
      <c r="BL42" s="297"/>
      <c r="BM42" s="297"/>
      <c r="BN42" s="297"/>
      <c r="BO42" s="297"/>
      <c r="BP42" s="297"/>
      <c r="BQ42" s="297"/>
      <c r="BR42" s="297"/>
      <c r="BS42" s="297"/>
      <c r="BT42" s="297"/>
      <c r="BU42" s="297"/>
      <c r="BV42" s="297"/>
      <c r="BW42" s="297"/>
      <c r="BX42" s="297"/>
      <c r="BY42" s="297"/>
      <c r="BZ42" s="297"/>
      <c r="CA42" s="297"/>
      <c r="CB42" s="297"/>
      <c r="CC42" s="297"/>
      <c r="CD42" s="297"/>
      <c r="CE42" s="297"/>
      <c r="CF42" s="297"/>
      <c r="CG42" s="297"/>
      <c r="CH42" s="297"/>
      <c r="CI42" s="297"/>
      <c r="CJ42" s="297"/>
      <c r="CK42" s="297"/>
      <c r="CL42" s="297"/>
      <c r="CM42" s="297"/>
      <c r="CN42" s="297"/>
      <c r="CO42" s="297"/>
      <c r="CP42" s="297"/>
      <c r="CQ42" s="297"/>
      <c r="CR42" s="297"/>
      <c r="CS42" s="297"/>
      <c r="CT42" s="297"/>
      <c r="CU42" s="297"/>
      <c r="CV42" s="297"/>
      <c r="CW42" s="297"/>
      <c r="CX42" s="297"/>
      <c r="CY42" s="297"/>
      <c r="CZ42" s="297"/>
      <c r="DA42" s="297"/>
      <c r="DB42" s="297"/>
      <c r="DC42" s="297"/>
      <c r="DD42" s="297"/>
      <c r="DE42" s="297"/>
      <c r="DF42" s="297"/>
      <c r="DG42" s="297"/>
      <c r="DH42" s="297"/>
      <c r="DI42" s="297"/>
      <c r="DJ42" s="297"/>
      <c r="DK42" s="178"/>
      <c r="DL42" s="178"/>
      <c r="DM42" s="178"/>
      <c r="DN42" s="178"/>
      <c r="DO42" s="178"/>
      <c r="DP42" s="178"/>
      <c r="DQ42" s="178"/>
      <c r="DR42" s="178"/>
      <c r="DS42" s="178"/>
      <c r="DT42" s="178"/>
      <c r="DU42" s="178"/>
      <c r="DV42" s="178"/>
      <c r="DW42" s="178"/>
      <c r="DX42" s="178"/>
      <c r="DY42" s="178"/>
      <c r="DZ42" s="178"/>
      <c r="EA42" s="178"/>
      <c r="EB42" s="178"/>
      <c r="EC42" s="178"/>
      <c r="ED42" s="178"/>
      <c r="EE42" s="178"/>
      <c r="EF42" s="178"/>
      <c r="EG42" s="178"/>
      <c r="EH42" s="178"/>
      <c r="EI42" s="178"/>
      <c r="EJ42" s="178"/>
      <c r="EK42" s="178"/>
      <c r="EL42" s="178"/>
      <c r="EM42" s="178"/>
      <c r="EN42" s="178"/>
      <c r="EO42" s="178"/>
      <c r="EP42" s="178"/>
      <c r="EQ42" s="178"/>
      <c r="ER42" s="178"/>
      <c r="ES42" s="178"/>
      <c r="ET42" s="178"/>
      <c r="EU42" s="178"/>
      <c r="EV42" s="178"/>
      <c r="EW42" s="178"/>
      <c r="EX42" s="178"/>
      <c r="EY42" s="178"/>
      <c r="EZ42" s="178"/>
      <c r="FA42" s="178"/>
      <c r="FB42" s="178"/>
      <c r="FC42" s="178"/>
      <c r="FD42" s="178"/>
      <c r="FE42" s="178"/>
      <c r="FF42" s="178"/>
      <c r="FG42" s="178"/>
      <c r="FH42" s="178"/>
      <c r="FI42" s="178"/>
      <c r="FJ42" s="178"/>
      <c r="FK42" s="178"/>
      <c r="FL42" s="178"/>
      <c r="FM42" s="178"/>
      <c r="FN42" s="178"/>
      <c r="FO42" s="178"/>
      <c r="FP42" s="178"/>
      <c r="FQ42" s="178"/>
      <c r="FR42" s="178"/>
      <c r="FS42" s="178"/>
      <c r="FT42" s="178"/>
      <c r="FU42" s="178"/>
      <c r="FV42" s="178"/>
      <c r="FW42" s="178"/>
      <c r="FX42" s="178"/>
      <c r="FY42" s="178"/>
      <c r="FZ42" s="178"/>
      <c r="GA42" s="178"/>
      <c r="GB42" s="178"/>
      <c r="GC42" s="178"/>
      <c r="GD42" s="178"/>
      <c r="GE42" s="178"/>
      <c r="GF42" s="178"/>
      <c r="GG42" s="178"/>
      <c r="GH42" s="178"/>
      <c r="GI42" s="178"/>
      <c r="GJ42" s="178"/>
      <c r="GK42" s="178"/>
      <c r="GL42" s="178"/>
      <c r="GM42" s="178"/>
      <c r="GN42" s="178"/>
      <c r="GO42" s="178"/>
      <c r="GP42" s="178"/>
      <c r="GQ42" s="178"/>
    </row>
    <row r="43" spans="2:199">
      <c r="B43" s="218" t="s">
        <v>623</v>
      </c>
      <c r="C43" s="164"/>
      <c r="D43" s="225">
        <f>(D41+D42)/2</f>
        <v>40.854500000000002</v>
      </c>
      <c r="E43" s="225">
        <f t="shared" ref="E43:F43" si="37">(E41+E42)/2</f>
        <v>11.8895</v>
      </c>
      <c r="F43" s="225">
        <f t="shared" si="37"/>
        <v>10.375999999999999</v>
      </c>
      <c r="G43" s="225">
        <f t="shared" ref="G43" si="38">(G41+G42)/2</f>
        <v>24.742930808786376</v>
      </c>
      <c r="H43" s="225">
        <f t="shared" ref="H43" si="39">(H41+H42)/2</f>
        <v>86.086472842123285</v>
      </c>
      <c r="I43" s="225">
        <f t="shared" ref="I43" si="40">(I41+I42)/2</f>
        <v>134.06785235566338</v>
      </c>
      <c r="J43" s="225">
        <f t="shared" ref="J43" si="41">(J41+J42)/2</f>
        <v>102.45332787345993</v>
      </c>
      <c r="K43" s="225">
        <f t="shared" ref="K43" si="42">(K41+K42)/2</f>
        <v>81.053114894152841</v>
      </c>
      <c r="L43" s="225">
        <f t="shared" ref="L43" si="43">(L41+L42)/2</f>
        <v>87.080563254438985</v>
      </c>
      <c r="M43" s="225">
        <f t="shared" ref="M43" si="44">(M41+M42)/2</f>
        <v>109.66963124910455</v>
      </c>
      <c r="N43" s="225">
        <f t="shared" ref="N43" si="45">(N41+N42)/2</f>
        <v>131.70501681484268</v>
      </c>
      <c r="O43" s="225">
        <f t="shared" ref="O43" si="46">(O41+O42)/2</f>
        <v>137.37268250269915</v>
      </c>
      <c r="P43" s="225">
        <f t="shared" ref="P43" si="47">(P41+P42)/2</f>
        <v>155.49103159654658</v>
      </c>
      <c r="Q43" s="225">
        <f t="shared" ref="Q43" si="48">(Q41+Q42)/2</f>
        <v>166.59618062032621</v>
      </c>
      <c r="R43" s="225">
        <f t="shared" ref="R43" si="49">(R41+R42)/2</f>
        <v>82.625480049321084</v>
      </c>
      <c r="S43" s="225">
        <f t="shared" ref="S43" si="50">(S41+S42)/2</f>
        <v>0</v>
      </c>
      <c r="T43" s="225">
        <f t="shared" ref="T43" si="51">(T41+T42)/2</f>
        <v>0</v>
      </c>
      <c r="U43" s="225">
        <f t="shared" ref="U43" si="52">(U41+U42)/2</f>
        <v>0</v>
      </c>
      <c r="V43" s="225">
        <f t="shared" ref="V43" si="53">(V41+V42)/2</f>
        <v>0</v>
      </c>
      <c r="W43" s="225">
        <f t="shared" ref="W43" si="54">(W41+W42)/2</f>
        <v>0</v>
      </c>
      <c r="X43" s="225">
        <f t="shared" ref="X43" si="55">(X41+X42)/2</f>
        <v>0</v>
      </c>
      <c r="Y43" s="225">
        <f t="shared" ref="Y43" si="56">(Y41+Y42)/2</f>
        <v>0</v>
      </c>
      <c r="Z43" s="225"/>
      <c r="AA43" s="225"/>
      <c r="AB43" s="225"/>
      <c r="AC43" s="225"/>
      <c r="AD43" s="225"/>
      <c r="AE43" s="225"/>
      <c r="AF43" s="297"/>
      <c r="AG43" s="297"/>
      <c r="AH43" s="297"/>
      <c r="AI43" s="297"/>
      <c r="AJ43" s="297"/>
      <c r="AK43" s="297"/>
      <c r="AL43" s="297"/>
      <c r="AM43" s="297"/>
      <c r="AN43" s="297"/>
      <c r="AO43" s="297"/>
      <c r="AP43" s="297"/>
      <c r="AQ43" s="297"/>
      <c r="AR43" s="297"/>
      <c r="AS43" s="297"/>
      <c r="AT43" s="297"/>
      <c r="AU43" s="297"/>
      <c r="AV43" s="297"/>
      <c r="AW43" s="297"/>
      <c r="AX43" s="297"/>
      <c r="AY43" s="297"/>
      <c r="AZ43" s="297"/>
      <c r="BA43" s="297"/>
      <c r="BB43" s="297"/>
      <c r="BC43" s="297"/>
      <c r="BD43" s="297"/>
      <c r="BE43" s="297"/>
      <c r="BF43" s="297"/>
      <c r="BG43" s="297"/>
      <c r="BH43" s="297"/>
      <c r="BI43" s="297"/>
      <c r="BJ43" s="297"/>
      <c r="BK43" s="297"/>
      <c r="BL43" s="297"/>
      <c r="BM43" s="297"/>
      <c r="BN43" s="297"/>
      <c r="BO43" s="297"/>
      <c r="BP43" s="297"/>
      <c r="BQ43" s="297"/>
      <c r="BR43" s="297"/>
      <c r="BS43" s="297"/>
      <c r="BT43" s="297"/>
      <c r="BU43" s="297"/>
      <c r="BV43" s="297"/>
      <c r="BW43" s="297"/>
      <c r="BX43" s="297"/>
      <c r="BY43" s="297"/>
      <c r="BZ43" s="297"/>
      <c r="CA43" s="297"/>
      <c r="CB43" s="297"/>
      <c r="CC43" s="297"/>
      <c r="CD43" s="297"/>
      <c r="CE43" s="297"/>
      <c r="CF43" s="297"/>
      <c r="CG43" s="297"/>
      <c r="CH43" s="297"/>
      <c r="CI43" s="297"/>
      <c r="CJ43" s="297"/>
      <c r="CK43" s="297"/>
      <c r="CL43" s="297"/>
      <c r="CM43" s="297"/>
      <c r="CN43" s="297"/>
      <c r="CO43" s="297"/>
      <c r="CP43" s="297"/>
      <c r="CQ43" s="297"/>
      <c r="CR43" s="297"/>
      <c r="CS43" s="297"/>
      <c r="CT43" s="297"/>
      <c r="CU43" s="297"/>
      <c r="CV43" s="297"/>
      <c r="CW43" s="297"/>
      <c r="CX43" s="297"/>
      <c r="CY43" s="297"/>
      <c r="CZ43" s="297"/>
      <c r="DA43" s="297"/>
      <c r="DB43" s="297"/>
      <c r="DC43" s="297"/>
      <c r="DD43" s="297"/>
      <c r="DE43" s="297"/>
      <c r="DF43" s="297"/>
      <c r="DG43" s="297"/>
      <c r="DH43" s="297"/>
      <c r="DI43" s="297"/>
      <c r="DJ43" s="297"/>
      <c r="DK43" s="178"/>
      <c r="DL43" s="178"/>
      <c r="DM43" s="178"/>
      <c r="DN43" s="178"/>
      <c r="DO43" s="178"/>
      <c r="DP43" s="178"/>
      <c r="DQ43" s="178"/>
      <c r="DR43" s="178"/>
      <c r="DS43" s="178"/>
      <c r="DT43" s="178"/>
      <c r="DU43" s="178"/>
      <c r="DV43" s="178"/>
      <c r="DW43" s="178"/>
      <c r="DX43" s="178"/>
      <c r="DY43" s="178"/>
      <c r="DZ43" s="178"/>
      <c r="EA43" s="178"/>
      <c r="EB43" s="178"/>
      <c r="EC43" s="178"/>
      <c r="ED43" s="178"/>
      <c r="EE43" s="178"/>
      <c r="EF43" s="178"/>
      <c r="EG43" s="178"/>
      <c r="EH43" s="178"/>
      <c r="EI43" s="178"/>
      <c r="EJ43" s="178"/>
      <c r="EK43" s="178"/>
      <c r="EL43" s="178"/>
      <c r="EM43" s="178"/>
      <c r="EN43" s="178"/>
      <c r="EO43" s="178"/>
      <c r="EP43" s="178"/>
      <c r="EQ43" s="178"/>
      <c r="ER43" s="178"/>
      <c r="ES43" s="178"/>
      <c r="ET43" s="178"/>
      <c r="EU43" s="178"/>
      <c r="EV43" s="178"/>
      <c r="EW43" s="178"/>
      <c r="EX43" s="178"/>
      <c r="EY43" s="178"/>
      <c r="EZ43" s="178"/>
      <c r="FA43" s="178"/>
      <c r="FB43" s="178"/>
      <c r="FC43" s="178"/>
      <c r="FD43" s="178"/>
      <c r="FE43" s="178"/>
      <c r="FF43" s="178"/>
      <c r="FG43" s="178"/>
      <c r="FH43" s="178"/>
      <c r="FI43" s="178"/>
      <c r="FJ43" s="178"/>
      <c r="FK43" s="178"/>
      <c r="FL43" s="178"/>
      <c r="FM43" s="178"/>
      <c r="FN43" s="178"/>
      <c r="FO43" s="178"/>
      <c r="FP43" s="178"/>
      <c r="FQ43" s="178"/>
      <c r="FR43" s="178"/>
      <c r="FS43" s="178"/>
      <c r="FT43" s="178"/>
      <c r="FU43" s="178"/>
      <c r="FV43" s="178"/>
      <c r="FW43" s="178"/>
      <c r="FX43" s="178"/>
      <c r="FY43" s="178"/>
      <c r="FZ43" s="178"/>
      <c r="GA43" s="178"/>
      <c r="GB43" s="178"/>
      <c r="GC43" s="178"/>
      <c r="GD43" s="178"/>
      <c r="GE43" s="178"/>
      <c r="GF43" s="178"/>
      <c r="GG43" s="178"/>
      <c r="GH43" s="178"/>
      <c r="GI43" s="178"/>
      <c r="GJ43" s="178"/>
      <c r="GK43" s="178"/>
      <c r="GL43" s="178"/>
      <c r="GM43" s="178"/>
      <c r="GN43" s="178"/>
      <c r="GO43" s="178"/>
      <c r="GP43" s="178"/>
      <c r="GQ43" s="178"/>
    </row>
    <row r="44" spans="2:199">
      <c r="B44" s="190" t="s">
        <v>624</v>
      </c>
      <c r="C44" s="490">
        <v>1</v>
      </c>
      <c r="D44" s="495">
        <f>PROJ_AGCeAGPar!H167</f>
        <v>4.1479999999999997</v>
      </c>
      <c r="E44" s="495">
        <f>PROJ_AGCeAGPar!I167</f>
        <v>22.864000000000001</v>
      </c>
      <c r="F44" s="495">
        <f>PROJ_AGCeAGPar!J167</f>
        <v>4.3049999999999997</v>
      </c>
      <c r="G44" s="498">
        <f>HLOOKUP(G$7,Macroeconomics!$B$5:$GB$36,Macroeconomics!$A$24,0)*$C$44*G41</f>
        <v>1.4115617017395439</v>
      </c>
      <c r="H44" s="498">
        <f>HLOOKUP(H$7,Macroeconomics!$B$5:$GB$36,Macroeconomics!$A$24,0)*$C$44*H41</f>
        <v>2.8176397641850985</v>
      </c>
      <c r="I44" s="498">
        <f>HLOOKUP(I$7,Macroeconomics!$B$5:$GB$36,Macroeconomics!$A$24,0)*$C$44*I41</f>
        <v>13.345736933535028</v>
      </c>
      <c r="J44" s="498">
        <f>HLOOKUP(J$7,Macroeconomics!$B$5:$GB$36,Macroeconomics!$A$24,0)*$C$44*J41</f>
        <v>12.27865572062125</v>
      </c>
      <c r="K44" s="498">
        <f>HLOOKUP(K$7,Macroeconomics!$B$5:$GB$36,Macroeconomics!$A$24,0)*$C$44*K41</f>
        <v>7.3084926943892059</v>
      </c>
      <c r="L44" s="498">
        <f>HLOOKUP(L$7,Macroeconomics!$B$5:$GB$36,Macroeconomics!$A$24,0)*$C$44*L41</f>
        <v>8.3671797261399519</v>
      </c>
      <c r="M44" s="498">
        <f>HLOOKUP(M$7,Macroeconomics!$B$5:$GB$36,Macroeconomics!$A$24,0)*$C$44*M41</f>
        <v>8.2638797708937322</v>
      </c>
      <c r="N44" s="498">
        <f>HLOOKUP(N$7,Macroeconomics!$B$5:$GB$36,Macroeconomics!$A$24,0)*$C$44*N41</f>
        <v>12.406642149619852</v>
      </c>
      <c r="O44" s="498">
        <f>HLOOKUP(O$7,Macroeconomics!$B$5:$GB$36,Macroeconomics!$A$24,0)*$C$44*O41</f>
        <v>12.40658301829651</v>
      </c>
      <c r="P44" s="498">
        <f>HLOOKUP(P$7,Macroeconomics!$B$5:$GB$36,Macroeconomics!$A$24,0)*$C$44*P41</f>
        <v>13.47443036521201</v>
      </c>
      <c r="Q44" s="498">
        <f>HLOOKUP(Q$7,Macroeconomics!$B$5:$GB$36,Macroeconomics!$A$24,0)*$C$44*Q41</f>
        <v>15.417020624836539</v>
      </c>
      <c r="R44" s="498">
        <f>HLOOKUP(R$7,Macroeconomics!$B$5:$GB$36,Macroeconomics!$A$24,0)*$C$44*R41</f>
        <v>15.17003813705535</v>
      </c>
      <c r="S44" s="498">
        <f>HLOOKUP(S$7,Macroeconomics!$B$5:$GB$36,Macroeconomics!$A$24,0)*$C$44*S41</f>
        <v>0</v>
      </c>
      <c r="T44" s="498">
        <f>HLOOKUP(T$7,Macroeconomics!$B$5:$GB$36,Macroeconomics!$A$24,0)*$C$44*T41</f>
        <v>0</v>
      </c>
      <c r="U44" s="498">
        <f>HLOOKUP(U$7,Macroeconomics!$B$5:$GB$36,Macroeconomics!$A$24,0)*$C$44*U41</f>
        <v>0</v>
      </c>
      <c r="V44" s="498">
        <f>HLOOKUP(V$7,Macroeconomics!$B$5:$GB$36,Macroeconomics!$A$24,0)*$C$44*V41</f>
        <v>0</v>
      </c>
      <c r="W44" s="498">
        <f>HLOOKUP(W$7,Macroeconomics!$B$5:$GB$36,Macroeconomics!$A$24,0)*$C$44*W41</f>
        <v>0</v>
      </c>
      <c r="X44" s="498">
        <f>HLOOKUP(X$7,Macroeconomics!$B$5:$GB$36,Macroeconomics!$A$24,0)*$C$44*X41</f>
        <v>0</v>
      </c>
      <c r="Y44" s="498">
        <f>HLOOKUP(Y$7,Macroeconomics!$B$5:$GB$36,Macroeconomics!$A$24,0)*$C$44*Y41</f>
        <v>0</v>
      </c>
      <c r="Z44" s="498"/>
      <c r="AA44" s="498"/>
      <c r="AB44" s="498"/>
      <c r="AC44" s="498"/>
      <c r="AD44" s="498"/>
      <c r="AE44" s="498"/>
      <c r="AF44" s="297"/>
      <c r="AG44" s="297"/>
      <c r="AH44" s="297"/>
      <c r="AI44" s="297"/>
      <c r="AJ44" s="297"/>
      <c r="AK44" s="297"/>
      <c r="AL44" s="297"/>
      <c r="AM44" s="297"/>
      <c r="AN44" s="297"/>
      <c r="AO44" s="297"/>
      <c r="AP44" s="297"/>
      <c r="AQ44" s="297"/>
      <c r="AR44" s="297"/>
      <c r="AS44" s="297"/>
      <c r="AT44" s="297"/>
      <c r="AU44" s="297"/>
      <c r="AV44" s="297"/>
      <c r="AW44" s="297"/>
      <c r="AX44" s="297"/>
      <c r="AY44" s="297"/>
      <c r="AZ44" s="297"/>
      <c r="BA44" s="297"/>
      <c r="BB44" s="297"/>
      <c r="BC44" s="297"/>
      <c r="BD44" s="297"/>
      <c r="BE44" s="297"/>
      <c r="BF44" s="297"/>
      <c r="BG44" s="297"/>
      <c r="BH44" s="297"/>
      <c r="BI44" s="297"/>
      <c r="BJ44" s="297"/>
      <c r="BK44" s="297"/>
      <c r="BL44" s="297"/>
      <c r="BM44" s="297"/>
      <c r="BN44" s="297"/>
      <c r="BO44" s="297"/>
      <c r="BP44" s="297"/>
      <c r="BQ44" s="297"/>
      <c r="BR44" s="297"/>
      <c r="BS44" s="297"/>
      <c r="BT44" s="297"/>
      <c r="BU44" s="297"/>
      <c r="BV44" s="297"/>
      <c r="BW44" s="297"/>
      <c r="BX44" s="297"/>
      <c r="BY44" s="297"/>
      <c r="BZ44" s="297"/>
      <c r="CA44" s="297"/>
      <c r="CB44" s="297"/>
      <c r="CC44" s="297"/>
      <c r="CD44" s="297"/>
      <c r="CE44" s="297"/>
      <c r="CF44" s="297"/>
      <c r="CG44" s="297"/>
      <c r="CH44" s="297"/>
      <c r="CI44" s="297"/>
      <c r="CJ44" s="297"/>
      <c r="CK44" s="297"/>
      <c r="CL44" s="297"/>
      <c r="CM44" s="297"/>
      <c r="CN44" s="297"/>
      <c r="CO44" s="297"/>
      <c r="CP44" s="297"/>
      <c r="CQ44" s="297"/>
      <c r="CR44" s="297"/>
      <c r="CS44" s="297"/>
      <c r="CT44" s="297"/>
      <c r="CU44" s="297"/>
      <c r="CV44" s="297"/>
      <c r="CW44" s="297"/>
      <c r="CX44" s="297"/>
      <c r="CY44" s="297"/>
      <c r="CZ44" s="297"/>
      <c r="DA44" s="297"/>
      <c r="DB44" s="297"/>
      <c r="DC44" s="297"/>
      <c r="DD44" s="297"/>
      <c r="DE44" s="297"/>
      <c r="DF44" s="297"/>
      <c r="DG44" s="297"/>
      <c r="DH44" s="297"/>
      <c r="DI44" s="297"/>
      <c r="DJ44" s="297"/>
      <c r="DK44" s="178"/>
      <c r="DL44" s="178"/>
      <c r="DM44" s="178"/>
      <c r="DN44" s="178"/>
      <c r="DO44" s="178"/>
      <c r="DP44" s="178"/>
      <c r="DQ44" s="178"/>
      <c r="DR44" s="178"/>
      <c r="DS44" s="178"/>
      <c r="DT44" s="178"/>
      <c r="DU44" s="178"/>
      <c r="DV44" s="178"/>
      <c r="DW44" s="178"/>
      <c r="DX44" s="178"/>
      <c r="DY44" s="178"/>
      <c r="DZ44" s="178"/>
      <c r="EA44" s="178"/>
      <c r="EB44" s="178"/>
      <c r="EC44" s="178"/>
      <c r="ED44" s="178"/>
      <c r="EE44" s="178"/>
      <c r="EF44" s="178"/>
      <c r="EG44" s="178"/>
      <c r="EH44" s="178"/>
      <c r="EI44" s="178"/>
      <c r="EJ44" s="178"/>
      <c r="EK44" s="178"/>
      <c r="EL44" s="178"/>
      <c r="EM44" s="178"/>
      <c r="EN44" s="178"/>
      <c r="EO44" s="178"/>
      <c r="EP44" s="178"/>
      <c r="EQ44" s="178"/>
      <c r="ER44" s="178"/>
      <c r="ES44" s="178"/>
      <c r="ET44" s="178"/>
      <c r="EU44" s="178"/>
      <c r="EV44" s="178"/>
      <c r="EW44" s="178"/>
      <c r="EX44" s="178"/>
      <c r="EY44" s="178"/>
      <c r="EZ44" s="178"/>
      <c r="FA44" s="178"/>
      <c r="FB44" s="178"/>
      <c r="FC44" s="178"/>
      <c r="FD44" s="178"/>
      <c r="FE44" s="178"/>
      <c r="FF44" s="178"/>
      <c r="FG44" s="178"/>
      <c r="FH44" s="178"/>
      <c r="FI44" s="178"/>
      <c r="FJ44" s="178"/>
      <c r="FK44" s="178"/>
      <c r="FL44" s="178"/>
      <c r="FM44" s="178"/>
      <c r="FN44" s="178"/>
      <c r="FO44" s="178"/>
      <c r="FP44" s="178"/>
      <c r="FQ44" s="178"/>
      <c r="FR44" s="178"/>
      <c r="FS44" s="178"/>
      <c r="FT44" s="178"/>
      <c r="FU44" s="178"/>
      <c r="FV44" s="178"/>
      <c r="FW44" s="178"/>
      <c r="FX44" s="178"/>
      <c r="FY44" s="178"/>
      <c r="FZ44" s="178"/>
      <c r="GA44" s="178"/>
      <c r="GB44" s="178"/>
      <c r="GC44" s="178"/>
      <c r="GD44" s="178"/>
      <c r="GE44" s="178"/>
      <c r="GF44" s="178"/>
      <c r="GG44" s="178"/>
      <c r="GH44" s="178"/>
      <c r="GI44" s="178"/>
      <c r="GJ44" s="178"/>
      <c r="GK44" s="178"/>
      <c r="GL44" s="178"/>
      <c r="GM44" s="178"/>
      <c r="GN44" s="178"/>
      <c r="GO44" s="178"/>
      <c r="GP44" s="178"/>
      <c r="GQ44" s="178"/>
    </row>
    <row r="45" spans="2:199">
      <c r="B45" s="491" t="s">
        <v>625</v>
      </c>
      <c r="C45" s="164"/>
      <c r="D45" s="492">
        <f>D44/D43</f>
        <v>0.10153104309194824</v>
      </c>
      <c r="E45" s="492">
        <f t="shared" ref="E45:F45" si="57">E44/E43</f>
        <v>1.9230413389965937</v>
      </c>
      <c r="F45" s="492">
        <f t="shared" si="57"/>
        <v>0.41489976869699308</v>
      </c>
      <c r="G45" s="492">
        <f t="shared" ref="G45" si="58">G44/G43</f>
        <v>5.7049090612915146E-2</v>
      </c>
      <c r="H45" s="492">
        <f t="shared" ref="H45" si="59">H44/H43</f>
        <v>3.2730342772347723E-2</v>
      </c>
      <c r="I45" s="492">
        <f t="shared" ref="I45" si="60">I44/I43</f>
        <v>9.9544646229810879E-2</v>
      </c>
      <c r="J45" s="492">
        <f t="shared" ref="J45" si="61">J44/J43</f>
        <v>0.11984633369632086</v>
      </c>
      <c r="K45" s="492">
        <f t="shared" ref="K45" si="62">K44/K43</f>
        <v>9.0169177383662022E-2</v>
      </c>
      <c r="L45" s="492">
        <f t="shared" ref="L45" si="63">L44/L43</f>
        <v>9.6085503049538779E-2</v>
      </c>
      <c r="M45" s="492">
        <f t="shared" ref="M45" si="64">M44/M43</f>
        <v>7.5352489807530065E-2</v>
      </c>
      <c r="N45" s="492">
        <f t="shared" ref="N45" si="65">N44/N43</f>
        <v>9.4200224483944398E-2</v>
      </c>
      <c r="O45" s="492">
        <f t="shared" ref="O45" si="66">O44/O43</f>
        <v>9.0313319884779433E-2</v>
      </c>
      <c r="P45" s="492">
        <f t="shared" ref="P45" si="67">P44/P43</f>
        <v>8.6657283232734528E-2</v>
      </c>
      <c r="Q45" s="492">
        <f t="shared" ref="Q45" si="68">Q44/Q43</f>
        <v>9.2541260954667567E-2</v>
      </c>
      <c r="R45" s="492">
        <f t="shared" ref="R45" si="69">R44/R43</f>
        <v>0.18359999999999999</v>
      </c>
      <c r="S45" s="492" t="e">
        <f t="shared" ref="S45" si="70">S44/S43</f>
        <v>#DIV/0!</v>
      </c>
      <c r="T45" s="492" t="e">
        <f t="shared" ref="T45" si="71">T44/T43</f>
        <v>#DIV/0!</v>
      </c>
      <c r="U45" s="492" t="e">
        <f t="shared" ref="U45" si="72">U44/U43</f>
        <v>#DIV/0!</v>
      </c>
      <c r="V45" s="492" t="e">
        <f t="shared" ref="V45" si="73">V44/V43</f>
        <v>#DIV/0!</v>
      </c>
      <c r="W45" s="492" t="e">
        <f t="shared" ref="W45" si="74">W44/W43</f>
        <v>#DIV/0!</v>
      </c>
      <c r="X45" s="492" t="e">
        <f t="shared" ref="X45" si="75">X44/X43</f>
        <v>#DIV/0!</v>
      </c>
      <c r="Y45" s="492" t="e">
        <f t="shared" ref="Y45" si="76">Y44/Y43</f>
        <v>#DIV/0!</v>
      </c>
      <c r="Z45" s="492"/>
      <c r="AA45" s="492"/>
      <c r="AB45" s="492"/>
      <c r="AC45" s="492"/>
      <c r="AD45" s="492"/>
      <c r="AE45" s="492"/>
      <c r="AF45" s="297"/>
      <c r="AG45" s="297"/>
      <c r="AH45" s="297"/>
      <c r="AI45" s="297"/>
      <c r="AJ45" s="297"/>
      <c r="AK45" s="297"/>
      <c r="AL45" s="297"/>
      <c r="AM45" s="297"/>
      <c r="AN45" s="297"/>
      <c r="AO45" s="297"/>
      <c r="AP45" s="297"/>
      <c r="AQ45" s="297"/>
      <c r="AR45" s="297"/>
      <c r="AS45" s="297"/>
      <c r="AT45" s="297"/>
      <c r="AU45" s="297"/>
      <c r="AV45" s="297"/>
      <c r="AW45" s="297"/>
      <c r="AX45" s="297"/>
      <c r="AY45" s="297"/>
      <c r="AZ45" s="297"/>
      <c r="BA45" s="297"/>
      <c r="BB45" s="297"/>
      <c r="BC45" s="297"/>
      <c r="BD45" s="297"/>
      <c r="BE45" s="297"/>
      <c r="BF45" s="297"/>
      <c r="BG45" s="297"/>
      <c r="BH45" s="297"/>
      <c r="BI45" s="297"/>
      <c r="BJ45" s="297"/>
      <c r="BK45" s="297"/>
      <c r="BL45" s="297"/>
      <c r="BM45" s="297"/>
      <c r="BN45" s="297"/>
      <c r="BO45" s="297"/>
      <c r="BP45" s="297"/>
      <c r="BQ45" s="297"/>
      <c r="BR45" s="297"/>
      <c r="BS45" s="297"/>
      <c r="BT45" s="297"/>
      <c r="BU45" s="297"/>
      <c r="BV45" s="297"/>
      <c r="BW45" s="297"/>
      <c r="BX45" s="297"/>
      <c r="BY45" s="297"/>
      <c r="BZ45" s="297"/>
      <c r="CA45" s="297"/>
      <c r="CB45" s="297"/>
      <c r="CC45" s="297"/>
      <c r="CD45" s="297"/>
      <c r="CE45" s="297"/>
      <c r="CF45" s="297"/>
      <c r="CG45" s="297"/>
      <c r="CH45" s="297"/>
      <c r="CI45" s="297"/>
      <c r="CJ45" s="297"/>
      <c r="CK45" s="297"/>
      <c r="CL45" s="297"/>
      <c r="CM45" s="297"/>
      <c r="CN45" s="297"/>
      <c r="CO45" s="297"/>
      <c r="CP45" s="297"/>
      <c r="CQ45" s="297"/>
      <c r="CR45" s="297"/>
      <c r="CS45" s="297"/>
      <c r="CT45" s="297"/>
      <c r="CU45" s="297"/>
      <c r="CV45" s="297"/>
      <c r="CW45" s="297"/>
      <c r="CX45" s="297"/>
      <c r="CY45" s="297"/>
      <c r="CZ45" s="297"/>
      <c r="DA45" s="297"/>
      <c r="DB45" s="297"/>
      <c r="DC45" s="297"/>
      <c r="DD45" s="297"/>
      <c r="DE45" s="297"/>
      <c r="DF45" s="297"/>
      <c r="DG45" s="297"/>
      <c r="DH45" s="297"/>
      <c r="DI45" s="297"/>
      <c r="DJ45" s="297"/>
      <c r="DK45" s="178"/>
      <c r="DL45" s="178"/>
      <c r="DM45" s="178"/>
      <c r="DN45" s="178"/>
      <c r="DO45" s="178"/>
      <c r="DP45" s="178"/>
      <c r="DQ45" s="178"/>
      <c r="DR45" s="178"/>
      <c r="DS45" s="178"/>
      <c r="DT45" s="178"/>
      <c r="DU45" s="178"/>
      <c r="DV45" s="178"/>
      <c r="DW45" s="178"/>
      <c r="DX45" s="178"/>
      <c r="DY45" s="178"/>
      <c r="DZ45" s="178"/>
      <c r="EA45" s="178"/>
      <c r="EB45" s="178"/>
      <c r="EC45" s="178"/>
      <c r="ED45" s="178"/>
      <c r="EE45" s="178"/>
      <c r="EF45" s="178"/>
      <c r="EG45" s="178"/>
      <c r="EH45" s="178"/>
      <c r="EI45" s="178"/>
      <c r="EJ45" s="178"/>
      <c r="EK45" s="178"/>
      <c r="EL45" s="178"/>
      <c r="EM45" s="178"/>
      <c r="EN45" s="178"/>
      <c r="EO45" s="178"/>
      <c r="EP45" s="178"/>
      <c r="EQ45" s="178"/>
      <c r="ER45" s="178"/>
      <c r="ES45" s="178"/>
      <c r="ET45" s="178"/>
      <c r="EU45" s="178"/>
      <c r="EV45" s="178"/>
      <c r="EW45" s="178"/>
      <c r="EX45" s="178"/>
      <c r="EY45" s="178"/>
      <c r="EZ45" s="178"/>
      <c r="FA45" s="178"/>
      <c r="FB45" s="178"/>
      <c r="FC45" s="178"/>
      <c r="FD45" s="178"/>
      <c r="FE45" s="178"/>
      <c r="FF45" s="178"/>
      <c r="FG45" s="178"/>
      <c r="FH45" s="178"/>
      <c r="FI45" s="178"/>
      <c r="FJ45" s="178"/>
      <c r="FK45" s="178"/>
      <c r="FL45" s="178"/>
      <c r="FM45" s="178"/>
      <c r="FN45" s="178"/>
      <c r="FO45" s="178"/>
      <c r="FP45" s="178"/>
      <c r="FQ45" s="178"/>
      <c r="FR45" s="178"/>
      <c r="FS45" s="178"/>
      <c r="FT45" s="178"/>
      <c r="FU45" s="178"/>
      <c r="FV45" s="178"/>
      <c r="FW45" s="178"/>
      <c r="FX45" s="178"/>
      <c r="FY45" s="178"/>
      <c r="FZ45" s="178"/>
      <c r="GA45" s="178"/>
      <c r="GB45" s="178"/>
      <c r="GC45" s="178"/>
      <c r="GD45" s="178"/>
      <c r="GE45" s="178"/>
      <c r="GF45" s="178"/>
      <c r="GG45" s="178"/>
      <c r="GH45" s="178"/>
      <c r="GI45" s="178"/>
      <c r="GJ45" s="178"/>
      <c r="GK45" s="178"/>
      <c r="GL45" s="178"/>
      <c r="GM45" s="178"/>
      <c r="GN45" s="178"/>
      <c r="GO45" s="178"/>
      <c r="GP45" s="178"/>
      <c r="GQ45" s="178"/>
    </row>
    <row r="46" spans="2:199">
      <c r="B46" s="493" t="s">
        <v>466</v>
      </c>
      <c r="C46" s="164"/>
      <c r="D46" s="494">
        <f>D45/HLOOKUP(D$7,Macroeconomics!$B$5:$GB$36,Macroeconomics!$A$24,0)</f>
        <v>1.0279782315616284</v>
      </c>
      <c r="E46" s="494">
        <f>E45/HLOOKUP(E$7,Macroeconomics!$B$5:$GB$36,Macroeconomics!$A$24,0)</f>
        <v>19.709260096710288</v>
      </c>
      <c r="F46" s="494">
        <f>F45/HLOOKUP(F$7,Macroeconomics!$B$5:$GB$36,Macroeconomics!$A$24,0)</f>
        <v>3.5802754103567906</v>
      </c>
      <c r="G46" s="494">
        <f>G45/HLOOKUP(G$7,Macroeconomics!$B$5:$GB$36,Macroeconomics!$A$24,0)</f>
        <v>0.65153963063564502</v>
      </c>
      <c r="H46" s="494">
        <f>H45/HLOOKUP(H$7,Macroeconomics!$B$5:$GB$36,Macroeconomics!$A$24,0)</f>
        <v>0.3875738024342294</v>
      </c>
      <c r="I46" s="494">
        <f>I45/HLOOKUP(I$7,Macroeconomics!$B$5:$GB$36,Macroeconomics!$A$24,0)</f>
        <v>1.035356960134151</v>
      </c>
      <c r="J46" s="494">
        <f>J45/HLOOKUP(J$7,Macroeconomics!$B$5:$GB$36,Macroeconomics!$A$24,0)</f>
        <v>1.2623076607563737</v>
      </c>
      <c r="K46" s="494">
        <f>K45/HLOOKUP(K$7,Macroeconomics!$B$5:$GB$36,Macroeconomics!$A$24,0)</f>
        <v>0.93246305463973145</v>
      </c>
      <c r="L46" s="494">
        <f>L45/HLOOKUP(L$7,Macroeconomics!$B$5:$GB$36,Macroeconomics!$A$24,0)</f>
        <v>0.99364532626203494</v>
      </c>
      <c r="M46" s="494">
        <f>M45/HLOOKUP(M$7,Macroeconomics!$B$5:$GB$36,Macroeconomics!$A$24,0)</f>
        <v>0.79907200220074304</v>
      </c>
      <c r="N46" s="494">
        <f>N45/HLOOKUP(N$7,Macroeconomics!$B$5:$GB$36,Macroeconomics!$A$24,0)</f>
        <v>1.0000023830567346</v>
      </c>
      <c r="O46" s="494">
        <f>O45/HLOOKUP(O$7,Macroeconomics!$B$5:$GB$36,Macroeconomics!$A$24,0)</f>
        <v>0.95874012616538673</v>
      </c>
      <c r="P46" s="494">
        <f>P45/HLOOKUP(P$7,Macroeconomics!$B$5:$GB$36,Macroeconomics!$A$24,0)</f>
        <v>0.91992869673815836</v>
      </c>
      <c r="Q46" s="494">
        <f>Q45/HLOOKUP(Q$7,Macroeconomics!$B$5:$GB$36,Macroeconomics!$A$24,0)</f>
        <v>1.0080747380682742</v>
      </c>
      <c r="R46" s="494">
        <f>R45/HLOOKUP(R$7,Macroeconomics!$B$5:$GB$36,Macroeconomics!$A$24,0)</f>
        <v>2</v>
      </c>
      <c r="S46" s="494" t="e">
        <f>S45/HLOOKUP(S$7,Macroeconomics!$B$5:$GB$36,Macroeconomics!$A$24,0)</f>
        <v>#DIV/0!</v>
      </c>
      <c r="T46" s="494" t="e">
        <f>T45/HLOOKUP(T$7,Macroeconomics!$B$5:$GB$36,Macroeconomics!$A$24,0)</f>
        <v>#DIV/0!</v>
      </c>
      <c r="U46" s="494" t="e">
        <f>U45/HLOOKUP(U$7,Macroeconomics!$B$5:$GB$36,Macroeconomics!$A$24,0)</f>
        <v>#DIV/0!</v>
      </c>
      <c r="V46" s="494" t="e">
        <f>V45/HLOOKUP(V$7,Macroeconomics!$B$5:$GB$36,Macroeconomics!$A$24,0)</f>
        <v>#DIV/0!</v>
      </c>
      <c r="W46" s="494" t="e">
        <f>W45/HLOOKUP(W$7,Macroeconomics!$B$5:$GB$36,Macroeconomics!$A$24,0)</f>
        <v>#DIV/0!</v>
      </c>
      <c r="X46" s="494" t="e">
        <f>X45/HLOOKUP(X$7,Macroeconomics!$B$5:$GB$36,Macroeconomics!$A$24,0)</f>
        <v>#DIV/0!</v>
      </c>
      <c r="Y46" s="494" t="e">
        <f>Y45/HLOOKUP(Y$7,Macroeconomics!$B$5:$GB$36,Macroeconomics!$A$24,0)</f>
        <v>#DIV/0!</v>
      </c>
      <c r="Z46" s="494"/>
      <c r="AA46" s="494"/>
      <c r="AB46" s="494"/>
      <c r="AC46" s="494"/>
      <c r="AD46" s="494"/>
      <c r="AE46" s="494"/>
      <c r="AF46" s="297"/>
      <c r="AG46" s="297"/>
      <c r="AH46" s="297"/>
      <c r="AI46" s="297"/>
      <c r="AJ46" s="297"/>
      <c r="AK46" s="297"/>
      <c r="AL46" s="297"/>
      <c r="AM46" s="297"/>
      <c r="AN46" s="297"/>
      <c r="AO46" s="297"/>
      <c r="AP46" s="297"/>
      <c r="AQ46" s="297"/>
      <c r="AR46" s="297"/>
      <c r="AS46" s="297"/>
      <c r="AT46" s="297"/>
      <c r="AU46" s="297"/>
      <c r="AV46" s="297"/>
      <c r="AW46" s="297"/>
      <c r="AX46" s="297"/>
      <c r="AY46" s="297"/>
      <c r="AZ46" s="297"/>
      <c r="BA46" s="297"/>
      <c r="BB46" s="297"/>
      <c r="BC46" s="297"/>
      <c r="BD46" s="297"/>
      <c r="BE46" s="297"/>
      <c r="BF46" s="297"/>
      <c r="BG46" s="297"/>
      <c r="BH46" s="297"/>
      <c r="BI46" s="297"/>
      <c r="BJ46" s="297"/>
      <c r="BK46" s="297"/>
      <c r="BL46" s="297"/>
      <c r="BM46" s="297"/>
      <c r="BN46" s="297"/>
      <c r="BO46" s="297"/>
      <c r="BP46" s="297"/>
      <c r="BQ46" s="297"/>
      <c r="BR46" s="297"/>
      <c r="BS46" s="297"/>
      <c r="BT46" s="297"/>
      <c r="BU46" s="297"/>
      <c r="BV46" s="297"/>
      <c r="BW46" s="297"/>
      <c r="BX46" s="297"/>
      <c r="BY46" s="297"/>
      <c r="BZ46" s="297"/>
      <c r="CA46" s="297"/>
      <c r="CB46" s="297"/>
      <c r="CC46" s="297"/>
      <c r="CD46" s="297"/>
      <c r="CE46" s="297"/>
      <c r="CF46" s="297"/>
      <c r="CG46" s="297"/>
      <c r="CH46" s="297"/>
      <c r="CI46" s="297"/>
      <c r="CJ46" s="297"/>
      <c r="CK46" s="297"/>
      <c r="CL46" s="297"/>
      <c r="CM46" s="297"/>
      <c r="CN46" s="297"/>
      <c r="CO46" s="297"/>
      <c r="CP46" s="297"/>
      <c r="CQ46" s="297"/>
      <c r="CR46" s="297"/>
      <c r="CS46" s="297"/>
      <c r="CT46" s="297"/>
      <c r="CU46" s="297"/>
      <c r="CV46" s="297"/>
      <c r="CW46" s="297"/>
      <c r="CX46" s="297"/>
      <c r="CY46" s="297"/>
      <c r="CZ46" s="297"/>
      <c r="DA46" s="297"/>
      <c r="DB46" s="297"/>
      <c r="DC46" s="297"/>
      <c r="DD46" s="297"/>
      <c r="DE46" s="297"/>
      <c r="DF46" s="297"/>
      <c r="DG46" s="297"/>
      <c r="DH46" s="297"/>
      <c r="DI46" s="297"/>
      <c r="DJ46" s="297"/>
      <c r="DK46" s="178"/>
      <c r="DL46" s="178"/>
      <c r="DM46" s="178"/>
      <c r="DN46" s="178"/>
      <c r="DO46" s="178"/>
      <c r="DP46" s="178"/>
      <c r="DQ46" s="178"/>
      <c r="DR46" s="178"/>
      <c r="DS46" s="178"/>
      <c r="DT46" s="178"/>
      <c r="DU46" s="178"/>
      <c r="DV46" s="178"/>
      <c r="DW46" s="178"/>
      <c r="DX46" s="178"/>
      <c r="DY46" s="178"/>
      <c r="DZ46" s="178"/>
      <c r="EA46" s="178"/>
      <c r="EB46" s="178"/>
      <c r="EC46" s="178"/>
      <c r="ED46" s="178"/>
      <c r="EE46" s="178"/>
      <c r="EF46" s="178"/>
      <c r="EG46" s="178"/>
      <c r="EH46" s="178"/>
      <c r="EI46" s="178"/>
      <c r="EJ46" s="178"/>
      <c r="EK46" s="178"/>
      <c r="EL46" s="178"/>
      <c r="EM46" s="178"/>
      <c r="EN46" s="178"/>
      <c r="EO46" s="178"/>
      <c r="EP46" s="178"/>
      <c r="EQ46" s="178"/>
      <c r="ER46" s="178"/>
      <c r="ES46" s="178"/>
      <c r="ET46" s="178"/>
      <c r="EU46" s="178"/>
      <c r="EV46" s="178"/>
      <c r="EW46" s="178"/>
      <c r="EX46" s="178"/>
      <c r="EY46" s="178"/>
      <c r="EZ46" s="178"/>
      <c r="FA46" s="178"/>
      <c r="FB46" s="178"/>
      <c r="FC46" s="178"/>
      <c r="FD46" s="178"/>
      <c r="FE46" s="178"/>
      <c r="FF46" s="178"/>
      <c r="FG46" s="178"/>
      <c r="FH46" s="178"/>
      <c r="FI46" s="178"/>
      <c r="FJ46" s="178"/>
      <c r="FK46" s="178"/>
      <c r="FL46" s="178"/>
      <c r="FM46" s="178"/>
      <c r="FN46" s="178"/>
      <c r="FO46" s="178"/>
      <c r="FP46" s="178"/>
      <c r="FQ46" s="178"/>
      <c r="FR46" s="178"/>
      <c r="FS46" s="178"/>
      <c r="FT46" s="178"/>
      <c r="FU46" s="178"/>
      <c r="FV46" s="178"/>
      <c r="FW46" s="178"/>
      <c r="FX46" s="178"/>
      <c r="FY46" s="178"/>
      <c r="FZ46" s="178"/>
      <c r="GA46" s="178"/>
      <c r="GB46" s="178"/>
      <c r="GC46" s="178"/>
      <c r="GD46" s="178"/>
      <c r="GE46" s="178"/>
      <c r="GF46" s="178"/>
      <c r="GG46" s="178"/>
      <c r="GH46" s="178"/>
      <c r="GI46" s="178"/>
      <c r="GJ46" s="178"/>
      <c r="GK46" s="178"/>
      <c r="GL46" s="178"/>
      <c r="GM46" s="178"/>
      <c r="GN46" s="178"/>
      <c r="GO46" s="178"/>
      <c r="GP46" s="178"/>
      <c r="GQ46" s="178"/>
    </row>
    <row r="47" spans="2:199">
      <c r="G47" s="227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  <c r="AB47" s="227"/>
      <c r="AC47" s="227"/>
      <c r="AD47" s="227"/>
      <c r="AE47" s="227"/>
      <c r="AF47" s="227"/>
      <c r="AG47" s="227"/>
      <c r="AH47" s="227"/>
      <c r="AI47" s="227"/>
      <c r="AJ47" s="227"/>
      <c r="AK47" s="227"/>
      <c r="AL47" s="227"/>
      <c r="AM47" s="227"/>
      <c r="AN47" s="227"/>
      <c r="AO47" s="227"/>
      <c r="AP47" s="227"/>
      <c r="AQ47" s="227"/>
      <c r="AR47" s="227"/>
      <c r="AS47" s="227"/>
      <c r="AT47" s="227"/>
      <c r="AU47" s="227"/>
      <c r="AV47" s="227"/>
      <c r="AW47" s="227"/>
      <c r="AX47" s="227"/>
      <c r="AY47" s="227"/>
      <c r="AZ47" s="227"/>
      <c r="BA47" s="227"/>
      <c r="BB47" s="227"/>
      <c r="BC47" s="227"/>
      <c r="BD47" s="227"/>
      <c r="BE47" s="227"/>
      <c r="BF47" s="227"/>
      <c r="BG47" s="227"/>
      <c r="BH47" s="227"/>
      <c r="BI47" s="227"/>
      <c r="BJ47" s="227"/>
      <c r="BK47" s="227"/>
      <c r="BL47" s="227"/>
      <c r="BM47" s="227"/>
      <c r="BN47" s="227"/>
      <c r="BO47" s="227"/>
    </row>
    <row r="48" spans="2:199">
      <c r="B48" s="156"/>
      <c r="D48" s="153"/>
      <c r="E48" s="216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53"/>
      <c r="AE48" s="153"/>
      <c r="AF48" s="153"/>
      <c r="AG48" s="153"/>
      <c r="AH48" s="153"/>
      <c r="AI48" s="153"/>
      <c r="AJ48" s="153"/>
      <c r="AK48" s="153"/>
      <c r="AL48" s="153"/>
      <c r="AM48" s="153"/>
      <c r="AN48" s="153"/>
      <c r="AO48" s="153"/>
      <c r="AP48" s="153"/>
      <c r="AQ48" s="153"/>
      <c r="AR48" s="153"/>
      <c r="AS48" s="153"/>
      <c r="AT48" s="153"/>
      <c r="AU48" s="153"/>
      <c r="AV48" s="153"/>
      <c r="AW48" s="153"/>
      <c r="AX48" s="153"/>
      <c r="AY48" s="153"/>
      <c r="AZ48" s="153"/>
      <c r="BA48" s="153"/>
      <c r="BB48" s="153"/>
      <c r="BC48" s="153"/>
      <c r="BD48" s="153"/>
      <c r="BE48" s="153"/>
      <c r="BF48" s="153"/>
      <c r="BG48" s="153"/>
      <c r="BH48" s="153"/>
      <c r="BI48" s="153"/>
      <c r="BJ48" s="153"/>
      <c r="BK48" s="153"/>
      <c r="BL48" s="153"/>
      <c r="BM48" s="153"/>
      <c r="BN48" s="153"/>
      <c r="BO48" s="153"/>
      <c r="BP48" s="153"/>
      <c r="BQ48" s="153"/>
      <c r="BR48" s="153"/>
      <c r="BS48" s="153"/>
      <c r="BT48" s="153"/>
      <c r="BU48" s="153"/>
      <c r="BV48" s="153"/>
      <c r="BW48" s="153"/>
      <c r="BX48" s="153"/>
      <c r="BY48" s="153"/>
      <c r="BZ48" s="153"/>
      <c r="CA48" s="153"/>
      <c r="CB48" s="153"/>
      <c r="CC48" s="153"/>
      <c r="CD48" s="153"/>
      <c r="CE48" s="153"/>
      <c r="CF48" s="153"/>
      <c r="CG48" s="153"/>
      <c r="CH48" s="153"/>
      <c r="CI48" s="153"/>
      <c r="CJ48" s="153"/>
      <c r="CK48" s="153"/>
      <c r="CL48" s="153"/>
      <c r="CM48" s="153"/>
      <c r="CN48" s="153"/>
      <c r="CO48" s="153"/>
      <c r="CP48" s="153"/>
      <c r="CQ48" s="153"/>
      <c r="CR48" s="153"/>
      <c r="CS48" s="153"/>
      <c r="CT48" s="153"/>
      <c r="CU48" s="153"/>
      <c r="CV48" s="153"/>
      <c r="CW48" s="153"/>
      <c r="CX48" s="153"/>
      <c r="CY48" s="153"/>
      <c r="CZ48" s="153"/>
      <c r="DA48" s="153"/>
      <c r="DB48" s="153"/>
      <c r="DC48" s="153"/>
      <c r="DD48" s="153"/>
      <c r="DE48" s="153"/>
      <c r="DF48" s="153"/>
      <c r="DG48" s="153"/>
      <c r="DH48" s="153"/>
      <c r="DI48" s="153"/>
      <c r="DJ48" s="153"/>
      <c r="DK48" s="153"/>
      <c r="DL48" s="153"/>
      <c r="DM48" s="153"/>
      <c r="DN48" s="153"/>
      <c r="DO48" s="153"/>
      <c r="DP48" s="153"/>
      <c r="DQ48" s="153"/>
      <c r="DR48" s="153"/>
      <c r="DS48" s="153"/>
      <c r="DT48" s="153"/>
      <c r="DU48" s="153"/>
      <c r="DV48" s="153"/>
      <c r="DW48" s="153"/>
      <c r="DX48" s="153"/>
      <c r="DY48" s="153"/>
      <c r="DZ48" s="153"/>
      <c r="EA48" s="153"/>
      <c r="EB48" s="153"/>
      <c r="EC48" s="153"/>
      <c r="ED48" s="153"/>
      <c r="EE48" s="153"/>
      <c r="EF48" s="153"/>
      <c r="EG48" s="153"/>
      <c r="EH48" s="153"/>
      <c r="EI48" s="153"/>
      <c r="EJ48" s="153"/>
      <c r="EK48" s="153"/>
      <c r="EL48" s="153"/>
      <c r="EM48" s="153"/>
      <c r="EN48" s="153"/>
      <c r="EO48" s="153"/>
      <c r="EP48" s="153"/>
      <c r="EQ48" s="153"/>
      <c r="ER48" s="153"/>
      <c r="ES48" s="153"/>
      <c r="ET48" s="153"/>
      <c r="EU48" s="153"/>
      <c r="EV48" s="153"/>
      <c r="EW48" s="153"/>
      <c r="EX48" s="153"/>
      <c r="EY48" s="153"/>
      <c r="EZ48" s="153"/>
      <c r="FA48" s="153"/>
      <c r="FB48" s="153"/>
      <c r="FC48" s="153"/>
      <c r="FD48" s="153"/>
      <c r="FE48" s="153"/>
      <c r="FF48" s="153"/>
      <c r="FG48" s="153"/>
      <c r="FH48" s="153"/>
      <c r="FI48" s="153"/>
      <c r="FJ48" s="153"/>
      <c r="FK48" s="153"/>
      <c r="FL48" s="153"/>
      <c r="FM48" s="153"/>
      <c r="FN48" s="153"/>
      <c r="FO48" s="153"/>
      <c r="FP48" s="153"/>
      <c r="FQ48" s="153"/>
      <c r="FR48" s="153"/>
      <c r="FS48" s="153"/>
      <c r="FT48" s="153"/>
      <c r="FU48" s="153"/>
      <c r="FV48" s="153"/>
      <c r="FW48" s="153"/>
      <c r="FX48" s="153"/>
      <c r="FY48" s="153"/>
      <c r="FZ48" s="153"/>
      <c r="GA48" s="153"/>
      <c r="GB48" s="153"/>
      <c r="GC48" s="153"/>
      <c r="GD48" s="153"/>
      <c r="GE48" s="153"/>
      <c r="GF48" s="153"/>
      <c r="GG48" s="153"/>
      <c r="GH48" s="153"/>
      <c r="GI48" s="153"/>
      <c r="GJ48" s="153"/>
      <c r="GK48" s="153"/>
      <c r="GL48" s="153"/>
      <c r="GM48" s="153"/>
      <c r="GN48" s="153"/>
      <c r="GO48" s="153"/>
      <c r="GP48" s="153"/>
      <c r="GQ48" s="153"/>
    </row>
    <row r="49" spans="2:199">
      <c r="B49" s="1" t="s">
        <v>618</v>
      </c>
      <c r="C49" s="32"/>
      <c r="D49" s="32"/>
      <c r="E49" s="146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</row>
    <row r="51" spans="2:199">
      <c r="B51" s="302" t="s">
        <v>619</v>
      </c>
      <c r="C51" s="302"/>
      <c r="D51" s="302"/>
      <c r="E51" s="318">
        <f>C53</f>
        <v>40878</v>
      </c>
      <c r="F51" s="318">
        <f>EDATE(E51,1)</f>
        <v>40909</v>
      </c>
      <c r="G51" s="318">
        <f t="shared" ref="G51:BR51" si="77">EDATE(F51,1)</f>
        <v>40940</v>
      </c>
      <c r="H51" s="318">
        <f t="shared" si="77"/>
        <v>40969</v>
      </c>
      <c r="I51" s="318">
        <f t="shared" si="77"/>
        <v>41000</v>
      </c>
      <c r="J51" s="318">
        <f t="shared" si="77"/>
        <v>41030</v>
      </c>
      <c r="K51" s="318">
        <f t="shared" si="77"/>
        <v>41061</v>
      </c>
      <c r="L51" s="318">
        <f t="shared" si="77"/>
        <v>41091</v>
      </c>
      <c r="M51" s="318">
        <f t="shared" si="77"/>
        <v>41122</v>
      </c>
      <c r="N51" s="318">
        <f t="shared" si="77"/>
        <v>41153</v>
      </c>
      <c r="O51" s="318">
        <f t="shared" si="77"/>
        <v>41183</v>
      </c>
      <c r="P51" s="318">
        <f t="shared" si="77"/>
        <v>41214</v>
      </c>
      <c r="Q51" s="318">
        <f t="shared" si="77"/>
        <v>41244</v>
      </c>
      <c r="R51" s="318">
        <f t="shared" si="77"/>
        <v>41275</v>
      </c>
      <c r="S51" s="318">
        <f t="shared" si="77"/>
        <v>41306</v>
      </c>
      <c r="T51" s="318">
        <f t="shared" si="77"/>
        <v>41334</v>
      </c>
      <c r="U51" s="318">
        <f t="shared" si="77"/>
        <v>41365</v>
      </c>
      <c r="V51" s="318">
        <f t="shared" si="77"/>
        <v>41395</v>
      </c>
      <c r="W51" s="318">
        <f t="shared" si="77"/>
        <v>41426</v>
      </c>
      <c r="X51" s="318">
        <f t="shared" si="77"/>
        <v>41456</v>
      </c>
      <c r="Y51" s="318">
        <f t="shared" si="77"/>
        <v>41487</v>
      </c>
      <c r="Z51" s="318">
        <f t="shared" si="77"/>
        <v>41518</v>
      </c>
      <c r="AA51" s="318">
        <f t="shared" si="77"/>
        <v>41548</v>
      </c>
      <c r="AB51" s="318">
        <f t="shared" si="77"/>
        <v>41579</v>
      </c>
      <c r="AC51" s="318">
        <f t="shared" si="77"/>
        <v>41609</v>
      </c>
      <c r="AD51" s="318">
        <f t="shared" si="77"/>
        <v>41640</v>
      </c>
      <c r="AE51" s="318">
        <f t="shared" si="77"/>
        <v>41671</v>
      </c>
      <c r="AF51" s="318">
        <f t="shared" si="77"/>
        <v>41699</v>
      </c>
      <c r="AG51" s="318">
        <f t="shared" si="77"/>
        <v>41730</v>
      </c>
      <c r="AH51" s="318">
        <f t="shared" si="77"/>
        <v>41760</v>
      </c>
      <c r="AI51" s="318">
        <f t="shared" si="77"/>
        <v>41791</v>
      </c>
      <c r="AJ51" s="318">
        <f t="shared" si="77"/>
        <v>41821</v>
      </c>
      <c r="AK51" s="318">
        <f t="shared" si="77"/>
        <v>41852</v>
      </c>
      <c r="AL51" s="318">
        <f t="shared" si="77"/>
        <v>41883</v>
      </c>
      <c r="AM51" s="318">
        <f t="shared" si="77"/>
        <v>41913</v>
      </c>
      <c r="AN51" s="318">
        <f t="shared" si="77"/>
        <v>41944</v>
      </c>
      <c r="AO51" s="318">
        <f t="shared" si="77"/>
        <v>41974</v>
      </c>
      <c r="AP51" s="318">
        <f t="shared" si="77"/>
        <v>42005</v>
      </c>
      <c r="AQ51" s="318">
        <f t="shared" si="77"/>
        <v>42036</v>
      </c>
      <c r="AR51" s="318">
        <f t="shared" si="77"/>
        <v>42064</v>
      </c>
      <c r="AS51" s="318">
        <f t="shared" si="77"/>
        <v>42095</v>
      </c>
      <c r="AT51" s="318">
        <f t="shared" si="77"/>
        <v>42125</v>
      </c>
      <c r="AU51" s="318">
        <f t="shared" si="77"/>
        <v>42156</v>
      </c>
      <c r="AV51" s="318">
        <f t="shared" si="77"/>
        <v>42186</v>
      </c>
      <c r="AW51" s="318">
        <f t="shared" si="77"/>
        <v>42217</v>
      </c>
      <c r="AX51" s="318">
        <f t="shared" si="77"/>
        <v>42248</v>
      </c>
      <c r="AY51" s="318">
        <f t="shared" si="77"/>
        <v>42278</v>
      </c>
      <c r="AZ51" s="318">
        <f t="shared" si="77"/>
        <v>42309</v>
      </c>
      <c r="BA51" s="318">
        <f t="shared" si="77"/>
        <v>42339</v>
      </c>
      <c r="BB51" s="318">
        <f t="shared" si="77"/>
        <v>42370</v>
      </c>
      <c r="BC51" s="318">
        <f t="shared" si="77"/>
        <v>42401</v>
      </c>
      <c r="BD51" s="318">
        <f t="shared" si="77"/>
        <v>42430</v>
      </c>
      <c r="BE51" s="318">
        <f t="shared" si="77"/>
        <v>42461</v>
      </c>
      <c r="BF51" s="318">
        <f t="shared" si="77"/>
        <v>42491</v>
      </c>
      <c r="BG51" s="318">
        <f t="shared" si="77"/>
        <v>42522</v>
      </c>
      <c r="BH51" s="318">
        <f t="shared" si="77"/>
        <v>42552</v>
      </c>
      <c r="BI51" s="318">
        <f t="shared" si="77"/>
        <v>42583</v>
      </c>
      <c r="BJ51" s="318">
        <f t="shared" si="77"/>
        <v>42614</v>
      </c>
      <c r="BK51" s="318">
        <f t="shared" si="77"/>
        <v>42644</v>
      </c>
      <c r="BL51" s="318">
        <f t="shared" si="77"/>
        <v>42675</v>
      </c>
      <c r="BM51" s="318">
        <f t="shared" si="77"/>
        <v>42705</v>
      </c>
      <c r="BN51" s="318">
        <f t="shared" si="77"/>
        <v>42736</v>
      </c>
      <c r="BO51" s="318">
        <f t="shared" si="77"/>
        <v>42767</v>
      </c>
      <c r="BP51" s="318">
        <f t="shared" si="77"/>
        <v>42795</v>
      </c>
      <c r="BQ51" s="318">
        <f t="shared" si="77"/>
        <v>42826</v>
      </c>
      <c r="BR51" s="318">
        <f t="shared" si="77"/>
        <v>42856</v>
      </c>
      <c r="BS51" s="318">
        <f t="shared" ref="BS51:ED51" si="78">EDATE(BR51,1)</f>
        <v>42887</v>
      </c>
      <c r="BT51" s="318">
        <f t="shared" si="78"/>
        <v>42917</v>
      </c>
      <c r="BU51" s="318">
        <f t="shared" si="78"/>
        <v>42948</v>
      </c>
      <c r="BV51" s="318">
        <f t="shared" si="78"/>
        <v>42979</v>
      </c>
      <c r="BW51" s="318">
        <f t="shared" si="78"/>
        <v>43009</v>
      </c>
      <c r="BX51" s="318">
        <f t="shared" si="78"/>
        <v>43040</v>
      </c>
      <c r="BY51" s="318">
        <f t="shared" si="78"/>
        <v>43070</v>
      </c>
      <c r="BZ51" s="318">
        <f t="shared" si="78"/>
        <v>43101</v>
      </c>
      <c r="CA51" s="318">
        <f t="shared" si="78"/>
        <v>43132</v>
      </c>
      <c r="CB51" s="318">
        <f t="shared" si="78"/>
        <v>43160</v>
      </c>
      <c r="CC51" s="318">
        <f t="shared" si="78"/>
        <v>43191</v>
      </c>
      <c r="CD51" s="318">
        <f t="shared" si="78"/>
        <v>43221</v>
      </c>
      <c r="CE51" s="318">
        <f t="shared" si="78"/>
        <v>43252</v>
      </c>
      <c r="CF51" s="318">
        <f t="shared" si="78"/>
        <v>43282</v>
      </c>
      <c r="CG51" s="318">
        <f t="shared" si="78"/>
        <v>43313</v>
      </c>
      <c r="CH51" s="318">
        <f t="shared" si="78"/>
        <v>43344</v>
      </c>
      <c r="CI51" s="318">
        <f t="shared" si="78"/>
        <v>43374</v>
      </c>
      <c r="CJ51" s="318">
        <f t="shared" si="78"/>
        <v>43405</v>
      </c>
      <c r="CK51" s="318">
        <f t="shared" si="78"/>
        <v>43435</v>
      </c>
      <c r="CL51" s="318">
        <f t="shared" si="78"/>
        <v>43466</v>
      </c>
      <c r="CM51" s="318">
        <f t="shared" si="78"/>
        <v>43497</v>
      </c>
      <c r="CN51" s="318">
        <f t="shared" si="78"/>
        <v>43525</v>
      </c>
      <c r="CO51" s="318">
        <f t="shared" si="78"/>
        <v>43556</v>
      </c>
      <c r="CP51" s="318">
        <f t="shared" si="78"/>
        <v>43586</v>
      </c>
      <c r="CQ51" s="318">
        <f t="shared" si="78"/>
        <v>43617</v>
      </c>
      <c r="CR51" s="318">
        <f t="shared" si="78"/>
        <v>43647</v>
      </c>
      <c r="CS51" s="318">
        <f t="shared" si="78"/>
        <v>43678</v>
      </c>
      <c r="CT51" s="318">
        <f t="shared" si="78"/>
        <v>43709</v>
      </c>
      <c r="CU51" s="318">
        <f t="shared" si="78"/>
        <v>43739</v>
      </c>
      <c r="CV51" s="318">
        <f t="shared" si="78"/>
        <v>43770</v>
      </c>
      <c r="CW51" s="318">
        <f t="shared" si="78"/>
        <v>43800</v>
      </c>
      <c r="CX51" s="318">
        <f t="shared" si="78"/>
        <v>43831</v>
      </c>
      <c r="CY51" s="318">
        <f t="shared" si="78"/>
        <v>43862</v>
      </c>
      <c r="CZ51" s="318">
        <f t="shared" si="78"/>
        <v>43891</v>
      </c>
      <c r="DA51" s="318">
        <f t="shared" si="78"/>
        <v>43922</v>
      </c>
      <c r="DB51" s="318">
        <f t="shared" si="78"/>
        <v>43952</v>
      </c>
      <c r="DC51" s="318">
        <f t="shared" si="78"/>
        <v>43983</v>
      </c>
      <c r="DD51" s="318">
        <f t="shared" si="78"/>
        <v>44013</v>
      </c>
      <c r="DE51" s="318">
        <f t="shared" si="78"/>
        <v>44044</v>
      </c>
      <c r="DF51" s="318">
        <f t="shared" si="78"/>
        <v>44075</v>
      </c>
      <c r="DG51" s="318">
        <f t="shared" si="78"/>
        <v>44105</v>
      </c>
      <c r="DH51" s="318">
        <f t="shared" si="78"/>
        <v>44136</v>
      </c>
      <c r="DI51" s="318">
        <f t="shared" si="78"/>
        <v>44166</v>
      </c>
      <c r="DJ51" s="318">
        <f t="shared" si="78"/>
        <v>44197</v>
      </c>
      <c r="DK51" s="318">
        <f t="shared" si="78"/>
        <v>44228</v>
      </c>
      <c r="DL51" s="318">
        <f t="shared" si="78"/>
        <v>44256</v>
      </c>
      <c r="DM51" s="318">
        <f t="shared" si="78"/>
        <v>44287</v>
      </c>
      <c r="DN51" s="318">
        <f t="shared" si="78"/>
        <v>44317</v>
      </c>
      <c r="DO51" s="318">
        <f t="shared" si="78"/>
        <v>44348</v>
      </c>
      <c r="DP51" s="318">
        <f t="shared" si="78"/>
        <v>44378</v>
      </c>
      <c r="DQ51" s="318">
        <f t="shared" si="78"/>
        <v>44409</v>
      </c>
      <c r="DR51" s="318">
        <f t="shared" si="78"/>
        <v>44440</v>
      </c>
      <c r="DS51" s="318">
        <f t="shared" si="78"/>
        <v>44470</v>
      </c>
      <c r="DT51" s="318">
        <f t="shared" si="78"/>
        <v>44501</v>
      </c>
      <c r="DU51" s="318">
        <f t="shared" si="78"/>
        <v>44531</v>
      </c>
      <c r="DV51" s="318">
        <f t="shared" si="78"/>
        <v>44562</v>
      </c>
      <c r="DW51" s="318">
        <f t="shared" si="78"/>
        <v>44593</v>
      </c>
      <c r="DX51" s="318">
        <f t="shared" si="78"/>
        <v>44621</v>
      </c>
      <c r="DY51" s="318">
        <f t="shared" si="78"/>
        <v>44652</v>
      </c>
      <c r="DZ51" s="318">
        <f t="shared" si="78"/>
        <v>44682</v>
      </c>
      <c r="EA51" s="318">
        <f t="shared" si="78"/>
        <v>44713</v>
      </c>
      <c r="EB51" s="318">
        <f t="shared" si="78"/>
        <v>44743</v>
      </c>
      <c r="EC51" s="318">
        <f t="shared" si="78"/>
        <v>44774</v>
      </c>
      <c r="ED51" s="318">
        <f t="shared" si="78"/>
        <v>44805</v>
      </c>
      <c r="EE51" s="318">
        <f t="shared" ref="EE51:GP51" si="79">EDATE(ED51,1)</f>
        <v>44835</v>
      </c>
      <c r="EF51" s="318">
        <f t="shared" si="79"/>
        <v>44866</v>
      </c>
      <c r="EG51" s="318">
        <f t="shared" si="79"/>
        <v>44896</v>
      </c>
      <c r="EH51" s="318">
        <f t="shared" si="79"/>
        <v>44927</v>
      </c>
      <c r="EI51" s="318">
        <f t="shared" si="79"/>
        <v>44958</v>
      </c>
      <c r="EJ51" s="318">
        <f t="shared" si="79"/>
        <v>44986</v>
      </c>
      <c r="EK51" s="318">
        <f t="shared" si="79"/>
        <v>45017</v>
      </c>
      <c r="EL51" s="318">
        <f t="shared" si="79"/>
        <v>45047</v>
      </c>
      <c r="EM51" s="318">
        <f t="shared" si="79"/>
        <v>45078</v>
      </c>
      <c r="EN51" s="318">
        <f t="shared" si="79"/>
        <v>45108</v>
      </c>
      <c r="EO51" s="318">
        <f t="shared" si="79"/>
        <v>45139</v>
      </c>
      <c r="EP51" s="318">
        <f t="shared" si="79"/>
        <v>45170</v>
      </c>
      <c r="EQ51" s="318">
        <f t="shared" si="79"/>
        <v>45200</v>
      </c>
      <c r="ER51" s="318">
        <f t="shared" si="79"/>
        <v>45231</v>
      </c>
      <c r="ES51" s="318">
        <f t="shared" si="79"/>
        <v>45261</v>
      </c>
      <c r="ET51" s="318">
        <f t="shared" si="79"/>
        <v>45292</v>
      </c>
      <c r="EU51" s="318">
        <f t="shared" si="79"/>
        <v>45323</v>
      </c>
      <c r="EV51" s="318">
        <f t="shared" si="79"/>
        <v>45352</v>
      </c>
      <c r="EW51" s="318">
        <f t="shared" si="79"/>
        <v>45383</v>
      </c>
      <c r="EX51" s="318">
        <f t="shared" si="79"/>
        <v>45413</v>
      </c>
      <c r="EY51" s="318">
        <f t="shared" si="79"/>
        <v>45444</v>
      </c>
      <c r="EZ51" s="318">
        <f t="shared" si="79"/>
        <v>45474</v>
      </c>
      <c r="FA51" s="318">
        <f t="shared" si="79"/>
        <v>45505</v>
      </c>
      <c r="FB51" s="318">
        <f t="shared" si="79"/>
        <v>45536</v>
      </c>
      <c r="FC51" s="318">
        <f t="shared" si="79"/>
        <v>45566</v>
      </c>
      <c r="FD51" s="318">
        <f t="shared" si="79"/>
        <v>45597</v>
      </c>
      <c r="FE51" s="318">
        <f t="shared" si="79"/>
        <v>45627</v>
      </c>
      <c r="FF51" s="318">
        <f t="shared" si="79"/>
        <v>45658</v>
      </c>
      <c r="FG51" s="318">
        <f t="shared" si="79"/>
        <v>45689</v>
      </c>
      <c r="FH51" s="318">
        <f t="shared" si="79"/>
        <v>45717</v>
      </c>
      <c r="FI51" s="318">
        <f t="shared" si="79"/>
        <v>45748</v>
      </c>
      <c r="FJ51" s="318">
        <f t="shared" si="79"/>
        <v>45778</v>
      </c>
      <c r="FK51" s="318">
        <f t="shared" si="79"/>
        <v>45809</v>
      </c>
      <c r="FL51" s="318">
        <f t="shared" si="79"/>
        <v>45839</v>
      </c>
      <c r="FM51" s="318">
        <f t="shared" si="79"/>
        <v>45870</v>
      </c>
      <c r="FN51" s="318">
        <f t="shared" si="79"/>
        <v>45901</v>
      </c>
      <c r="FO51" s="318">
        <f t="shared" si="79"/>
        <v>45931</v>
      </c>
      <c r="FP51" s="318">
        <f t="shared" si="79"/>
        <v>45962</v>
      </c>
      <c r="FQ51" s="318">
        <f t="shared" si="79"/>
        <v>45992</v>
      </c>
      <c r="FR51" s="318">
        <f t="shared" si="79"/>
        <v>46023</v>
      </c>
      <c r="FS51" s="318">
        <f t="shared" si="79"/>
        <v>46054</v>
      </c>
      <c r="FT51" s="318">
        <f t="shared" si="79"/>
        <v>46082</v>
      </c>
      <c r="FU51" s="318">
        <f t="shared" si="79"/>
        <v>46113</v>
      </c>
      <c r="FV51" s="318">
        <f t="shared" si="79"/>
        <v>46143</v>
      </c>
      <c r="FW51" s="318">
        <f t="shared" si="79"/>
        <v>46174</v>
      </c>
      <c r="FX51" s="318">
        <f t="shared" si="79"/>
        <v>46204</v>
      </c>
      <c r="FY51" s="318">
        <f t="shared" si="79"/>
        <v>46235</v>
      </c>
      <c r="FZ51" s="318">
        <f t="shared" si="79"/>
        <v>46266</v>
      </c>
      <c r="GA51" s="318">
        <f t="shared" si="79"/>
        <v>46296</v>
      </c>
      <c r="GB51" s="318">
        <f t="shared" si="79"/>
        <v>46327</v>
      </c>
      <c r="GC51" s="318">
        <f t="shared" si="79"/>
        <v>46357</v>
      </c>
      <c r="GD51" s="318">
        <f t="shared" si="79"/>
        <v>46388</v>
      </c>
      <c r="GE51" s="318">
        <f t="shared" si="79"/>
        <v>46419</v>
      </c>
      <c r="GF51" s="318">
        <f t="shared" si="79"/>
        <v>46447</v>
      </c>
      <c r="GG51" s="318">
        <f t="shared" si="79"/>
        <v>46478</v>
      </c>
      <c r="GH51" s="318">
        <f t="shared" si="79"/>
        <v>46508</v>
      </c>
      <c r="GI51" s="318">
        <f t="shared" si="79"/>
        <v>46539</v>
      </c>
      <c r="GJ51" s="318">
        <f t="shared" si="79"/>
        <v>46569</v>
      </c>
      <c r="GK51" s="318">
        <f t="shared" si="79"/>
        <v>46600</v>
      </c>
      <c r="GL51" s="318">
        <f t="shared" si="79"/>
        <v>46631</v>
      </c>
      <c r="GM51" s="318">
        <f t="shared" si="79"/>
        <v>46661</v>
      </c>
      <c r="GN51" s="318">
        <f t="shared" si="79"/>
        <v>46692</v>
      </c>
      <c r="GO51" s="318">
        <f t="shared" si="79"/>
        <v>46722</v>
      </c>
      <c r="GP51" s="318">
        <f t="shared" si="79"/>
        <v>46753</v>
      </c>
      <c r="GQ51" s="318">
        <f t="shared" ref="GQ51" si="80">EDATE(GP51,1)</f>
        <v>46784</v>
      </c>
    </row>
    <row r="52" spans="2:199">
      <c r="B52" s="173"/>
      <c r="C52" s="173"/>
      <c r="E52" s="425">
        <f>YEAR(E51)</f>
        <v>2011</v>
      </c>
      <c r="F52" s="425">
        <f t="shared" ref="F52:BQ52" si="81">YEAR(F51)</f>
        <v>2012</v>
      </c>
      <c r="G52" s="425">
        <f t="shared" si="81"/>
        <v>2012</v>
      </c>
      <c r="H52" s="425">
        <f t="shared" si="81"/>
        <v>2012</v>
      </c>
      <c r="I52" s="425">
        <f t="shared" si="81"/>
        <v>2012</v>
      </c>
      <c r="J52" s="425">
        <f t="shared" si="81"/>
        <v>2012</v>
      </c>
      <c r="K52" s="425">
        <f t="shared" si="81"/>
        <v>2012</v>
      </c>
      <c r="L52" s="425">
        <f t="shared" si="81"/>
        <v>2012</v>
      </c>
      <c r="M52" s="425">
        <f t="shared" si="81"/>
        <v>2012</v>
      </c>
      <c r="N52" s="425">
        <f t="shared" si="81"/>
        <v>2012</v>
      </c>
      <c r="O52" s="425">
        <f t="shared" si="81"/>
        <v>2012</v>
      </c>
      <c r="P52" s="425">
        <f t="shared" si="81"/>
        <v>2012</v>
      </c>
      <c r="Q52" s="425">
        <f t="shared" si="81"/>
        <v>2012</v>
      </c>
      <c r="R52" s="425">
        <f t="shared" si="81"/>
        <v>2013</v>
      </c>
      <c r="S52" s="425">
        <f t="shared" si="81"/>
        <v>2013</v>
      </c>
      <c r="T52" s="425">
        <f t="shared" si="81"/>
        <v>2013</v>
      </c>
      <c r="U52" s="425">
        <f t="shared" si="81"/>
        <v>2013</v>
      </c>
      <c r="V52" s="425">
        <f t="shared" si="81"/>
        <v>2013</v>
      </c>
      <c r="W52" s="425">
        <f t="shared" si="81"/>
        <v>2013</v>
      </c>
      <c r="X52" s="425">
        <f t="shared" si="81"/>
        <v>2013</v>
      </c>
      <c r="Y52" s="425">
        <f t="shared" si="81"/>
        <v>2013</v>
      </c>
      <c r="Z52" s="425">
        <f t="shared" si="81"/>
        <v>2013</v>
      </c>
      <c r="AA52" s="425">
        <f t="shared" si="81"/>
        <v>2013</v>
      </c>
      <c r="AB52" s="425">
        <f t="shared" si="81"/>
        <v>2013</v>
      </c>
      <c r="AC52" s="425">
        <f t="shared" si="81"/>
        <v>2013</v>
      </c>
      <c r="AD52" s="425">
        <f t="shared" si="81"/>
        <v>2014</v>
      </c>
      <c r="AE52" s="425">
        <f t="shared" si="81"/>
        <v>2014</v>
      </c>
      <c r="AF52" s="425">
        <f t="shared" si="81"/>
        <v>2014</v>
      </c>
      <c r="AG52" s="425">
        <f t="shared" si="81"/>
        <v>2014</v>
      </c>
      <c r="AH52" s="425">
        <f t="shared" si="81"/>
        <v>2014</v>
      </c>
      <c r="AI52" s="425">
        <f t="shared" si="81"/>
        <v>2014</v>
      </c>
      <c r="AJ52" s="425">
        <f t="shared" si="81"/>
        <v>2014</v>
      </c>
      <c r="AK52" s="425">
        <f t="shared" si="81"/>
        <v>2014</v>
      </c>
      <c r="AL52" s="425">
        <f t="shared" si="81"/>
        <v>2014</v>
      </c>
      <c r="AM52" s="425">
        <f t="shared" si="81"/>
        <v>2014</v>
      </c>
      <c r="AN52" s="425">
        <f t="shared" si="81"/>
        <v>2014</v>
      </c>
      <c r="AO52" s="425">
        <f t="shared" si="81"/>
        <v>2014</v>
      </c>
      <c r="AP52" s="425">
        <f t="shared" si="81"/>
        <v>2015</v>
      </c>
      <c r="AQ52" s="425">
        <f t="shared" si="81"/>
        <v>2015</v>
      </c>
      <c r="AR52" s="425">
        <f t="shared" si="81"/>
        <v>2015</v>
      </c>
      <c r="AS52" s="425">
        <f t="shared" si="81"/>
        <v>2015</v>
      </c>
      <c r="AT52" s="425">
        <f t="shared" si="81"/>
        <v>2015</v>
      </c>
      <c r="AU52" s="425">
        <f t="shared" si="81"/>
        <v>2015</v>
      </c>
      <c r="AV52" s="425">
        <f t="shared" si="81"/>
        <v>2015</v>
      </c>
      <c r="AW52" s="425">
        <f t="shared" si="81"/>
        <v>2015</v>
      </c>
      <c r="AX52" s="425">
        <f t="shared" si="81"/>
        <v>2015</v>
      </c>
      <c r="AY52" s="425">
        <f t="shared" si="81"/>
        <v>2015</v>
      </c>
      <c r="AZ52" s="425">
        <f t="shared" si="81"/>
        <v>2015</v>
      </c>
      <c r="BA52" s="425">
        <f t="shared" si="81"/>
        <v>2015</v>
      </c>
      <c r="BB52" s="425">
        <f t="shared" si="81"/>
        <v>2016</v>
      </c>
      <c r="BC52" s="425">
        <f t="shared" si="81"/>
        <v>2016</v>
      </c>
      <c r="BD52" s="425">
        <f t="shared" si="81"/>
        <v>2016</v>
      </c>
      <c r="BE52" s="425">
        <f t="shared" si="81"/>
        <v>2016</v>
      </c>
      <c r="BF52" s="425">
        <f t="shared" si="81"/>
        <v>2016</v>
      </c>
      <c r="BG52" s="425">
        <f t="shared" si="81"/>
        <v>2016</v>
      </c>
      <c r="BH52" s="425">
        <f t="shared" si="81"/>
        <v>2016</v>
      </c>
      <c r="BI52" s="425">
        <f t="shared" si="81"/>
        <v>2016</v>
      </c>
      <c r="BJ52" s="425">
        <f t="shared" si="81"/>
        <v>2016</v>
      </c>
      <c r="BK52" s="425">
        <f t="shared" si="81"/>
        <v>2016</v>
      </c>
      <c r="BL52" s="425">
        <f t="shared" si="81"/>
        <v>2016</v>
      </c>
      <c r="BM52" s="425">
        <f t="shared" si="81"/>
        <v>2016</v>
      </c>
      <c r="BN52" s="425">
        <f t="shared" si="81"/>
        <v>2017</v>
      </c>
      <c r="BO52" s="425">
        <f t="shared" si="81"/>
        <v>2017</v>
      </c>
      <c r="BP52" s="425">
        <f t="shared" si="81"/>
        <v>2017</v>
      </c>
      <c r="BQ52" s="425">
        <f t="shared" si="81"/>
        <v>2017</v>
      </c>
      <c r="BR52" s="425">
        <f t="shared" ref="BR52:EC52" si="82">YEAR(BR51)</f>
        <v>2017</v>
      </c>
      <c r="BS52" s="425">
        <f t="shared" si="82"/>
        <v>2017</v>
      </c>
      <c r="BT52" s="425">
        <f t="shared" si="82"/>
        <v>2017</v>
      </c>
      <c r="BU52" s="425">
        <f t="shared" si="82"/>
        <v>2017</v>
      </c>
      <c r="BV52" s="425">
        <f t="shared" si="82"/>
        <v>2017</v>
      </c>
      <c r="BW52" s="425">
        <f t="shared" si="82"/>
        <v>2017</v>
      </c>
      <c r="BX52" s="425">
        <f t="shared" si="82"/>
        <v>2017</v>
      </c>
      <c r="BY52" s="425">
        <f t="shared" si="82"/>
        <v>2017</v>
      </c>
      <c r="BZ52" s="425">
        <f t="shared" si="82"/>
        <v>2018</v>
      </c>
      <c r="CA52" s="425">
        <f t="shared" si="82"/>
        <v>2018</v>
      </c>
      <c r="CB52" s="425">
        <f t="shared" si="82"/>
        <v>2018</v>
      </c>
      <c r="CC52" s="425">
        <f t="shared" si="82"/>
        <v>2018</v>
      </c>
      <c r="CD52" s="425">
        <f t="shared" si="82"/>
        <v>2018</v>
      </c>
      <c r="CE52" s="425">
        <f t="shared" si="82"/>
        <v>2018</v>
      </c>
      <c r="CF52" s="425">
        <f t="shared" si="82"/>
        <v>2018</v>
      </c>
      <c r="CG52" s="425">
        <f t="shared" si="82"/>
        <v>2018</v>
      </c>
      <c r="CH52" s="425">
        <f t="shared" si="82"/>
        <v>2018</v>
      </c>
      <c r="CI52" s="425">
        <f t="shared" si="82"/>
        <v>2018</v>
      </c>
      <c r="CJ52" s="425">
        <f t="shared" si="82"/>
        <v>2018</v>
      </c>
      <c r="CK52" s="425">
        <f t="shared" si="82"/>
        <v>2018</v>
      </c>
      <c r="CL52" s="425">
        <f t="shared" si="82"/>
        <v>2019</v>
      </c>
      <c r="CM52" s="425">
        <f t="shared" si="82"/>
        <v>2019</v>
      </c>
      <c r="CN52" s="425">
        <f t="shared" si="82"/>
        <v>2019</v>
      </c>
      <c r="CO52" s="425">
        <f t="shared" si="82"/>
        <v>2019</v>
      </c>
      <c r="CP52" s="425">
        <f t="shared" si="82"/>
        <v>2019</v>
      </c>
      <c r="CQ52" s="425">
        <f t="shared" si="82"/>
        <v>2019</v>
      </c>
      <c r="CR52" s="425">
        <f t="shared" si="82"/>
        <v>2019</v>
      </c>
      <c r="CS52" s="425">
        <f t="shared" si="82"/>
        <v>2019</v>
      </c>
      <c r="CT52" s="425">
        <f t="shared" si="82"/>
        <v>2019</v>
      </c>
      <c r="CU52" s="425">
        <f t="shared" si="82"/>
        <v>2019</v>
      </c>
      <c r="CV52" s="425">
        <f t="shared" si="82"/>
        <v>2019</v>
      </c>
      <c r="CW52" s="425">
        <f t="shared" si="82"/>
        <v>2019</v>
      </c>
      <c r="CX52" s="425">
        <f t="shared" si="82"/>
        <v>2020</v>
      </c>
      <c r="CY52" s="425">
        <f t="shared" si="82"/>
        <v>2020</v>
      </c>
      <c r="CZ52" s="425">
        <f t="shared" si="82"/>
        <v>2020</v>
      </c>
      <c r="DA52" s="425">
        <f t="shared" si="82"/>
        <v>2020</v>
      </c>
      <c r="DB52" s="425">
        <f t="shared" si="82"/>
        <v>2020</v>
      </c>
      <c r="DC52" s="425">
        <f t="shared" si="82"/>
        <v>2020</v>
      </c>
      <c r="DD52" s="425">
        <f t="shared" si="82"/>
        <v>2020</v>
      </c>
      <c r="DE52" s="425">
        <f t="shared" si="82"/>
        <v>2020</v>
      </c>
      <c r="DF52" s="425">
        <f t="shared" si="82"/>
        <v>2020</v>
      </c>
      <c r="DG52" s="425">
        <f t="shared" si="82"/>
        <v>2020</v>
      </c>
      <c r="DH52" s="425">
        <f t="shared" si="82"/>
        <v>2020</v>
      </c>
      <c r="DI52" s="425">
        <f t="shared" si="82"/>
        <v>2020</v>
      </c>
      <c r="DJ52" s="425">
        <f t="shared" si="82"/>
        <v>2021</v>
      </c>
      <c r="DK52" s="425">
        <f t="shared" si="82"/>
        <v>2021</v>
      </c>
      <c r="DL52" s="425">
        <f t="shared" si="82"/>
        <v>2021</v>
      </c>
      <c r="DM52" s="425">
        <f t="shared" si="82"/>
        <v>2021</v>
      </c>
      <c r="DN52" s="425">
        <f t="shared" si="82"/>
        <v>2021</v>
      </c>
      <c r="DO52" s="425">
        <f t="shared" si="82"/>
        <v>2021</v>
      </c>
      <c r="DP52" s="425">
        <f t="shared" si="82"/>
        <v>2021</v>
      </c>
      <c r="DQ52" s="425">
        <f t="shared" si="82"/>
        <v>2021</v>
      </c>
      <c r="DR52" s="425">
        <f t="shared" si="82"/>
        <v>2021</v>
      </c>
      <c r="DS52" s="425">
        <f t="shared" si="82"/>
        <v>2021</v>
      </c>
      <c r="DT52" s="425">
        <f t="shared" si="82"/>
        <v>2021</v>
      </c>
      <c r="DU52" s="425">
        <f t="shared" si="82"/>
        <v>2021</v>
      </c>
      <c r="DV52" s="425">
        <f t="shared" si="82"/>
        <v>2022</v>
      </c>
      <c r="DW52" s="425">
        <f t="shared" si="82"/>
        <v>2022</v>
      </c>
      <c r="DX52" s="425">
        <f t="shared" si="82"/>
        <v>2022</v>
      </c>
      <c r="DY52" s="425">
        <f t="shared" si="82"/>
        <v>2022</v>
      </c>
      <c r="DZ52" s="425">
        <f t="shared" si="82"/>
        <v>2022</v>
      </c>
      <c r="EA52" s="425">
        <f t="shared" si="82"/>
        <v>2022</v>
      </c>
      <c r="EB52" s="425">
        <f t="shared" si="82"/>
        <v>2022</v>
      </c>
      <c r="EC52" s="425">
        <f t="shared" si="82"/>
        <v>2022</v>
      </c>
      <c r="ED52" s="425">
        <f t="shared" ref="ED52:GO52" si="83">YEAR(ED51)</f>
        <v>2022</v>
      </c>
      <c r="EE52" s="425">
        <f t="shared" si="83"/>
        <v>2022</v>
      </c>
      <c r="EF52" s="425">
        <f t="shared" si="83"/>
        <v>2022</v>
      </c>
      <c r="EG52" s="425">
        <f t="shared" si="83"/>
        <v>2022</v>
      </c>
      <c r="EH52" s="425">
        <f t="shared" si="83"/>
        <v>2023</v>
      </c>
      <c r="EI52" s="425">
        <f t="shared" si="83"/>
        <v>2023</v>
      </c>
      <c r="EJ52" s="425">
        <f t="shared" si="83"/>
        <v>2023</v>
      </c>
      <c r="EK52" s="425">
        <f t="shared" si="83"/>
        <v>2023</v>
      </c>
      <c r="EL52" s="425">
        <f t="shared" si="83"/>
        <v>2023</v>
      </c>
      <c r="EM52" s="425">
        <f t="shared" si="83"/>
        <v>2023</v>
      </c>
      <c r="EN52" s="425">
        <f t="shared" si="83"/>
        <v>2023</v>
      </c>
      <c r="EO52" s="425">
        <f t="shared" si="83"/>
        <v>2023</v>
      </c>
      <c r="EP52" s="425">
        <f t="shared" si="83"/>
        <v>2023</v>
      </c>
      <c r="EQ52" s="425">
        <f t="shared" si="83"/>
        <v>2023</v>
      </c>
      <c r="ER52" s="425">
        <f t="shared" si="83"/>
        <v>2023</v>
      </c>
      <c r="ES52" s="425">
        <f t="shared" si="83"/>
        <v>2023</v>
      </c>
      <c r="ET52" s="425">
        <f t="shared" si="83"/>
        <v>2024</v>
      </c>
      <c r="EU52" s="425">
        <f t="shared" si="83"/>
        <v>2024</v>
      </c>
      <c r="EV52" s="425">
        <f t="shared" si="83"/>
        <v>2024</v>
      </c>
      <c r="EW52" s="425">
        <f t="shared" si="83"/>
        <v>2024</v>
      </c>
      <c r="EX52" s="425">
        <f t="shared" si="83"/>
        <v>2024</v>
      </c>
      <c r="EY52" s="425">
        <f t="shared" si="83"/>
        <v>2024</v>
      </c>
      <c r="EZ52" s="425">
        <f t="shared" si="83"/>
        <v>2024</v>
      </c>
      <c r="FA52" s="425">
        <f t="shared" si="83"/>
        <v>2024</v>
      </c>
      <c r="FB52" s="425">
        <f t="shared" si="83"/>
        <v>2024</v>
      </c>
      <c r="FC52" s="425">
        <f t="shared" si="83"/>
        <v>2024</v>
      </c>
      <c r="FD52" s="425">
        <f t="shared" si="83"/>
        <v>2024</v>
      </c>
      <c r="FE52" s="425">
        <f t="shared" si="83"/>
        <v>2024</v>
      </c>
      <c r="FF52" s="425">
        <f t="shared" si="83"/>
        <v>2025</v>
      </c>
      <c r="FG52" s="425">
        <f t="shared" si="83"/>
        <v>2025</v>
      </c>
      <c r="FH52" s="425">
        <f t="shared" si="83"/>
        <v>2025</v>
      </c>
      <c r="FI52" s="425">
        <f t="shared" si="83"/>
        <v>2025</v>
      </c>
      <c r="FJ52" s="425">
        <f t="shared" si="83"/>
        <v>2025</v>
      </c>
      <c r="FK52" s="425">
        <f t="shared" si="83"/>
        <v>2025</v>
      </c>
      <c r="FL52" s="425">
        <f t="shared" si="83"/>
        <v>2025</v>
      </c>
      <c r="FM52" s="425">
        <f t="shared" si="83"/>
        <v>2025</v>
      </c>
      <c r="FN52" s="425">
        <f t="shared" si="83"/>
        <v>2025</v>
      </c>
      <c r="FO52" s="425">
        <f t="shared" si="83"/>
        <v>2025</v>
      </c>
      <c r="FP52" s="425">
        <f t="shared" si="83"/>
        <v>2025</v>
      </c>
      <c r="FQ52" s="425">
        <f t="shared" si="83"/>
        <v>2025</v>
      </c>
      <c r="FR52" s="425">
        <f t="shared" si="83"/>
        <v>2026</v>
      </c>
      <c r="FS52" s="425">
        <f t="shared" si="83"/>
        <v>2026</v>
      </c>
      <c r="FT52" s="425">
        <f t="shared" si="83"/>
        <v>2026</v>
      </c>
      <c r="FU52" s="425">
        <f t="shared" si="83"/>
        <v>2026</v>
      </c>
      <c r="FV52" s="425">
        <f t="shared" si="83"/>
        <v>2026</v>
      </c>
      <c r="FW52" s="425">
        <f t="shared" si="83"/>
        <v>2026</v>
      </c>
      <c r="FX52" s="425">
        <f t="shared" si="83"/>
        <v>2026</v>
      </c>
      <c r="FY52" s="425">
        <f t="shared" si="83"/>
        <v>2026</v>
      </c>
      <c r="FZ52" s="425">
        <f t="shared" si="83"/>
        <v>2026</v>
      </c>
      <c r="GA52" s="425">
        <f t="shared" si="83"/>
        <v>2026</v>
      </c>
      <c r="GB52" s="425">
        <f t="shared" si="83"/>
        <v>2026</v>
      </c>
      <c r="GC52" s="425">
        <f t="shared" si="83"/>
        <v>2026</v>
      </c>
      <c r="GD52" s="425">
        <f t="shared" si="83"/>
        <v>2027</v>
      </c>
      <c r="GE52" s="425">
        <f t="shared" si="83"/>
        <v>2027</v>
      </c>
      <c r="GF52" s="425">
        <f t="shared" si="83"/>
        <v>2027</v>
      </c>
      <c r="GG52" s="425">
        <f t="shared" si="83"/>
        <v>2027</v>
      </c>
      <c r="GH52" s="425">
        <f t="shared" si="83"/>
        <v>2027</v>
      </c>
      <c r="GI52" s="425">
        <f t="shared" si="83"/>
        <v>2027</v>
      </c>
      <c r="GJ52" s="425">
        <f t="shared" si="83"/>
        <v>2027</v>
      </c>
      <c r="GK52" s="425">
        <f t="shared" si="83"/>
        <v>2027</v>
      </c>
      <c r="GL52" s="425">
        <f t="shared" si="83"/>
        <v>2027</v>
      </c>
      <c r="GM52" s="425">
        <f t="shared" si="83"/>
        <v>2027</v>
      </c>
      <c r="GN52" s="425">
        <f t="shared" si="83"/>
        <v>2027</v>
      </c>
      <c r="GO52" s="425">
        <f t="shared" si="83"/>
        <v>2027</v>
      </c>
      <c r="GP52" s="425">
        <f t="shared" ref="GP52:GQ52" si="84">YEAR(GP51)</f>
        <v>2028</v>
      </c>
      <c r="GQ52" s="425">
        <f t="shared" si="84"/>
        <v>2028</v>
      </c>
    </row>
    <row r="53" spans="2:199" hidden="1" outlineLevel="1">
      <c r="B53" s="181" t="s">
        <v>410</v>
      </c>
      <c r="C53" s="205">
        <v>40878</v>
      </c>
    </row>
    <row r="54" spans="2:199" hidden="1" outlineLevel="1">
      <c r="B54" s="182" t="s">
        <v>398</v>
      </c>
      <c r="C54" s="206">
        <v>41365</v>
      </c>
    </row>
    <row r="55" spans="2:199" hidden="1" outlineLevel="1">
      <c r="B55" s="182" t="s">
        <v>402</v>
      </c>
      <c r="C55" s="206">
        <v>41365</v>
      </c>
    </row>
    <row r="56" spans="2:199" hidden="1" outlineLevel="1">
      <c r="B56" s="182" t="s">
        <v>399</v>
      </c>
      <c r="C56" s="206">
        <v>41365</v>
      </c>
      <c r="D56" s="301" t="s">
        <v>468</v>
      </c>
      <c r="E56" s="303"/>
      <c r="F56" s="303"/>
      <c r="G56" s="303"/>
      <c r="H56" s="303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488">
        <v>1</v>
      </c>
      <c r="V56" s="303"/>
      <c r="W56" s="303"/>
      <c r="X56" s="303"/>
      <c r="Y56" s="303"/>
      <c r="Z56" s="303"/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0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0"/>
      <c r="BN56" s="303"/>
      <c r="BO56" s="303"/>
      <c r="BP56" s="303"/>
      <c r="BQ56" s="303"/>
      <c r="BR56" s="303"/>
      <c r="BS56" s="303"/>
      <c r="BT56" s="303"/>
      <c r="BU56" s="303"/>
      <c r="BV56" s="303"/>
      <c r="BW56" s="303"/>
      <c r="BX56" s="303"/>
      <c r="BY56" s="303"/>
      <c r="BZ56" s="303"/>
      <c r="CA56" s="303"/>
      <c r="CB56" s="303"/>
      <c r="CC56" s="303"/>
      <c r="CD56" s="303"/>
      <c r="CE56" s="303"/>
      <c r="CF56" s="303"/>
      <c r="CG56" s="303"/>
      <c r="CH56" s="303"/>
      <c r="CI56" s="303"/>
      <c r="CJ56" s="303"/>
      <c r="CK56" s="303"/>
      <c r="CL56" s="303"/>
      <c r="CM56" s="303"/>
      <c r="CN56" s="303"/>
      <c r="CO56" s="303"/>
      <c r="CP56" s="303"/>
      <c r="CQ56" s="303"/>
      <c r="CR56" s="303"/>
      <c r="CS56" s="303"/>
      <c r="CT56" s="303"/>
      <c r="CU56" s="303"/>
      <c r="CV56" s="303"/>
      <c r="CW56" s="303"/>
      <c r="CX56" s="303"/>
      <c r="CY56" s="303"/>
      <c r="CZ56" s="303"/>
      <c r="DA56" s="303"/>
      <c r="DB56" s="303"/>
      <c r="DC56" s="303"/>
      <c r="DD56" s="303"/>
      <c r="DE56" s="303"/>
      <c r="DF56" s="303"/>
      <c r="DG56" s="303"/>
      <c r="DH56" s="303"/>
      <c r="DI56" s="303"/>
      <c r="DJ56" s="303"/>
      <c r="DK56" s="303"/>
      <c r="DL56" s="303"/>
      <c r="DM56" s="303"/>
      <c r="DN56" s="303"/>
      <c r="DO56" s="303"/>
      <c r="DP56" s="303"/>
      <c r="DQ56" s="303"/>
      <c r="DR56" s="303"/>
      <c r="DS56" s="303"/>
      <c r="DT56" s="303"/>
      <c r="DU56" s="303"/>
      <c r="DV56" s="303"/>
      <c r="DW56" s="303"/>
      <c r="DX56" s="303"/>
      <c r="DY56" s="303"/>
      <c r="DZ56" s="303"/>
      <c r="EA56" s="303"/>
      <c r="EB56" s="303"/>
      <c r="EC56" s="303"/>
      <c r="ED56" s="303"/>
      <c r="EE56" s="303"/>
      <c r="EF56" s="303"/>
      <c r="EG56" s="303"/>
      <c r="EH56" s="303"/>
      <c r="EI56" s="303"/>
      <c r="EJ56" s="303"/>
      <c r="EK56" s="303"/>
      <c r="EL56" s="303"/>
      <c r="EM56" s="303"/>
      <c r="EN56" s="303"/>
      <c r="EO56" s="303"/>
      <c r="EP56" s="303"/>
      <c r="EQ56" s="303"/>
      <c r="ER56" s="303"/>
      <c r="ES56" s="303"/>
      <c r="ET56" s="303"/>
      <c r="EU56" s="303"/>
      <c r="EV56" s="303"/>
      <c r="EW56" s="303"/>
      <c r="EX56" s="303"/>
      <c r="EY56" s="303"/>
      <c r="EZ56" s="303"/>
      <c r="FA56" s="303"/>
      <c r="FB56" s="303"/>
      <c r="FC56" s="303"/>
      <c r="FD56" s="303"/>
      <c r="FE56" s="303"/>
      <c r="FF56" s="303"/>
      <c r="FG56" s="303"/>
      <c r="FH56" s="303"/>
      <c r="FI56" s="303"/>
      <c r="FJ56" s="303"/>
      <c r="FK56" s="303"/>
      <c r="FL56" s="303"/>
      <c r="FM56" s="303"/>
      <c r="FN56" s="303"/>
      <c r="FO56" s="303"/>
      <c r="FP56" s="303"/>
      <c r="FQ56" s="303"/>
      <c r="FR56" s="303"/>
      <c r="FS56" s="303"/>
      <c r="FT56" s="303"/>
      <c r="FU56" s="303"/>
      <c r="FV56" s="303"/>
      <c r="FW56" s="303"/>
      <c r="FX56" s="303"/>
      <c r="FY56" s="303"/>
      <c r="FZ56" s="303"/>
      <c r="GA56" s="303"/>
      <c r="GB56" s="303"/>
      <c r="GC56" s="303"/>
      <c r="GD56" s="303"/>
      <c r="GE56" s="303"/>
      <c r="GF56" s="303"/>
      <c r="GG56" s="303"/>
      <c r="GH56" s="303"/>
      <c r="GI56" s="303"/>
      <c r="GJ56" s="303"/>
      <c r="GK56" s="303"/>
      <c r="GL56" s="303"/>
      <c r="GM56" s="303"/>
      <c r="GN56" s="303"/>
      <c r="GO56" s="303"/>
      <c r="GP56" s="303"/>
      <c r="GQ56" s="303"/>
    </row>
    <row r="57" spans="2:199" hidden="1" outlineLevel="1">
      <c r="B57" s="182" t="s">
        <v>400</v>
      </c>
      <c r="C57" s="207">
        <v>3</v>
      </c>
    </row>
    <row r="58" spans="2:199" hidden="1" outlineLevel="1">
      <c r="B58" s="182" t="s">
        <v>467</v>
      </c>
      <c r="C58" s="207" t="s">
        <v>620</v>
      </c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70"/>
      <c r="BG58" s="170"/>
      <c r="BH58" s="170"/>
      <c r="BI58" s="170"/>
      <c r="BJ58" s="170"/>
      <c r="BK58" s="170"/>
      <c r="BL58" s="170"/>
      <c r="BM58" s="170"/>
      <c r="BN58" s="170"/>
      <c r="BO58" s="170"/>
      <c r="BP58" s="170"/>
      <c r="BQ58" s="170"/>
      <c r="BR58" s="170"/>
      <c r="BS58" s="170"/>
      <c r="BT58" s="170"/>
      <c r="BU58" s="170"/>
      <c r="BV58" s="170"/>
      <c r="BW58" s="170"/>
      <c r="BX58" s="170"/>
      <c r="BY58" s="170"/>
      <c r="BZ58" s="170"/>
      <c r="CA58" s="170"/>
      <c r="CB58" s="170"/>
      <c r="CC58" s="170"/>
      <c r="CD58" s="170"/>
      <c r="CE58" s="170"/>
      <c r="CF58" s="170"/>
      <c r="CG58" s="170"/>
      <c r="CH58" s="170"/>
      <c r="CI58" s="170"/>
      <c r="CJ58" s="170"/>
      <c r="CK58" s="170"/>
      <c r="CL58" s="170"/>
      <c r="CM58" s="170"/>
      <c r="CN58" s="170"/>
      <c r="CO58" s="170"/>
      <c r="CP58" s="170"/>
      <c r="CQ58" s="170"/>
      <c r="CR58" s="170"/>
      <c r="CS58" s="170"/>
      <c r="CT58" s="170"/>
      <c r="CU58" s="170"/>
      <c r="CV58" s="170"/>
      <c r="CW58" s="170"/>
      <c r="CX58" s="170"/>
      <c r="CY58" s="170"/>
      <c r="CZ58" s="170"/>
      <c r="DA58" s="170"/>
      <c r="DB58" s="170"/>
      <c r="DC58" s="170"/>
      <c r="DD58" s="170"/>
      <c r="DE58" s="170"/>
      <c r="DF58" s="170"/>
      <c r="DG58" s="170"/>
      <c r="DH58" s="170"/>
      <c r="DI58" s="170"/>
      <c r="DJ58" s="170"/>
      <c r="DK58" s="170"/>
      <c r="DL58" s="170"/>
      <c r="DM58" s="170"/>
      <c r="DN58" s="170"/>
      <c r="DO58" s="170"/>
      <c r="DP58" s="170"/>
      <c r="DQ58" s="170"/>
      <c r="DR58" s="170"/>
      <c r="DS58" s="170"/>
      <c r="DT58" s="170"/>
      <c r="DU58" s="170"/>
      <c r="DV58" s="170"/>
      <c r="DW58" s="170"/>
      <c r="DX58" s="170"/>
      <c r="DY58" s="170"/>
      <c r="DZ58" s="170"/>
      <c r="EA58" s="170"/>
      <c r="EB58" s="170"/>
      <c r="EC58" s="170"/>
      <c r="ED58" s="170"/>
      <c r="EE58" s="170"/>
      <c r="EF58" s="170"/>
      <c r="EG58" s="170"/>
      <c r="EH58" s="170"/>
      <c r="EI58" s="170"/>
      <c r="EJ58" s="170"/>
      <c r="EK58" s="170"/>
      <c r="EL58" s="170"/>
      <c r="EM58" s="170"/>
      <c r="EN58" s="170"/>
      <c r="EO58" s="170"/>
      <c r="EP58" s="170"/>
      <c r="EQ58" s="170"/>
      <c r="ER58" s="170"/>
      <c r="ES58" s="170"/>
      <c r="ET58" s="170"/>
      <c r="EU58" s="170"/>
      <c r="EV58" s="170"/>
      <c r="EW58" s="170"/>
      <c r="EX58" s="170"/>
      <c r="EY58" s="170"/>
      <c r="EZ58" s="170"/>
      <c r="FA58" s="170"/>
      <c r="FB58" s="170"/>
      <c r="FC58" s="170"/>
      <c r="FD58" s="170"/>
      <c r="FE58" s="170"/>
      <c r="FF58" s="170"/>
      <c r="FG58" s="170"/>
      <c r="FH58" s="170"/>
      <c r="FI58" s="170"/>
      <c r="FJ58" s="170"/>
      <c r="FK58" s="170"/>
      <c r="FL58" s="170"/>
      <c r="FM58" s="170"/>
      <c r="FN58" s="170"/>
      <c r="FO58" s="170"/>
      <c r="FP58" s="170"/>
      <c r="FQ58" s="170"/>
      <c r="FR58" s="170"/>
      <c r="FS58" s="170"/>
      <c r="FT58" s="170"/>
      <c r="FU58" s="170"/>
      <c r="FV58" s="170"/>
      <c r="FW58" s="170"/>
      <c r="FX58" s="170"/>
      <c r="FY58" s="170"/>
      <c r="FZ58" s="170"/>
      <c r="GA58" s="170"/>
      <c r="GB58" s="170"/>
      <c r="GC58" s="170"/>
      <c r="GD58" s="170"/>
      <c r="GE58" s="170"/>
      <c r="GF58" s="170"/>
      <c r="GG58" s="170"/>
      <c r="GH58" s="170"/>
      <c r="GI58" s="170"/>
      <c r="GJ58" s="170"/>
      <c r="GK58" s="170"/>
      <c r="GL58" s="170"/>
      <c r="GM58" s="170"/>
      <c r="GN58" s="170"/>
      <c r="GO58" s="170"/>
      <c r="GP58" s="170"/>
      <c r="GQ58" s="170"/>
    </row>
    <row r="59" spans="2:199" hidden="1" outlineLevel="1">
      <c r="B59" s="182" t="s">
        <v>403</v>
      </c>
      <c r="C59" s="152">
        <v>1.1200000000000001</v>
      </c>
      <c r="D59" s="170"/>
      <c r="E59" s="170">
        <f>VLOOKUP(EOMONTH(E51,0),Macroeconomics!$B$67:$R$380,Macroeconomics!$C$66,0)*$C$59</f>
        <v>1.0080000000000002E-2</v>
      </c>
      <c r="F59" s="170">
        <f>VLOOKUP(EOMONTH(F51,0),Macroeconomics!$B$67:$R$380,Macroeconomics!$C$66,0)*$C$59</f>
        <v>9.9680000000000012E-3</v>
      </c>
      <c r="G59" s="170">
        <f>VLOOKUP(EOMONTH(G51,0),Macroeconomics!$B$67:$R$380,Macroeconomics!$C$66,0)*$C$59</f>
        <v>8.288000000000002E-3</v>
      </c>
      <c r="H59" s="170">
        <f>VLOOKUP(EOMONTH(H51,0),Macroeconomics!$B$67:$R$380,Macroeconomics!$C$66,0)*$C$59</f>
        <v>9.0720000000000019E-3</v>
      </c>
      <c r="I59" s="170">
        <f>VLOOKUP(EOMONTH(I51,0),Macroeconomics!$B$67:$R$380,Macroeconomics!$C$66,0)*$C$59</f>
        <v>7.8399999999999997E-3</v>
      </c>
      <c r="J59" s="170">
        <f>VLOOKUP(EOMONTH(J51,0),Macroeconomics!$B$67:$R$380,Macroeconomics!$C$66,0)*$C$59</f>
        <v>8.2827178926213208E-3</v>
      </c>
      <c r="K59" s="170">
        <f>VLOOKUP(EOMONTH(K51,0),Macroeconomics!$B$67:$R$380,Macroeconomics!$C$66,0)*$C$59</f>
        <v>7.1273416182493681E-3</v>
      </c>
      <c r="L59" s="170">
        <f>VLOOKUP(EOMONTH(L51,0),Macroeconomics!$B$67:$R$380,Macroeconomics!$C$66,0)*$C$59</f>
        <v>7.7571315096007613E-3</v>
      </c>
      <c r="M59" s="170">
        <f>VLOOKUP(EOMONTH(M51,0),Macroeconomics!$B$67:$R$380,Macroeconomics!$C$66,0)*$C$59</f>
        <v>7.9739757677583269E-3</v>
      </c>
      <c r="N59" s="170">
        <f>VLOOKUP(EOMONTH(N51,0),Macroeconomics!$B$67:$R$380,Macroeconomics!$C$66,0)*$C$59</f>
        <v>6.5699926537100958E-3</v>
      </c>
      <c r="O59" s="170">
        <f>VLOOKUP(EOMONTH(O51,0),Macroeconomics!$B$67:$R$380,Macroeconomics!$C$66,0)*$C$59</f>
        <v>7.6228160505480251E-3</v>
      </c>
      <c r="P59" s="170">
        <f>VLOOKUP(EOMONTH(P51,0),Macroeconomics!$B$67:$R$380,Macroeconomics!$C$66,0)*$C$59</f>
        <v>6.9208245275640939E-3</v>
      </c>
      <c r="Q59" s="170">
        <f>VLOOKUP(EOMONTH(Q51,0),Macroeconomics!$B$67:$R$380,Macroeconomics!$C$66,0)*$C$59</f>
        <v>6.9208245275643428E-3</v>
      </c>
      <c r="R59" s="170">
        <f>VLOOKUP(EOMONTH(R51,0),Macroeconomics!$B$67:$R$380,Macroeconomics!$C$66,0)*$C$59</f>
        <v>7.6228160505480251E-3</v>
      </c>
      <c r="S59" s="170">
        <f>VLOOKUP(EOMONTH(S51,0),Macroeconomics!$B$67:$R$380,Macroeconomics!$C$66,0)*$C$59</f>
        <v>6.2192699929056877E-3</v>
      </c>
      <c r="T59" s="170">
        <f>VLOOKUP(EOMONTH(T51,0),Macroeconomics!$B$67:$R$380,Macroeconomics!$C$66,0)*$C$59</f>
        <v>6.9208245275643428E-3</v>
      </c>
      <c r="U59" s="170">
        <f>VLOOKUP(EOMONTH(U51,0),Macroeconomics!$B$67:$R$380,Macroeconomics!$C$66,0)*$C$59</f>
        <v>7.6228160505480251E-3</v>
      </c>
      <c r="V59" s="170">
        <f>VLOOKUP(EOMONTH(V51,0),Macroeconomics!$B$67:$R$380,Macroeconomics!$C$66,0)*$C$59</f>
        <v>7.2717656484976708E-3</v>
      </c>
      <c r="W59" s="170">
        <f>VLOOKUP(EOMONTH(W51,0),Macroeconomics!$B$67:$R$380,Macroeconomics!$C$66,0)*$C$59</f>
        <v>6.9208245275640939E-3</v>
      </c>
      <c r="X59" s="170">
        <f>VLOOKUP(EOMONTH(X51,0),Macroeconomics!$B$67:$R$380,Macroeconomics!$C$66,0)*$C$59</f>
        <v>7.9739757677585749E-3</v>
      </c>
      <c r="Y59" s="170">
        <f>VLOOKUP(EOMONTH(Y51,0),Macroeconomics!$B$67:$R$380,Macroeconomics!$C$66,0)*$C$59</f>
        <v>7.622816050547777E-3</v>
      </c>
      <c r="Z59" s="170">
        <f>VLOOKUP(EOMONTH(Z51,0),Macroeconomics!$B$67:$R$380,Macroeconomics!$C$66,0)*$C$59</f>
        <v>7.4886771040684518E-3</v>
      </c>
      <c r="AA59" s="170">
        <f>VLOOKUP(EOMONTH(AA51,0),Macroeconomics!$B$67:$R$380,Macroeconomics!$C$66,0)*$C$59</f>
        <v>8.9113477124472956E-3</v>
      </c>
      <c r="AB59" s="170">
        <f>VLOOKUP(EOMONTH(AB51,0),Macroeconomics!$B$67:$R$380,Macroeconomics!$C$66,0)*$C$59</f>
        <v>7.9694825242701498E-3</v>
      </c>
      <c r="AC59" s="170">
        <f>VLOOKUP(EOMONTH(AC51,0),Macroeconomics!$B$67:$R$380,Macroeconomics!$C$66,0)*$C$59</f>
        <v>8.566404007106742E-3</v>
      </c>
      <c r="AD59" s="170">
        <f>VLOOKUP(EOMONTH(AD51,0),Macroeconomics!$B$67:$R$380,Macroeconomics!$C$66,0)*$C$59</f>
        <v>8.9795632385251539E-3</v>
      </c>
      <c r="AE59" s="170">
        <f>VLOOKUP(EOMONTH(AE51,0),Macroeconomics!$B$67:$R$380,Macroeconomics!$C$66,0)*$C$59</f>
        <v>8.1533959643182996E-3</v>
      </c>
      <c r="AF59" s="170">
        <f>VLOOKUP(EOMONTH(AF51,0),Macroeconomics!$B$67:$R$380,Macroeconomics!$C$66,0)*$C$59</f>
        <v>7.7405390548168649E-3</v>
      </c>
      <c r="AG59" s="170">
        <f>VLOOKUP(EOMONTH(AG51,0),Macroeconomics!$B$67:$R$380,Macroeconomics!$C$66,0)*$C$59</f>
        <v>8.1533959643182996E-3</v>
      </c>
      <c r="AH59" s="170">
        <f>VLOOKUP(EOMONTH(AH51,0),Macroeconomics!$B$67:$R$380,Macroeconomics!$C$66,0)*$C$59</f>
        <v>8.566404007106742E-3</v>
      </c>
      <c r="AI59" s="170">
        <f>VLOOKUP(EOMONTH(AI51,0),Macroeconomics!$B$67:$R$380,Macroeconomics!$C$66,0)*$C$59</f>
        <v>8.1533959643182996E-3</v>
      </c>
      <c r="AJ59" s="170">
        <f>VLOOKUP(EOMONTH(AJ51,0),Macroeconomics!$B$67:$R$380,Macroeconomics!$C$66,0)*$C$59</f>
        <v>9.3928737139324179E-3</v>
      </c>
      <c r="AK59" s="170">
        <f>VLOOKUP(EOMONTH(AK51,0),Macroeconomics!$B$67:$R$380,Macroeconomics!$C$66,0)*$C$59</f>
        <v>8.566404007106742E-3</v>
      </c>
      <c r="AL59" s="170">
        <f>VLOOKUP(EOMONTH(AL51,0),Macroeconomics!$B$67:$R$380,Macroeconomics!$C$66,0)*$C$59</f>
        <v>8.9795632385251539E-3</v>
      </c>
      <c r="AM59" s="170">
        <f>VLOOKUP(EOMONTH(AM51,0),Macroeconomics!$B$67:$R$380,Macroeconomics!$C$66,0)*$C$59</f>
        <v>9.3928737139324179E-3</v>
      </c>
      <c r="AN59" s="170">
        <f>VLOOKUP(EOMONTH(AN51,0),Macroeconomics!$B$67:$R$380,Macroeconomics!$C$66,0)*$C$59</f>
        <v>8.1533959643182996E-3</v>
      </c>
      <c r="AO59" s="170">
        <f>VLOOKUP(EOMONTH(AO51,0),Macroeconomics!$B$67:$R$380,Macroeconomics!$C$66,0)*$C$59</f>
        <v>8.9795632385249041E-3</v>
      </c>
      <c r="AP59" s="170">
        <f>VLOOKUP(EOMONTH(AP51,0),Macroeconomics!$B$67:$R$380,Macroeconomics!$C$66,0)*$C$59</f>
        <v>8.566404007106742E-3</v>
      </c>
      <c r="AQ59" s="170">
        <f>VLOOKUP(EOMONTH(AQ51,0),Macroeconomics!$B$67:$R$380,Macroeconomics!$C$66,0)*$C$59</f>
        <v>7.3278332232766278E-3</v>
      </c>
      <c r="AR59" s="170">
        <f>VLOOKUP(EOMONTH(AR51,0),Macroeconomics!$B$67:$R$380,Macroeconomics!$C$66,0)*$C$59</f>
        <v>8.9795632385251539E-3</v>
      </c>
      <c r="AS59" s="170">
        <f>VLOOKUP(EOMONTH(AS51,0),Macroeconomics!$B$67:$R$380,Macroeconomics!$C$66,0)*$C$59</f>
        <v>8.1533959643182996E-3</v>
      </c>
      <c r="AT59" s="170">
        <f>VLOOKUP(EOMONTH(AT51,0),Macroeconomics!$B$67:$R$380,Macroeconomics!$C$66,0)*$C$59</f>
        <v>8.1533959643185494E-3</v>
      </c>
      <c r="AU59" s="170">
        <f>VLOOKUP(EOMONTH(AU51,0),Macroeconomics!$B$67:$R$380,Macroeconomics!$C$66,0)*$C$59</f>
        <v>8.566404007106742E-3</v>
      </c>
      <c r="AV59" s="170">
        <f>VLOOKUP(EOMONTH(AV51,0),Macroeconomics!$B$67:$R$380,Macroeconomics!$C$66,0)*$C$59</f>
        <v>9.3928737139324179E-3</v>
      </c>
      <c r="AW59" s="170">
        <f>VLOOKUP(EOMONTH(AW51,0),Macroeconomics!$B$67:$R$380,Macroeconomics!$C$66,0)*$C$59</f>
        <v>8.566404007106742E-3</v>
      </c>
      <c r="AX59" s="170">
        <f>VLOOKUP(EOMONTH(AX51,0),Macroeconomics!$B$67:$R$380,Macroeconomics!$C$66,0)*$C$59</f>
        <v>8.566404007106742E-3</v>
      </c>
      <c r="AY59" s="170">
        <f>VLOOKUP(EOMONTH(AY51,0),Macroeconomics!$B$67:$R$380,Macroeconomics!$C$66,0)*$C$59</f>
        <v>8.566404007106742E-3</v>
      </c>
      <c r="AZ59" s="170">
        <f>VLOOKUP(EOMONTH(AZ51,0),Macroeconomics!$B$67:$R$380,Macroeconomics!$C$66,0)*$C$59</f>
        <v>8.1533959643182996E-3</v>
      </c>
      <c r="BA59" s="170">
        <f>VLOOKUP(EOMONTH(BA51,0),Macroeconomics!$B$67:$R$380,Macroeconomics!$C$66,0)*$C$59</f>
        <v>8.9795632385249041E-3</v>
      </c>
      <c r="BB59" s="170">
        <f>VLOOKUP(EOMONTH(BB51,0),Macroeconomics!$B$67:$R$380,Macroeconomics!$C$66,0)*$C$59</f>
        <v>8.6484157055763348E-3</v>
      </c>
      <c r="BC59" s="170">
        <f>VLOOKUP(EOMONTH(BC51,0),Macroeconomics!$B$67:$R$380,Macroeconomics!$C$66,0)*$C$59</f>
        <v>8.6484157055763348E-3</v>
      </c>
      <c r="BD59" s="170">
        <f>VLOOKUP(EOMONTH(BD51,0),Macroeconomics!$B$67:$R$380,Macroeconomics!$C$66,0)*$C$59</f>
        <v>8.6484157055763348E-3</v>
      </c>
      <c r="BE59" s="170">
        <f>VLOOKUP(EOMONTH(BE51,0),Macroeconomics!$B$67:$R$380,Macroeconomics!$C$66,0)*$C$59</f>
        <v>8.6484157055763348E-3</v>
      </c>
      <c r="BF59" s="170">
        <f>VLOOKUP(EOMONTH(BF51,0),Macroeconomics!$B$67:$R$380,Macroeconomics!$C$66,0)*$C$59</f>
        <v>8.6484157055763348E-3</v>
      </c>
      <c r="BG59" s="170">
        <f>VLOOKUP(EOMONTH(BG51,0),Macroeconomics!$B$67:$R$380,Macroeconomics!$C$66,0)*$C$59</f>
        <v>8.6484157055763348E-3</v>
      </c>
      <c r="BH59" s="170">
        <f>VLOOKUP(EOMONTH(BH51,0),Macroeconomics!$B$67:$R$380,Macroeconomics!$C$66,0)*$C$59</f>
        <v>8.6484157055763348E-3</v>
      </c>
      <c r="BI59" s="170">
        <f>VLOOKUP(EOMONTH(BI51,0),Macroeconomics!$B$67:$R$380,Macroeconomics!$C$66,0)*$C$59</f>
        <v>8.6484157055763348E-3</v>
      </c>
      <c r="BJ59" s="170">
        <f>VLOOKUP(EOMONTH(BJ51,0),Macroeconomics!$B$67:$R$380,Macroeconomics!$C$66,0)*$C$59</f>
        <v>8.6484157055763348E-3</v>
      </c>
      <c r="BK59" s="170">
        <f>VLOOKUP(EOMONTH(BK51,0),Macroeconomics!$B$67:$R$380,Macroeconomics!$C$66,0)*$C$59</f>
        <v>8.6484157055763348E-3</v>
      </c>
      <c r="BL59" s="170">
        <f>VLOOKUP(EOMONTH(BL51,0),Macroeconomics!$B$67:$R$380,Macroeconomics!$C$66,0)*$C$59</f>
        <v>8.6484157055763348E-3</v>
      </c>
      <c r="BM59" s="170">
        <f>VLOOKUP(EOMONTH(BM51,0),Macroeconomics!$B$67:$R$380,Macroeconomics!$C$66,0)*$C$59</f>
        <v>8.6484157055763348E-3</v>
      </c>
      <c r="BN59" s="170">
        <f>VLOOKUP(EOMONTH(BN51,0),Macroeconomics!$B$67:$R$380,Macroeconomics!$C$66,0)*$C$59</f>
        <v>8.6484157055763348E-3</v>
      </c>
      <c r="BO59" s="170">
        <f>VLOOKUP(EOMONTH(BO51,0),Macroeconomics!$B$67:$R$380,Macroeconomics!$C$66,0)*$C$59</f>
        <v>8.6484157055763348E-3</v>
      </c>
      <c r="BP59" s="170">
        <f>VLOOKUP(EOMONTH(BP51,0),Macroeconomics!$B$67:$R$380,Macroeconomics!$C$66,0)*$C$59</f>
        <v>8.6484157055763348E-3</v>
      </c>
      <c r="BQ59" s="170">
        <f>VLOOKUP(EOMONTH(BQ51,0),Macroeconomics!$B$67:$R$380,Macroeconomics!$C$66,0)*$C$59</f>
        <v>8.6484157055763348E-3</v>
      </c>
      <c r="BR59" s="170">
        <f>VLOOKUP(EOMONTH(BR51,0),Macroeconomics!$B$67:$R$380,Macroeconomics!$C$66,0)*$C$59</f>
        <v>8.6484157055763348E-3</v>
      </c>
      <c r="BS59" s="170">
        <f>VLOOKUP(EOMONTH(BS51,0),Macroeconomics!$B$67:$R$380,Macroeconomics!$C$66,0)*$C$59</f>
        <v>8.6484157055763348E-3</v>
      </c>
      <c r="BT59" s="170">
        <f>VLOOKUP(EOMONTH(BT51,0),Macroeconomics!$B$67:$R$380,Macroeconomics!$C$66,0)*$C$59</f>
        <v>8.6484157055763348E-3</v>
      </c>
      <c r="BU59" s="170">
        <f>VLOOKUP(EOMONTH(BU51,0),Macroeconomics!$B$67:$R$380,Macroeconomics!$C$66,0)*$C$59</f>
        <v>8.6484157055763348E-3</v>
      </c>
      <c r="BV59" s="170">
        <f>VLOOKUP(EOMONTH(BV51,0),Macroeconomics!$B$67:$R$380,Macroeconomics!$C$66,0)*$C$59</f>
        <v>8.6484157055763348E-3</v>
      </c>
      <c r="BW59" s="170">
        <f>VLOOKUP(EOMONTH(BW51,0),Macroeconomics!$B$67:$R$380,Macroeconomics!$C$66,0)*$C$59</f>
        <v>8.6484157055763348E-3</v>
      </c>
      <c r="BX59" s="170">
        <f>VLOOKUP(EOMONTH(BX51,0),Macroeconomics!$B$67:$R$380,Macroeconomics!$C$66,0)*$C$59</f>
        <v>8.6484157055763348E-3</v>
      </c>
      <c r="BY59" s="170">
        <f>VLOOKUP(EOMONTH(BY51,0),Macroeconomics!$B$67:$R$380,Macroeconomics!$C$66,0)*$C$59</f>
        <v>8.6484157055763348E-3</v>
      </c>
      <c r="BZ59" s="170">
        <f>VLOOKUP(EOMONTH(BZ51,0),Macroeconomics!$B$67:$R$380,Macroeconomics!$C$66,0)*$C$59</f>
        <v>8.4423826891569936E-3</v>
      </c>
      <c r="CA59" s="170">
        <f>VLOOKUP(EOMONTH(CA51,0),Macroeconomics!$B$67:$R$380,Macroeconomics!$C$66,0)*$C$59</f>
        <v>8.4423826891569936E-3</v>
      </c>
      <c r="CB59" s="170">
        <f>VLOOKUP(EOMONTH(CB51,0),Macroeconomics!$B$67:$R$380,Macroeconomics!$C$66,0)*$C$59</f>
        <v>8.4423826891569936E-3</v>
      </c>
      <c r="CC59" s="170">
        <f>VLOOKUP(EOMONTH(CC51,0),Macroeconomics!$B$67:$R$380,Macroeconomics!$C$66,0)*$C$59</f>
        <v>8.4423826891569936E-3</v>
      </c>
      <c r="CD59" s="170">
        <f>VLOOKUP(EOMONTH(CD51,0),Macroeconomics!$B$67:$R$380,Macroeconomics!$C$66,0)*$C$59</f>
        <v>8.4423826891569936E-3</v>
      </c>
      <c r="CE59" s="170">
        <f>VLOOKUP(EOMONTH(CE51,0),Macroeconomics!$B$67:$R$380,Macroeconomics!$C$66,0)*$C$59</f>
        <v>8.4423826891569936E-3</v>
      </c>
      <c r="CF59" s="170">
        <f>VLOOKUP(EOMONTH(CF51,0),Macroeconomics!$B$67:$R$380,Macroeconomics!$C$66,0)*$C$59</f>
        <v>8.4423826891569936E-3</v>
      </c>
      <c r="CG59" s="170">
        <f>VLOOKUP(EOMONTH(CG51,0),Macroeconomics!$B$67:$R$380,Macroeconomics!$C$66,0)*$C$59</f>
        <v>8.4423826891569936E-3</v>
      </c>
      <c r="CH59" s="170">
        <f>VLOOKUP(EOMONTH(CH51,0),Macroeconomics!$B$67:$R$380,Macroeconomics!$C$66,0)*$C$59</f>
        <v>8.4423826891569936E-3</v>
      </c>
      <c r="CI59" s="170">
        <f>VLOOKUP(EOMONTH(CI51,0),Macroeconomics!$B$67:$R$380,Macroeconomics!$C$66,0)*$C$59</f>
        <v>8.4423826891569936E-3</v>
      </c>
      <c r="CJ59" s="170">
        <f>VLOOKUP(EOMONTH(CJ51,0),Macroeconomics!$B$67:$R$380,Macroeconomics!$C$66,0)*$C$59</f>
        <v>8.4423826891569936E-3</v>
      </c>
      <c r="CK59" s="170">
        <f>VLOOKUP(EOMONTH(CK51,0),Macroeconomics!$B$67:$R$380,Macroeconomics!$C$66,0)*$C$59</f>
        <v>8.4423826891569936E-3</v>
      </c>
      <c r="CL59" s="170">
        <f>VLOOKUP(EOMONTH(CL51,0),Macroeconomics!$B$67:$R$380,Macroeconomics!$C$66,0)*$C$59</f>
        <v>8.433788994186139E-3</v>
      </c>
      <c r="CM59" s="170">
        <f>VLOOKUP(EOMONTH(CM51,0),Macroeconomics!$B$67:$R$380,Macroeconomics!$C$66,0)*$C$59</f>
        <v>8.433788994186139E-3</v>
      </c>
      <c r="CN59" s="170">
        <f>VLOOKUP(EOMONTH(CN51,0),Macroeconomics!$B$67:$R$380,Macroeconomics!$C$66,0)*$C$59</f>
        <v>8.433788994186139E-3</v>
      </c>
      <c r="CO59" s="170">
        <f>VLOOKUP(EOMONTH(CO51,0),Macroeconomics!$B$67:$R$380,Macroeconomics!$C$66,0)*$C$59</f>
        <v>8.433788994186139E-3</v>
      </c>
      <c r="CP59" s="170">
        <f>VLOOKUP(EOMONTH(CP51,0),Macroeconomics!$B$67:$R$380,Macroeconomics!$C$66,0)*$C$59</f>
        <v>8.433788994186139E-3</v>
      </c>
      <c r="CQ59" s="170">
        <f>VLOOKUP(EOMONTH(CQ51,0),Macroeconomics!$B$67:$R$380,Macroeconomics!$C$66,0)*$C$59</f>
        <v>8.433788994186139E-3</v>
      </c>
      <c r="CR59" s="170">
        <f>VLOOKUP(EOMONTH(CR51,0),Macroeconomics!$B$67:$R$380,Macroeconomics!$C$66,0)*$C$59</f>
        <v>8.433788994186139E-3</v>
      </c>
      <c r="CS59" s="170">
        <f>VLOOKUP(EOMONTH(CS51,0),Macroeconomics!$B$67:$R$380,Macroeconomics!$C$66,0)*$C$59</f>
        <v>8.433788994186139E-3</v>
      </c>
      <c r="CT59" s="170">
        <f>VLOOKUP(EOMONTH(CT51,0),Macroeconomics!$B$67:$R$380,Macroeconomics!$C$66,0)*$C$59</f>
        <v>8.433788994186139E-3</v>
      </c>
      <c r="CU59" s="170">
        <f>VLOOKUP(EOMONTH(CU51,0),Macroeconomics!$B$67:$R$380,Macroeconomics!$C$66,0)*$C$59</f>
        <v>8.433788994186139E-3</v>
      </c>
      <c r="CV59" s="170">
        <f>VLOOKUP(EOMONTH(CV51,0),Macroeconomics!$B$67:$R$380,Macroeconomics!$C$66,0)*$C$59</f>
        <v>8.433788994186139E-3</v>
      </c>
      <c r="CW59" s="170">
        <f>VLOOKUP(EOMONTH(CW51,0),Macroeconomics!$B$67:$R$380,Macroeconomics!$C$66,0)*$C$59</f>
        <v>8.433788994186139E-3</v>
      </c>
      <c r="CX59" s="170">
        <f>VLOOKUP(EOMONTH(CX51,0),Macroeconomics!$B$67:$R$380,Macroeconomics!$C$66,0)*$C$59</f>
        <v>8.433788994186139E-3</v>
      </c>
      <c r="CY59" s="170">
        <f>VLOOKUP(EOMONTH(CY51,0),Macroeconomics!$B$67:$R$380,Macroeconomics!$C$66,0)*$C$59</f>
        <v>8.433788994186139E-3</v>
      </c>
      <c r="CZ59" s="170">
        <f>VLOOKUP(EOMONTH(CZ51,0),Macroeconomics!$B$67:$R$380,Macroeconomics!$C$66,0)*$C$59</f>
        <v>8.433788994186139E-3</v>
      </c>
      <c r="DA59" s="170">
        <f>VLOOKUP(EOMONTH(DA51,0),Macroeconomics!$B$67:$R$380,Macroeconomics!$C$66,0)*$C$59</f>
        <v>8.433788994186139E-3</v>
      </c>
      <c r="DB59" s="170">
        <f>VLOOKUP(EOMONTH(DB51,0),Macroeconomics!$B$67:$R$380,Macroeconomics!$C$66,0)*$C$59</f>
        <v>8.433788994186139E-3</v>
      </c>
      <c r="DC59" s="170">
        <f>VLOOKUP(EOMONTH(DC51,0),Macroeconomics!$B$67:$R$380,Macroeconomics!$C$66,0)*$C$59</f>
        <v>8.433788994186139E-3</v>
      </c>
      <c r="DD59" s="170">
        <f>VLOOKUP(EOMONTH(DD51,0),Macroeconomics!$B$67:$R$380,Macroeconomics!$C$66,0)*$C$59</f>
        <v>8.433788994186139E-3</v>
      </c>
      <c r="DE59" s="170">
        <f>VLOOKUP(EOMONTH(DE51,0),Macroeconomics!$B$67:$R$380,Macroeconomics!$C$66,0)*$C$59</f>
        <v>8.433788994186139E-3</v>
      </c>
      <c r="DF59" s="170">
        <f>VLOOKUP(EOMONTH(DF51,0),Macroeconomics!$B$67:$R$380,Macroeconomics!$C$66,0)*$C$59</f>
        <v>8.433788994186139E-3</v>
      </c>
      <c r="DG59" s="170">
        <f>VLOOKUP(EOMONTH(DG51,0),Macroeconomics!$B$67:$R$380,Macroeconomics!$C$66,0)*$C$59</f>
        <v>8.433788994186139E-3</v>
      </c>
      <c r="DH59" s="170">
        <f>VLOOKUP(EOMONTH(DH51,0),Macroeconomics!$B$67:$R$380,Macroeconomics!$C$66,0)*$C$59</f>
        <v>8.433788994186139E-3</v>
      </c>
      <c r="DI59" s="170">
        <f>VLOOKUP(EOMONTH(DI51,0),Macroeconomics!$B$67:$R$380,Macroeconomics!$C$66,0)*$C$59</f>
        <v>8.433788994186139E-3</v>
      </c>
      <c r="DJ59" s="170">
        <f>VLOOKUP(EOMONTH(DJ51,0),Macroeconomics!$B$67:$R$380,Macroeconomics!$C$66,0)*$C$59</f>
        <v>8.433788994186139E-3</v>
      </c>
      <c r="DK59" s="170">
        <f>VLOOKUP(EOMONTH(DK51,0),Macroeconomics!$B$67:$R$380,Macroeconomics!$C$66,0)*$C$59</f>
        <v>8.433788994186139E-3</v>
      </c>
      <c r="DL59" s="170">
        <f>VLOOKUP(EOMONTH(DL51,0),Macroeconomics!$B$67:$R$380,Macroeconomics!$C$66,0)*$C$59</f>
        <v>8.433788994186139E-3</v>
      </c>
      <c r="DM59" s="170">
        <f>VLOOKUP(EOMONTH(DM51,0),Macroeconomics!$B$67:$R$380,Macroeconomics!$C$66,0)*$C$59</f>
        <v>8.433788994186139E-3</v>
      </c>
      <c r="DN59" s="170">
        <f>VLOOKUP(EOMONTH(DN51,0),Macroeconomics!$B$67:$R$380,Macroeconomics!$C$66,0)*$C$59</f>
        <v>8.433788994186139E-3</v>
      </c>
      <c r="DO59" s="170">
        <f>VLOOKUP(EOMONTH(DO51,0),Macroeconomics!$B$67:$R$380,Macroeconomics!$C$66,0)*$C$59</f>
        <v>8.433788994186139E-3</v>
      </c>
      <c r="DP59" s="170">
        <f>VLOOKUP(EOMONTH(DP51,0),Macroeconomics!$B$67:$R$380,Macroeconomics!$C$66,0)*$C$59</f>
        <v>8.433788994186139E-3</v>
      </c>
      <c r="DQ59" s="170">
        <f>VLOOKUP(EOMONTH(DQ51,0),Macroeconomics!$B$67:$R$380,Macroeconomics!$C$66,0)*$C$59</f>
        <v>8.433788994186139E-3</v>
      </c>
      <c r="DR59" s="170">
        <f>VLOOKUP(EOMONTH(DR51,0),Macroeconomics!$B$67:$R$380,Macroeconomics!$C$66,0)*$C$59</f>
        <v>8.433788994186139E-3</v>
      </c>
      <c r="DS59" s="170">
        <f>VLOOKUP(EOMONTH(DS51,0),Macroeconomics!$B$67:$R$380,Macroeconomics!$C$66,0)*$C$59</f>
        <v>8.433788994186139E-3</v>
      </c>
      <c r="DT59" s="170">
        <f>VLOOKUP(EOMONTH(DT51,0),Macroeconomics!$B$67:$R$380,Macroeconomics!$C$66,0)*$C$59</f>
        <v>8.433788994186139E-3</v>
      </c>
      <c r="DU59" s="170">
        <f>VLOOKUP(EOMONTH(DU51,0),Macroeconomics!$B$67:$R$380,Macroeconomics!$C$66,0)*$C$59</f>
        <v>8.433788994186139E-3</v>
      </c>
      <c r="DV59" s="170">
        <f>VLOOKUP(EOMONTH(DV51,0),Macroeconomics!$B$67:$R$380,Macroeconomics!$C$66,0)*$C$59</f>
        <v>8.2273240341277556E-3</v>
      </c>
      <c r="DW59" s="170">
        <f>VLOOKUP(EOMONTH(DW51,0),Macroeconomics!$B$67:$R$380,Macroeconomics!$C$66,0)*$C$59</f>
        <v>8.2273240341277556E-3</v>
      </c>
      <c r="DX59" s="170">
        <f>VLOOKUP(EOMONTH(DX51,0),Macroeconomics!$B$67:$R$380,Macroeconomics!$C$66,0)*$C$59</f>
        <v>8.2273240341277556E-3</v>
      </c>
      <c r="DY59" s="170">
        <f>VLOOKUP(EOMONTH(DY51,0),Macroeconomics!$B$67:$R$380,Macroeconomics!$C$66,0)*$C$59</f>
        <v>8.2273240341277556E-3</v>
      </c>
      <c r="DZ59" s="170">
        <f>VLOOKUP(EOMONTH(DZ51,0),Macroeconomics!$B$67:$R$380,Macroeconomics!$C$66,0)*$C$59</f>
        <v>8.2273240341277556E-3</v>
      </c>
      <c r="EA59" s="170">
        <f>VLOOKUP(EOMONTH(EA51,0),Macroeconomics!$B$67:$R$380,Macroeconomics!$C$66,0)*$C$59</f>
        <v>8.2273240341277556E-3</v>
      </c>
      <c r="EB59" s="170">
        <f>VLOOKUP(EOMONTH(EB51,0),Macroeconomics!$B$67:$R$380,Macroeconomics!$C$66,0)*$C$59</f>
        <v>8.2273240341277556E-3</v>
      </c>
      <c r="EC59" s="170">
        <f>VLOOKUP(EOMONTH(EC51,0),Macroeconomics!$B$67:$R$380,Macroeconomics!$C$66,0)*$C$59</f>
        <v>8.2273240341277556E-3</v>
      </c>
      <c r="ED59" s="170">
        <f>VLOOKUP(EOMONTH(ED51,0),Macroeconomics!$B$67:$R$380,Macroeconomics!$C$66,0)*$C$59</f>
        <v>8.2273240341277556E-3</v>
      </c>
      <c r="EE59" s="170">
        <f>VLOOKUP(EOMONTH(EE51,0),Macroeconomics!$B$67:$R$380,Macroeconomics!$C$66,0)*$C$59</f>
        <v>8.2273240341277556E-3</v>
      </c>
      <c r="EF59" s="170">
        <f>VLOOKUP(EOMONTH(EF51,0),Macroeconomics!$B$67:$R$380,Macroeconomics!$C$66,0)*$C$59</f>
        <v>8.2273240341277556E-3</v>
      </c>
      <c r="EG59" s="170">
        <f>VLOOKUP(EOMONTH(EG51,0),Macroeconomics!$B$67:$R$380,Macroeconomics!$C$66,0)*$C$59</f>
        <v>8.2273240341277556E-3</v>
      </c>
      <c r="EH59" s="170">
        <f>VLOOKUP(EOMONTH(EH51,0),Macroeconomics!$B$67:$R$380,Macroeconomics!$C$66,0)*$C$59</f>
        <v>8.2273240341277556E-3</v>
      </c>
      <c r="EI59" s="170">
        <f>VLOOKUP(EOMONTH(EI51,0),Macroeconomics!$B$67:$R$380,Macroeconomics!$C$66,0)*$C$59</f>
        <v>8.2273240341277556E-3</v>
      </c>
      <c r="EJ59" s="170">
        <f>VLOOKUP(EOMONTH(EJ51,0),Macroeconomics!$B$67:$R$380,Macroeconomics!$C$66,0)*$C$59</f>
        <v>8.2273240341277556E-3</v>
      </c>
      <c r="EK59" s="170">
        <f>VLOOKUP(EOMONTH(EK51,0),Macroeconomics!$B$67:$R$380,Macroeconomics!$C$66,0)*$C$59</f>
        <v>8.2273240341277556E-3</v>
      </c>
      <c r="EL59" s="170">
        <f>VLOOKUP(EOMONTH(EL51,0),Macroeconomics!$B$67:$R$380,Macroeconomics!$C$66,0)*$C$59</f>
        <v>8.2273240341277556E-3</v>
      </c>
      <c r="EM59" s="170">
        <f>VLOOKUP(EOMONTH(EM51,0),Macroeconomics!$B$67:$R$380,Macroeconomics!$C$66,0)*$C$59</f>
        <v>8.2273240341277556E-3</v>
      </c>
      <c r="EN59" s="170">
        <f>VLOOKUP(EOMONTH(EN51,0),Macroeconomics!$B$67:$R$380,Macroeconomics!$C$66,0)*$C$59</f>
        <v>8.2273240341277556E-3</v>
      </c>
      <c r="EO59" s="170">
        <f>VLOOKUP(EOMONTH(EO51,0),Macroeconomics!$B$67:$R$380,Macroeconomics!$C$66,0)*$C$59</f>
        <v>8.2273240341277556E-3</v>
      </c>
      <c r="EP59" s="170">
        <f>VLOOKUP(EOMONTH(EP51,0),Macroeconomics!$B$67:$R$380,Macroeconomics!$C$66,0)*$C$59</f>
        <v>8.2273240341277556E-3</v>
      </c>
      <c r="EQ59" s="170">
        <f>VLOOKUP(EOMONTH(EQ51,0),Macroeconomics!$B$67:$R$380,Macroeconomics!$C$66,0)*$C$59</f>
        <v>8.2273240341277556E-3</v>
      </c>
      <c r="ER59" s="170">
        <f>VLOOKUP(EOMONTH(ER51,0),Macroeconomics!$B$67:$R$380,Macroeconomics!$C$66,0)*$C$59</f>
        <v>8.2273240341277556E-3</v>
      </c>
      <c r="ES59" s="170">
        <f>VLOOKUP(EOMONTH(ES51,0),Macroeconomics!$B$67:$R$380,Macroeconomics!$C$66,0)*$C$59</f>
        <v>8.2273240341277556E-3</v>
      </c>
      <c r="ET59" s="170">
        <f>VLOOKUP(EOMONTH(ET51,0),Macroeconomics!$B$67:$R$380,Macroeconomics!$C$66,0)*$C$59</f>
        <v>8.2273240341277556E-3</v>
      </c>
      <c r="EU59" s="170">
        <f>VLOOKUP(EOMONTH(EU51,0),Macroeconomics!$B$67:$R$380,Macroeconomics!$C$66,0)*$C$59</f>
        <v>8.2273240341277556E-3</v>
      </c>
      <c r="EV59" s="170">
        <f>VLOOKUP(EOMONTH(EV51,0),Macroeconomics!$B$67:$R$380,Macroeconomics!$C$66,0)*$C$59</f>
        <v>8.2273240341277556E-3</v>
      </c>
      <c r="EW59" s="170">
        <f>VLOOKUP(EOMONTH(EW51,0),Macroeconomics!$B$67:$R$380,Macroeconomics!$C$66,0)*$C$59</f>
        <v>8.2273240341277556E-3</v>
      </c>
      <c r="EX59" s="170">
        <f>VLOOKUP(EOMONTH(EX51,0),Macroeconomics!$B$67:$R$380,Macroeconomics!$C$66,0)*$C$59</f>
        <v>8.2273240341277556E-3</v>
      </c>
      <c r="EY59" s="170">
        <f>VLOOKUP(EOMONTH(EY51,0),Macroeconomics!$B$67:$R$380,Macroeconomics!$C$66,0)*$C$59</f>
        <v>8.2273240341277556E-3</v>
      </c>
      <c r="EZ59" s="170">
        <f>VLOOKUP(EOMONTH(EZ51,0),Macroeconomics!$B$67:$R$380,Macroeconomics!$C$66,0)*$C$59</f>
        <v>8.2273240341277556E-3</v>
      </c>
      <c r="FA59" s="170">
        <f>VLOOKUP(EOMONTH(FA51,0),Macroeconomics!$B$67:$R$380,Macroeconomics!$C$66,0)*$C$59</f>
        <v>8.2273240341277556E-3</v>
      </c>
      <c r="FB59" s="170">
        <f>VLOOKUP(EOMONTH(FB51,0),Macroeconomics!$B$67:$R$380,Macroeconomics!$C$66,0)*$C$59</f>
        <v>8.2273240341277556E-3</v>
      </c>
      <c r="FC59" s="170">
        <f>VLOOKUP(EOMONTH(FC51,0),Macroeconomics!$B$67:$R$380,Macroeconomics!$C$66,0)*$C$59</f>
        <v>8.2273240341277556E-3</v>
      </c>
      <c r="FD59" s="170">
        <f>VLOOKUP(EOMONTH(FD51,0),Macroeconomics!$B$67:$R$380,Macroeconomics!$C$66,0)*$C$59</f>
        <v>8.2273240341277556E-3</v>
      </c>
      <c r="FE59" s="170">
        <f>VLOOKUP(EOMONTH(FE51,0),Macroeconomics!$B$67:$R$380,Macroeconomics!$C$66,0)*$C$59</f>
        <v>8.2273240341277556E-3</v>
      </c>
      <c r="FF59" s="170">
        <f>VLOOKUP(EOMONTH(FF51,0),Macroeconomics!$B$67:$R$380,Macroeconomics!$C$66,0)*$C$59</f>
        <v>8.2273240341277556E-3</v>
      </c>
      <c r="FG59" s="170">
        <f>VLOOKUP(EOMONTH(FG51,0),Macroeconomics!$B$67:$R$380,Macroeconomics!$C$66,0)*$C$59</f>
        <v>8.2273240341277556E-3</v>
      </c>
      <c r="FH59" s="170">
        <f>VLOOKUP(EOMONTH(FH51,0),Macroeconomics!$B$67:$R$380,Macroeconomics!$C$66,0)*$C$59</f>
        <v>8.2273240341277556E-3</v>
      </c>
      <c r="FI59" s="170">
        <f>VLOOKUP(EOMONTH(FI51,0),Macroeconomics!$B$67:$R$380,Macroeconomics!$C$66,0)*$C$59</f>
        <v>8.2273240341277556E-3</v>
      </c>
      <c r="FJ59" s="170">
        <f>VLOOKUP(EOMONTH(FJ51,0),Macroeconomics!$B$67:$R$380,Macroeconomics!$C$66,0)*$C$59</f>
        <v>8.2273240341277556E-3</v>
      </c>
      <c r="FK59" s="170">
        <f>VLOOKUP(EOMONTH(FK51,0),Macroeconomics!$B$67:$R$380,Macroeconomics!$C$66,0)*$C$59</f>
        <v>8.2273240341277556E-3</v>
      </c>
      <c r="FL59" s="170">
        <f>VLOOKUP(EOMONTH(FL51,0),Macroeconomics!$B$67:$R$380,Macroeconomics!$C$66,0)*$C$59</f>
        <v>8.2273240341277556E-3</v>
      </c>
      <c r="FM59" s="170">
        <f>VLOOKUP(EOMONTH(FM51,0),Macroeconomics!$B$67:$R$380,Macroeconomics!$C$66,0)*$C$59</f>
        <v>8.2273240341277556E-3</v>
      </c>
      <c r="FN59" s="170">
        <f>VLOOKUP(EOMONTH(FN51,0),Macroeconomics!$B$67:$R$380,Macroeconomics!$C$66,0)*$C$59</f>
        <v>8.2273240341277556E-3</v>
      </c>
      <c r="FO59" s="170">
        <f>VLOOKUP(EOMONTH(FO51,0),Macroeconomics!$B$67:$R$380,Macroeconomics!$C$66,0)*$C$59</f>
        <v>8.2273240341277556E-3</v>
      </c>
      <c r="FP59" s="170">
        <f>VLOOKUP(EOMONTH(FP51,0),Macroeconomics!$B$67:$R$380,Macroeconomics!$C$66,0)*$C$59</f>
        <v>8.2273240341277556E-3</v>
      </c>
      <c r="FQ59" s="170">
        <f>VLOOKUP(EOMONTH(FQ51,0),Macroeconomics!$B$67:$R$380,Macroeconomics!$C$66,0)*$C$59</f>
        <v>8.2273240341277556E-3</v>
      </c>
      <c r="FR59" s="170">
        <f>VLOOKUP(EOMONTH(FR51,0),Macroeconomics!$B$67:$R$380,Macroeconomics!$C$66,0)*$C$59</f>
        <v>8.2273240341277556E-3</v>
      </c>
      <c r="FS59" s="170">
        <f>VLOOKUP(EOMONTH(FS51,0),Macroeconomics!$B$67:$R$380,Macroeconomics!$C$66,0)*$C$59</f>
        <v>8.2273240341277556E-3</v>
      </c>
      <c r="FT59" s="170">
        <f>VLOOKUP(EOMONTH(FT51,0),Macroeconomics!$B$67:$R$380,Macroeconomics!$C$66,0)*$C$59</f>
        <v>8.2273240341277556E-3</v>
      </c>
      <c r="FU59" s="170">
        <f>VLOOKUP(EOMONTH(FU51,0),Macroeconomics!$B$67:$R$380,Macroeconomics!$C$66,0)*$C$59</f>
        <v>8.2273240341277556E-3</v>
      </c>
      <c r="FV59" s="170">
        <f>VLOOKUP(EOMONTH(FV51,0),Macroeconomics!$B$67:$R$380,Macroeconomics!$C$66,0)*$C$59</f>
        <v>8.2273240341277556E-3</v>
      </c>
      <c r="FW59" s="170">
        <f>VLOOKUP(EOMONTH(FW51,0),Macroeconomics!$B$67:$R$380,Macroeconomics!$C$66,0)*$C$59</f>
        <v>8.2273240341277556E-3</v>
      </c>
      <c r="FX59" s="170">
        <f>VLOOKUP(EOMONTH(FX51,0),Macroeconomics!$B$67:$R$380,Macroeconomics!$C$66,0)*$C$59</f>
        <v>8.2273240341277556E-3</v>
      </c>
      <c r="FY59" s="170">
        <f>VLOOKUP(EOMONTH(FY51,0),Macroeconomics!$B$67:$R$380,Macroeconomics!$C$66,0)*$C$59</f>
        <v>8.2273240341277556E-3</v>
      </c>
      <c r="FZ59" s="170">
        <f>VLOOKUP(EOMONTH(FZ51,0),Macroeconomics!$B$67:$R$380,Macroeconomics!$C$66,0)*$C$59</f>
        <v>8.2273240341277556E-3</v>
      </c>
      <c r="GA59" s="170">
        <f>VLOOKUP(EOMONTH(GA51,0),Macroeconomics!$B$67:$R$380,Macroeconomics!$C$66,0)*$C$59</f>
        <v>8.2273240341277556E-3</v>
      </c>
      <c r="GB59" s="170">
        <f>VLOOKUP(EOMONTH(GB51,0),Macroeconomics!$B$67:$R$380,Macroeconomics!$C$66,0)*$C$59</f>
        <v>8.2273240341277556E-3</v>
      </c>
      <c r="GC59" s="170">
        <f>VLOOKUP(EOMONTH(GC51,0),Macroeconomics!$B$67:$R$380,Macroeconomics!$C$66,0)*$C$59</f>
        <v>8.2273240341277556E-3</v>
      </c>
      <c r="GD59" s="170">
        <f>VLOOKUP(EOMONTH(GD51,0),Macroeconomics!$B$67:$R$380,Macroeconomics!$C$66,0)*$C$59</f>
        <v>8.0118135005707112E-3</v>
      </c>
      <c r="GE59" s="170">
        <f>VLOOKUP(EOMONTH(GE51,0),Macroeconomics!$B$67:$R$380,Macroeconomics!$C$66,0)*$C$59</f>
        <v>8.0118135005707112E-3</v>
      </c>
      <c r="GF59" s="170">
        <f>VLOOKUP(EOMONTH(GF51,0),Macroeconomics!$B$67:$R$380,Macroeconomics!$C$66,0)*$C$59</f>
        <v>8.0118135005707112E-3</v>
      </c>
      <c r="GG59" s="170">
        <f>VLOOKUP(EOMONTH(GG51,0),Macroeconomics!$B$67:$R$380,Macroeconomics!$C$66,0)*$C$59</f>
        <v>8.0118135005707112E-3</v>
      </c>
      <c r="GH59" s="170">
        <f>VLOOKUP(EOMONTH(GH51,0),Macroeconomics!$B$67:$R$380,Macroeconomics!$C$66,0)*$C$59</f>
        <v>8.0118135005707112E-3</v>
      </c>
      <c r="GI59" s="170">
        <f>VLOOKUP(EOMONTH(GI51,0),Macroeconomics!$B$67:$R$380,Macroeconomics!$C$66,0)*$C$59</f>
        <v>8.0118135005707112E-3</v>
      </c>
      <c r="GJ59" s="170">
        <f>VLOOKUP(EOMONTH(GJ51,0),Macroeconomics!$B$67:$R$380,Macroeconomics!$C$66,0)*$C$59</f>
        <v>8.0118135005707112E-3</v>
      </c>
      <c r="GK59" s="170">
        <f>VLOOKUP(EOMONTH(GK51,0),Macroeconomics!$B$67:$R$380,Macroeconomics!$C$66,0)*$C$59</f>
        <v>8.0118135005707112E-3</v>
      </c>
      <c r="GL59" s="170">
        <f>VLOOKUP(EOMONTH(GL51,0),Macroeconomics!$B$67:$R$380,Macroeconomics!$C$66,0)*$C$59</f>
        <v>8.0118135005707112E-3</v>
      </c>
      <c r="GM59" s="170">
        <f>VLOOKUP(EOMONTH(GM51,0),Macroeconomics!$B$67:$R$380,Macroeconomics!$C$66,0)*$C$59</f>
        <v>8.0118135005707112E-3</v>
      </c>
      <c r="GN59" s="170">
        <f>VLOOKUP(EOMONTH(GN51,0),Macroeconomics!$B$67:$R$380,Macroeconomics!$C$66,0)*$C$59</f>
        <v>8.0118135005707112E-3</v>
      </c>
      <c r="GO59" s="170">
        <f>VLOOKUP(EOMONTH(GO51,0),Macroeconomics!$B$67:$R$380,Macroeconomics!$C$66,0)*$C$59</f>
        <v>8.0118135005707112E-3</v>
      </c>
      <c r="GP59" s="170">
        <f>VLOOKUP(EOMONTH(GP51,0),Macroeconomics!$B$67:$R$380,Macroeconomics!$C$66,0)*$C$59</f>
        <v>8.0118135005707112E-3</v>
      </c>
      <c r="GQ59" s="170">
        <f>VLOOKUP(EOMONTH(GQ51,0),Macroeconomics!$B$67:$R$380,Macroeconomics!$C$66,0)*$C$59</f>
        <v>8.0118135005707112E-3</v>
      </c>
    </row>
    <row r="60" spans="2:199" hidden="1" outlineLevel="1">
      <c r="B60" s="315" t="s">
        <v>413</v>
      </c>
      <c r="C60" s="316">
        <v>12</v>
      </c>
    </row>
    <row r="61" spans="2:199" hidden="1" outlineLevel="1">
      <c r="B61" s="182" t="s">
        <v>409</v>
      </c>
      <c r="C61" s="131">
        <v>0</v>
      </c>
      <c r="D61" s="182" t="s">
        <v>404</v>
      </c>
      <c r="E61" s="160">
        <f>IF(OR(E51&lt;=$C53,E51&gt;$C54),0,IF(AND(E51&lt;=$C55,$C61=1,MOD(MONTH(E51)-MONTH($C53),6)=0),1,IF(AND(MOD(MONTH(E51)-MONTH($C53),$C60)=0,E51&gt;=$C55),1,0)))</f>
        <v>0</v>
      </c>
      <c r="F61" s="160">
        <f t="shared" ref="F61:BQ61" si="85">IF(OR(F51&lt;=$C53,F51&gt;$C54),0,IF(AND(F51&lt;=$C55,$C61=1,MOD(MONTH(F51)-MONTH($C53),6)=0),1,IF(AND(MOD(MONTH(F51)-MONTH($C53),$C60)=0,F51&gt;=$C55),1,0)))</f>
        <v>0</v>
      </c>
      <c r="G61" s="160">
        <f t="shared" si="85"/>
        <v>0</v>
      </c>
      <c r="H61" s="160">
        <f t="shared" si="85"/>
        <v>0</v>
      </c>
      <c r="I61" s="160">
        <f t="shared" si="85"/>
        <v>0</v>
      </c>
      <c r="J61" s="160">
        <f t="shared" si="85"/>
        <v>0</v>
      </c>
      <c r="K61" s="160">
        <f t="shared" si="85"/>
        <v>0</v>
      </c>
      <c r="L61" s="160">
        <f t="shared" si="85"/>
        <v>0</v>
      </c>
      <c r="M61" s="160">
        <f t="shared" si="85"/>
        <v>0</v>
      </c>
      <c r="N61" s="160">
        <f t="shared" si="85"/>
        <v>0</v>
      </c>
      <c r="O61" s="160">
        <f t="shared" si="85"/>
        <v>0</v>
      </c>
      <c r="P61" s="160">
        <f t="shared" si="85"/>
        <v>0</v>
      </c>
      <c r="Q61" s="160">
        <f t="shared" si="85"/>
        <v>0</v>
      </c>
      <c r="R61" s="160">
        <f t="shared" si="85"/>
        <v>0</v>
      </c>
      <c r="S61" s="160">
        <f t="shared" si="85"/>
        <v>0</v>
      </c>
      <c r="T61" s="160">
        <f t="shared" si="85"/>
        <v>0</v>
      </c>
      <c r="U61" s="160">
        <v>1</v>
      </c>
      <c r="V61" s="160">
        <f t="shared" si="85"/>
        <v>0</v>
      </c>
      <c r="W61" s="160">
        <f t="shared" si="85"/>
        <v>0</v>
      </c>
      <c r="X61" s="160">
        <f t="shared" si="85"/>
        <v>0</v>
      </c>
      <c r="Y61" s="160">
        <f t="shared" si="85"/>
        <v>0</v>
      </c>
      <c r="Z61" s="160">
        <f t="shared" si="85"/>
        <v>0</v>
      </c>
      <c r="AA61" s="160">
        <f t="shared" si="85"/>
        <v>0</v>
      </c>
      <c r="AB61" s="160">
        <f t="shared" si="85"/>
        <v>0</v>
      </c>
      <c r="AC61" s="160">
        <f t="shared" si="85"/>
        <v>0</v>
      </c>
      <c r="AD61" s="160">
        <f t="shared" si="85"/>
        <v>0</v>
      </c>
      <c r="AE61" s="160">
        <f t="shared" si="85"/>
        <v>0</v>
      </c>
      <c r="AF61" s="160">
        <f t="shared" si="85"/>
        <v>0</v>
      </c>
      <c r="AG61" s="160">
        <f t="shared" si="85"/>
        <v>0</v>
      </c>
      <c r="AH61" s="160">
        <f t="shared" si="85"/>
        <v>0</v>
      </c>
      <c r="AI61" s="160">
        <f t="shared" si="85"/>
        <v>0</v>
      </c>
      <c r="AJ61" s="160">
        <f t="shared" si="85"/>
        <v>0</v>
      </c>
      <c r="AK61" s="160">
        <f t="shared" si="85"/>
        <v>0</v>
      </c>
      <c r="AL61" s="160">
        <f t="shared" si="85"/>
        <v>0</v>
      </c>
      <c r="AM61" s="160">
        <f t="shared" si="85"/>
        <v>0</v>
      </c>
      <c r="AN61" s="160">
        <f t="shared" si="85"/>
        <v>0</v>
      </c>
      <c r="AO61" s="160">
        <f t="shared" si="85"/>
        <v>0</v>
      </c>
      <c r="AP61" s="160">
        <f t="shared" si="85"/>
        <v>0</v>
      </c>
      <c r="AQ61" s="160">
        <f t="shared" si="85"/>
        <v>0</v>
      </c>
      <c r="AR61" s="160">
        <f t="shared" si="85"/>
        <v>0</v>
      </c>
      <c r="AS61" s="160">
        <f t="shared" si="85"/>
        <v>0</v>
      </c>
      <c r="AT61" s="160">
        <f t="shared" si="85"/>
        <v>0</v>
      </c>
      <c r="AU61" s="160">
        <f t="shared" si="85"/>
        <v>0</v>
      </c>
      <c r="AV61" s="160">
        <f t="shared" si="85"/>
        <v>0</v>
      </c>
      <c r="AW61" s="160">
        <f t="shared" si="85"/>
        <v>0</v>
      </c>
      <c r="AX61" s="160">
        <f t="shared" si="85"/>
        <v>0</v>
      </c>
      <c r="AY61" s="160">
        <f t="shared" si="85"/>
        <v>0</v>
      </c>
      <c r="AZ61" s="160">
        <f t="shared" si="85"/>
        <v>0</v>
      </c>
      <c r="BA61" s="160">
        <f t="shared" si="85"/>
        <v>0</v>
      </c>
      <c r="BB61" s="160">
        <f t="shared" si="85"/>
        <v>0</v>
      </c>
      <c r="BC61" s="160">
        <f t="shared" si="85"/>
        <v>0</v>
      </c>
      <c r="BD61" s="160">
        <f t="shared" si="85"/>
        <v>0</v>
      </c>
      <c r="BE61" s="160">
        <f t="shared" si="85"/>
        <v>0</v>
      </c>
      <c r="BF61" s="160">
        <f t="shared" si="85"/>
        <v>0</v>
      </c>
      <c r="BG61" s="160">
        <f t="shared" si="85"/>
        <v>0</v>
      </c>
      <c r="BH61" s="160">
        <f t="shared" si="85"/>
        <v>0</v>
      </c>
      <c r="BI61" s="160">
        <f t="shared" si="85"/>
        <v>0</v>
      </c>
      <c r="BJ61" s="160">
        <f t="shared" si="85"/>
        <v>0</v>
      </c>
      <c r="BK61" s="160">
        <f t="shared" si="85"/>
        <v>0</v>
      </c>
      <c r="BL61" s="160">
        <f t="shared" si="85"/>
        <v>0</v>
      </c>
      <c r="BM61" s="160">
        <f t="shared" si="85"/>
        <v>0</v>
      </c>
      <c r="BN61" s="160">
        <f t="shared" si="85"/>
        <v>0</v>
      </c>
      <c r="BO61" s="160">
        <f t="shared" si="85"/>
        <v>0</v>
      </c>
      <c r="BP61" s="160">
        <f t="shared" si="85"/>
        <v>0</v>
      </c>
      <c r="BQ61" s="160">
        <f t="shared" si="85"/>
        <v>0</v>
      </c>
      <c r="BR61" s="160">
        <f t="shared" ref="BR61:EC61" si="86">IF(OR(BR51&lt;=$C53,BR51&gt;$C54),0,IF(AND(BR51&lt;=$C55,$C61=1,MOD(MONTH(BR51)-MONTH($C53),6)=0),1,IF(AND(MOD(MONTH(BR51)-MONTH($C53),$C60)=0,BR51&gt;=$C55),1,0)))</f>
        <v>0</v>
      </c>
      <c r="BS61" s="160">
        <f t="shared" si="86"/>
        <v>0</v>
      </c>
      <c r="BT61" s="160">
        <f t="shared" si="86"/>
        <v>0</v>
      </c>
      <c r="BU61" s="160">
        <f t="shared" si="86"/>
        <v>0</v>
      </c>
      <c r="BV61" s="160">
        <f t="shared" si="86"/>
        <v>0</v>
      </c>
      <c r="BW61" s="160">
        <f t="shared" si="86"/>
        <v>0</v>
      </c>
      <c r="BX61" s="160">
        <f t="shared" si="86"/>
        <v>0</v>
      </c>
      <c r="BY61" s="160">
        <f t="shared" si="86"/>
        <v>0</v>
      </c>
      <c r="BZ61" s="160">
        <f t="shared" si="86"/>
        <v>0</v>
      </c>
      <c r="CA61" s="160">
        <f t="shared" si="86"/>
        <v>0</v>
      </c>
      <c r="CB61" s="160">
        <f t="shared" si="86"/>
        <v>0</v>
      </c>
      <c r="CC61" s="160">
        <f t="shared" si="86"/>
        <v>0</v>
      </c>
      <c r="CD61" s="160">
        <f t="shared" si="86"/>
        <v>0</v>
      </c>
      <c r="CE61" s="160">
        <f t="shared" si="86"/>
        <v>0</v>
      </c>
      <c r="CF61" s="160">
        <f t="shared" si="86"/>
        <v>0</v>
      </c>
      <c r="CG61" s="160">
        <f t="shared" si="86"/>
        <v>0</v>
      </c>
      <c r="CH61" s="160">
        <f t="shared" si="86"/>
        <v>0</v>
      </c>
      <c r="CI61" s="160">
        <f t="shared" si="86"/>
        <v>0</v>
      </c>
      <c r="CJ61" s="160">
        <f t="shared" si="86"/>
        <v>0</v>
      </c>
      <c r="CK61" s="160">
        <f t="shared" si="86"/>
        <v>0</v>
      </c>
      <c r="CL61" s="160">
        <f t="shared" si="86"/>
        <v>0</v>
      </c>
      <c r="CM61" s="160">
        <f t="shared" si="86"/>
        <v>0</v>
      </c>
      <c r="CN61" s="160">
        <f t="shared" si="86"/>
        <v>0</v>
      </c>
      <c r="CO61" s="160">
        <f t="shared" si="86"/>
        <v>0</v>
      </c>
      <c r="CP61" s="160">
        <f t="shared" si="86"/>
        <v>0</v>
      </c>
      <c r="CQ61" s="160">
        <f t="shared" si="86"/>
        <v>0</v>
      </c>
      <c r="CR61" s="160">
        <f t="shared" si="86"/>
        <v>0</v>
      </c>
      <c r="CS61" s="160">
        <f t="shared" si="86"/>
        <v>0</v>
      </c>
      <c r="CT61" s="160">
        <f t="shared" si="86"/>
        <v>0</v>
      </c>
      <c r="CU61" s="160">
        <f t="shared" si="86"/>
        <v>0</v>
      </c>
      <c r="CV61" s="160">
        <f t="shared" si="86"/>
        <v>0</v>
      </c>
      <c r="CW61" s="160">
        <f t="shared" si="86"/>
        <v>0</v>
      </c>
      <c r="CX61" s="160">
        <f t="shared" si="86"/>
        <v>0</v>
      </c>
      <c r="CY61" s="160">
        <f t="shared" si="86"/>
        <v>0</v>
      </c>
      <c r="CZ61" s="160">
        <f t="shared" si="86"/>
        <v>0</v>
      </c>
      <c r="DA61" s="160">
        <f t="shared" si="86"/>
        <v>0</v>
      </c>
      <c r="DB61" s="160">
        <f t="shared" si="86"/>
        <v>0</v>
      </c>
      <c r="DC61" s="160">
        <f t="shared" si="86"/>
        <v>0</v>
      </c>
      <c r="DD61" s="160">
        <f t="shared" si="86"/>
        <v>0</v>
      </c>
      <c r="DE61" s="160">
        <f t="shared" si="86"/>
        <v>0</v>
      </c>
      <c r="DF61" s="160">
        <f t="shared" si="86"/>
        <v>0</v>
      </c>
      <c r="DG61" s="160">
        <f t="shared" si="86"/>
        <v>0</v>
      </c>
      <c r="DH61" s="160">
        <f t="shared" si="86"/>
        <v>0</v>
      </c>
      <c r="DI61" s="160">
        <f t="shared" si="86"/>
        <v>0</v>
      </c>
      <c r="DJ61" s="160">
        <f t="shared" si="86"/>
        <v>0</v>
      </c>
      <c r="DK61" s="160">
        <f t="shared" si="86"/>
        <v>0</v>
      </c>
      <c r="DL61" s="160">
        <f t="shared" si="86"/>
        <v>0</v>
      </c>
      <c r="DM61" s="160">
        <f t="shared" si="86"/>
        <v>0</v>
      </c>
      <c r="DN61" s="160">
        <f t="shared" si="86"/>
        <v>0</v>
      </c>
      <c r="DO61" s="160">
        <f t="shared" si="86"/>
        <v>0</v>
      </c>
      <c r="DP61" s="160">
        <f t="shared" si="86"/>
        <v>0</v>
      </c>
      <c r="DQ61" s="160">
        <f t="shared" si="86"/>
        <v>0</v>
      </c>
      <c r="DR61" s="160">
        <f t="shared" si="86"/>
        <v>0</v>
      </c>
      <c r="DS61" s="160">
        <f t="shared" si="86"/>
        <v>0</v>
      </c>
      <c r="DT61" s="160">
        <f t="shared" si="86"/>
        <v>0</v>
      </c>
      <c r="DU61" s="160">
        <f t="shared" si="86"/>
        <v>0</v>
      </c>
      <c r="DV61" s="160">
        <f t="shared" si="86"/>
        <v>0</v>
      </c>
      <c r="DW61" s="160">
        <f t="shared" si="86"/>
        <v>0</v>
      </c>
      <c r="DX61" s="160">
        <f t="shared" si="86"/>
        <v>0</v>
      </c>
      <c r="DY61" s="160">
        <f t="shared" si="86"/>
        <v>0</v>
      </c>
      <c r="DZ61" s="160">
        <f t="shared" si="86"/>
        <v>0</v>
      </c>
      <c r="EA61" s="160">
        <f t="shared" si="86"/>
        <v>0</v>
      </c>
      <c r="EB61" s="160">
        <f t="shared" si="86"/>
        <v>0</v>
      </c>
      <c r="EC61" s="160">
        <f t="shared" si="86"/>
        <v>0</v>
      </c>
      <c r="ED61" s="160">
        <f t="shared" ref="ED61:GO61" si="87">IF(OR(ED51&lt;=$C53,ED51&gt;$C54),0,IF(AND(ED51&lt;=$C55,$C61=1,MOD(MONTH(ED51)-MONTH($C53),6)=0),1,IF(AND(MOD(MONTH(ED51)-MONTH($C53),$C60)=0,ED51&gt;=$C55),1,0)))</f>
        <v>0</v>
      </c>
      <c r="EE61" s="160">
        <f t="shared" si="87"/>
        <v>0</v>
      </c>
      <c r="EF61" s="160">
        <f t="shared" si="87"/>
        <v>0</v>
      </c>
      <c r="EG61" s="160">
        <f t="shared" si="87"/>
        <v>0</v>
      </c>
      <c r="EH61" s="160">
        <f t="shared" si="87"/>
        <v>0</v>
      </c>
      <c r="EI61" s="160">
        <f t="shared" si="87"/>
        <v>0</v>
      </c>
      <c r="EJ61" s="160">
        <f t="shared" si="87"/>
        <v>0</v>
      </c>
      <c r="EK61" s="160">
        <f t="shared" si="87"/>
        <v>0</v>
      </c>
      <c r="EL61" s="160">
        <f t="shared" si="87"/>
        <v>0</v>
      </c>
      <c r="EM61" s="160">
        <f t="shared" si="87"/>
        <v>0</v>
      </c>
      <c r="EN61" s="160">
        <f t="shared" si="87"/>
        <v>0</v>
      </c>
      <c r="EO61" s="160">
        <f t="shared" si="87"/>
        <v>0</v>
      </c>
      <c r="EP61" s="160">
        <f t="shared" si="87"/>
        <v>0</v>
      </c>
      <c r="EQ61" s="160">
        <f t="shared" si="87"/>
        <v>0</v>
      </c>
      <c r="ER61" s="160">
        <f t="shared" si="87"/>
        <v>0</v>
      </c>
      <c r="ES61" s="160">
        <f t="shared" si="87"/>
        <v>0</v>
      </c>
      <c r="ET61" s="160">
        <f t="shared" si="87"/>
        <v>0</v>
      </c>
      <c r="EU61" s="160">
        <f t="shared" si="87"/>
        <v>0</v>
      </c>
      <c r="EV61" s="160">
        <f t="shared" si="87"/>
        <v>0</v>
      </c>
      <c r="EW61" s="160">
        <f t="shared" si="87"/>
        <v>0</v>
      </c>
      <c r="EX61" s="160">
        <f t="shared" si="87"/>
        <v>0</v>
      </c>
      <c r="EY61" s="160">
        <f t="shared" si="87"/>
        <v>0</v>
      </c>
      <c r="EZ61" s="160">
        <f t="shared" si="87"/>
        <v>0</v>
      </c>
      <c r="FA61" s="160">
        <f t="shared" si="87"/>
        <v>0</v>
      </c>
      <c r="FB61" s="160">
        <f t="shared" si="87"/>
        <v>0</v>
      </c>
      <c r="FC61" s="160">
        <f t="shared" si="87"/>
        <v>0</v>
      </c>
      <c r="FD61" s="160">
        <f t="shared" si="87"/>
        <v>0</v>
      </c>
      <c r="FE61" s="160">
        <f t="shared" si="87"/>
        <v>0</v>
      </c>
      <c r="FF61" s="160">
        <f t="shared" si="87"/>
        <v>0</v>
      </c>
      <c r="FG61" s="160">
        <f t="shared" si="87"/>
        <v>0</v>
      </c>
      <c r="FH61" s="160">
        <f t="shared" si="87"/>
        <v>0</v>
      </c>
      <c r="FI61" s="160">
        <f t="shared" si="87"/>
        <v>0</v>
      </c>
      <c r="FJ61" s="160">
        <f t="shared" si="87"/>
        <v>0</v>
      </c>
      <c r="FK61" s="160">
        <f t="shared" si="87"/>
        <v>0</v>
      </c>
      <c r="FL61" s="160">
        <f t="shared" si="87"/>
        <v>0</v>
      </c>
      <c r="FM61" s="160">
        <f t="shared" si="87"/>
        <v>0</v>
      </c>
      <c r="FN61" s="160">
        <f t="shared" si="87"/>
        <v>0</v>
      </c>
      <c r="FO61" s="160">
        <f t="shared" si="87"/>
        <v>0</v>
      </c>
      <c r="FP61" s="160">
        <f t="shared" si="87"/>
        <v>0</v>
      </c>
      <c r="FQ61" s="160">
        <f t="shared" si="87"/>
        <v>0</v>
      </c>
      <c r="FR61" s="160">
        <f t="shared" si="87"/>
        <v>0</v>
      </c>
      <c r="FS61" s="160">
        <f t="shared" si="87"/>
        <v>0</v>
      </c>
      <c r="FT61" s="160">
        <f t="shared" si="87"/>
        <v>0</v>
      </c>
      <c r="FU61" s="160">
        <f t="shared" si="87"/>
        <v>0</v>
      </c>
      <c r="FV61" s="160">
        <f t="shared" si="87"/>
        <v>0</v>
      </c>
      <c r="FW61" s="160">
        <f t="shared" si="87"/>
        <v>0</v>
      </c>
      <c r="FX61" s="160">
        <f t="shared" si="87"/>
        <v>0</v>
      </c>
      <c r="FY61" s="160">
        <f t="shared" si="87"/>
        <v>0</v>
      </c>
      <c r="FZ61" s="160">
        <f t="shared" si="87"/>
        <v>0</v>
      </c>
      <c r="GA61" s="160">
        <f t="shared" si="87"/>
        <v>0</v>
      </c>
      <c r="GB61" s="160">
        <f t="shared" si="87"/>
        <v>0</v>
      </c>
      <c r="GC61" s="160">
        <f t="shared" si="87"/>
        <v>0</v>
      </c>
      <c r="GD61" s="160">
        <f t="shared" si="87"/>
        <v>0</v>
      </c>
      <c r="GE61" s="160">
        <f t="shared" si="87"/>
        <v>0</v>
      </c>
      <c r="GF61" s="160">
        <f t="shared" si="87"/>
        <v>0</v>
      </c>
      <c r="GG61" s="160">
        <f t="shared" si="87"/>
        <v>0</v>
      </c>
      <c r="GH61" s="160">
        <f t="shared" si="87"/>
        <v>0</v>
      </c>
      <c r="GI61" s="160">
        <f t="shared" si="87"/>
        <v>0</v>
      </c>
      <c r="GJ61" s="160">
        <f t="shared" si="87"/>
        <v>0</v>
      </c>
      <c r="GK61" s="160">
        <f t="shared" si="87"/>
        <v>0</v>
      </c>
      <c r="GL61" s="160">
        <f t="shared" si="87"/>
        <v>0</v>
      </c>
      <c r="GM61" s="160">
        <f t="shared" si="87"/>
        <v>0</v>
      </c>
      <c r="GN61" s="160">
        <f t="shared" si="87"/>
        <v>0</v>
      </c>
      <c r="GO61" s="160">
        <f t="shared" si="87"/>
        <v>0</v>
      </c>
      <c r="GP61" s="160">
        <f t="shared" ref="GP61:GQ61" si="88">IF(OR(GP51&lt;=$C53,GP51&gt;$C54),0,IF(AND(GP51&lt;=$C55,$C61=1,MOD(MONTH(GP51)-MONTH($C53),6)=0),1,IF(AND(MOD(MONTH(GP51)-MONTH($C53),$C60)=0,GP51&gt;=$C55),1,0)))</f>
        <v>0</v>
      </c>
      <c r="GQ61" s="160">
        <f t="shared" si="88"/>
        <v>0</v>
      </c>
    </row>
    <row r="62" spans="2:199" hidden="1" outlineLevel="1">
      <c r="B62" s="182" t="s">
        <v>412</v>
      </c>
      <c r="C62" s="131">
        <v>0</v>
      </c>
      <c r="D62" s="182" t="s">
        <v>405</v>
      </c>
      <c r="E62" s="160">
        <f>IF(E56&lt;&gt;"",1,0)</f>
        <v>0</v>
      </c>
      <c r="F62" s="160">
        <f t="shared" ref="F62:BQ62" si="89">IF(F56&lt;&gt;"",1,0)</f>
        <v>0</v>
      </c>
      <c r="G62" s="160">
        <f t="shared" si="89"/>
        <v>0</v>
      </c>
      <c r="H62" s="160">
        <f t="shared" si="89"/>
        <v>0</v>
      </c>
      <c r="I62" s="160">
        <f t="shared" si="89"/>
        <v>0</v>
      </c>
      <c r="J62" s="160">
        <f t="shared" si="89"/>
        <v>0</v>
      </c>
      <c r="K62" s="160">
        <f t="shared" si="89"/>
        <v>0</v>
      </c>
      <c r="L62" s="160">
        <f t="shared" si="89"/>
        <v>0</v>
      </c>
      <c r="M62" s="160">
        <f t="shared" si="89"/>
        <v>0</v>
      </c>
      <c r="N62" s="160">
        <f t="shared" si="89"/>
        <v>0</v>
      </c>
      <c r="O62" s="160">
        <f t="shared" si="89"/>
        <v>0</v>
      </c>
      <c r="P62" s="160">
        <f t="shared" si="89"/>
        <v>0</v>
      </c>
      <c r="Q62" s="160">
        <f t="shared" si="89"/>
        <v>0</v>
      </c>
      <c r="R62" s="160">
        <f t="shared" si="89"/>
        <v>0</v>
      </c>
      <c r="S62" s="160">
        <f t="shared" si="89"/>
        <v>0</v>
      </c>
      <c r="T62" s="160">
        <f t="shared" si="89"/>
        <v>0</v>
      </c>
      <c r="U62" s="160">
        <f t="shared" si="89"/>
        <v>1</v>
      </c>
      <c r="V62" s="160">
        <f t="shared" si="89"/>
        <v>0</v>
      </c>
      <c r="W62" s="160">
        <f t="shared" si="89"/>
        <v>0</v>
      </c>
      <c r="X62" s="160">
        <f t="shared" si="89"/>
        <v>0</v>
      </c>
      <c r="Y62" s="160">
        <f t="shared" si="89"/>
        <v>0</v>
      </c>
      <c r="Z62" s="160">
        <f t="shared" si="89"/>
        <v>0</v>
      </c>
      <c r="AA62" s="160">
        <f t="shared" si="89"/>
        <v>0</v>
      </c>
      <c r="AB62" s="160">
        <f t="shared" si="89"/>
        <v>0</v>
      </c>
      <c r="AC62" s="160">
        <f t="shared" si="89"/>
        <v>0</v>
      </c>
      <c r="AD62" s="160">
        <f t="shared" si="89"/>
        <v>0</v>
      </c>
      <c r="AE62" s="160">
        <f t="shared" si="89"/>
        <v>0</v>
      </c>
      <c r="AF62" s="160">
        <f t="shared" si="89"/>
        <v>0</v>
      </c>
      <c r="AG62" s="160">
        <f t="shared" si="89"/>
        <v>0</v>
      </c>
      <c r="AH62" s="160">
        <f t="shared" si="89"/>
        <v>0</v>
      </c>
      <c r="AI62" s="160">
        <f t="shared" si="89"/>
        <v>0</v>
      </c>
      <c r="AJ62" s="160">
        <f t="shared" si="89"/>
        <v>0</v>
      </c>
      <c r="AK62" s="160">
        <f t="shared" si="89"/>
        <v>0</v>
      </c>
      <c r="AL62" s="160">
        <f t="shared" si="89"/>
        <v>0</v>
      </c>
      <c r="AM62" s="160">
        <f t="shared" si="89"/>
        <v>0</v>
      </c>
      <c r="AN62" s="160">
        <f t="shared" si="89"/>
        <v>0</v>
      </c>
      <c r="AO62" s="160">
        <f t="shared" si="89"/>
        <v>0</v>
      </c>
      <c r="AP62" s="160">
        <f t="shared" si="89"/>
        <v>0</v>
      </c>
      <c r="AQ62" s="160">
        <f t="shared" si="89"/>
        <v>0</v>
      </c>
      <c r="AR62" s="160">
        <f t="shared" si="89"/>
        <v>0</v>
      </c>
      <c r="AS62" s="160">
        <f t="shared" si="89"/>
        <v>0</v>
      </c>
      <c r="AT62" s="160">
        <f t="shared" si="89"/>
        <v>0</v>
      </c>
      <c r="AU62" s="160">
        <f t="shared" si="89"/>
        <v>0</v>
      </c>
      <c r="AV62" s="160">
        <f t="shared" si="89"/>
        <v>0</v>
      </c>
      <c r="AW62" s="160">
        <f t="shared" si="89"/>
        <v>0</v>
      </c>
      <c r="AX62" s="160">
        <f t="shared" si="89"/>
        <v>0</v>
      </c>
      <c r="AY62" s="160">
        <f t="shared" si="89"/>
        <v>0</v>
      </c>
      <c r="AZ62" s="160">
        <f t="shared" si="89"/>
        <v>0</v>
      </c>
      <c r="BA62" s="160">
        <f t="shared" si="89"/>
        <v>0</v>
      </c>
      <c r="BB62" s="160">
        <f t="shared" si="89"/>
        <v>0</v>
      </c>
      <c r="BC62" s="160">
        <f t="shared" si="89"/>
        <v>0</v>
      </c>
      <c r="BD62" s="160">
        <f t="shared" si="89"/>
        <v>0</v>
      </c>
      <c r="BE62" s="160">
        <f t="shared" si="89"/>
        <v>0</v>
      </c>
      <c r="BF62" s="160">
        <f t="shared" si="89"/>
        <v>0</v>
      </c>
      <c r="BG62" s="160">
        <f t="shared" si="89"/>
        <v>0</v>
      </c>
      <c r="BH62" s="160">
        <f t="shared" si="89"/>
        <v>0</v>
      </c>
      <c r="BI62" s="160">
        <f t="shared" si="89"/>
        <v>0</v>
      </c>
      <c r="BJ62" s="160">
        <f t="shared" si="89"/>
        <v>0</v>
      </c>
      <c r="BK62" s="160">
        <f t="shared" si="89"/>
        <v>0</v>
      </c>
      <c r="BL62" s="160">
        <f t="shared" si="89"/>
        <v>0</v>
      </c>
      <c r="BM62" s="160">
        <f t="shared" si="89"/>
        <v>0</v>
      </c>
      <c r="BN62" s="160">
        <f t="shared" si="89"/>
        <v>0</v>
      </c>
      <c r="BO62" s="160">
        <f t="shared" si="89"/>
        <v>0</v>
      </c>
      <c r="BP62" s="160">
        <f t="shared" si="89"/>
        <v>0</v>
      </c>
      <c r="BQ62" s="160">
        <f t="shared" si="89"/>
        <v>0</v>
      </c>
      <c r="BR62" s="160">
        <f t="shared" ref="BR62:EC62" si="90">IF(BR56&lt;&gt;"",1,0)</f>
        <v>0</v>
      </c>
      <c r="BS62" s="160">
        <f t="shared" si="90"/>
        <v>0</v>
      </c>
      <c r="BT62" s="160">
        <f t="shared" si="90"/>
        <v>0</v>
      </c>
      <c r="BU62" s="160">
        <f t="shared" si="90"/>
        <v>0</v>
      </c>
      <c r="BV62" s="160">
        <f t="shared" si="90"/>
        <v>0</v>
      </c>
      <c r="BW62" s="160">
        <f t="shared" si="90"/>
        <v>0</v>
      </c>
      <c r="BX62" s="160">
        <f t="shared" si="90"/>
        <v>0</v>
      </c>
      <c r="BY62" s="160">
        <f t="shared" si="90"/>
        <v>0</v>
      </c>
      <c r="BZ62" s="160">
        <f t="shared" si="90"/>
        <v>0</v>
      </c>
      <c r="CA62" s="160">
        <f t="shared" si="90"/>
        <v>0</v>
      </c>
      <c r="CB62" s="160">
        <f t="shared" si="90"/>
        <v>0</v>
      </c>
      <c r="CC62" s="160">
        <f t="shared" si="90"/>
        <v>0</v>
      </c>
      <c r="CD62" s="160">
        <f t="shared" si="90"/>
        <v>0</v>
      </c>
      <c r="CE62" s="160">
        <f t="shared" si="90"/>
        <v>0</v>
      </c>
      <c r="CF62" s="160">
        <f t="shared" si="90"/>
        <v>0</v>
      </c>
      <c r="CG62" s="160">
        <f t="shared" si="90"/>
        <v>0</v>
      </c>
      <c r="CH62" s="160">
        <f t="shared" si="90"/>
        <v>0</v>
      </c>
      <c r="CI62" s="160">
        <f t="shared" si="90"/>
        <v>0</v>
      </c>
      <c r="CJ62" s="160">
        <f t="shared" si="90"/>
        <v>0</v>
      </c>
      <c r="CK62" s="160">
        <f t="shared" si="90"/>
        <v>0</v>
      </c>
      <c r="CL62" s="160">
        <f t="shared" si="90"/>
        <v>0</v>
      </c>
      <c r="CM62" s="160">
        <f t="shared" si="90"/>
        <v>0</v>
      </c>
      <c r="CN62" s="160">
        <f t="shared" si="90"/>
        <v>0</v>
      </c>
      <c r="CO62" s="160">
        <f t="shared" si="90"/>
        <v>0</v>
      </c>
      <c r="CP62" s="160">
        <f t="shared" si="90"/>
        <v>0</v>
      </c>
      <c r="CQ62" s="160">
        <f t="shared" si="90"/>
        <v>0</v>
      </c>
      <c r="CR62" s="160">
        <f t="shared" si="90"/>
        <v>0</v>
      </c>
      <c r="CS62" s="160">
        <f t="shared" si="90"/>
        <v>0</v>
      </c>
      <c r="CT62" s="160">
        <f t="shared" si="90"/>
        <v>0</v>
      </c>
      <c r="CU62" s="160">
        <f t="shared" si="90"/>
        <v>0</v>
      </c>
      <c r="CV62" s="160">
        <f t="shared" si="90"/>
        <v>0</v>
      </c>
      <c r="CW62" s="160">
        <f t="shared" si="90"/>
        <v>0</v>
      </c>
      <c r="CX62" s="160">
        <f t="shared" si="90"/>
        <v>0</v>
      </c>
      <c r="CY62" s="160">
        <f t="shared" si="90"/>
        <v>0</v>
      </c>
      <c r="CZ62" s="160">
        <f t="shared" si="90"/>
        <v>0</v>
      </c>
      <c r="DA62" s="160">
        <f t="shared" si="90"/>
        <v>0</v>
      </c>
      <c r="DB62" s="160">
        <f t="shared" si="90"/>
        <v>0</v>
      </c>
      <c r="DC62" s="160">
        <f t="shared" si="90"/>
        <v>0</v>
      </c>
      <c r="DD62" s="160">
        <f t="shared" si="90"/>
        <v>0</v>
      </c>
      <c r="DE62" s="160">
        <f t="shared" si="90"/>
        <v>0</v>
      </c>
      <c r="DF62" s="160">
        <f t="shared" si="90"/>
        <v>0</v>
      </c>
      <c r="DG62" s="160">
        <f t="shared" si="90"/>
        <v>0</v>
      </c>
      <c r="DH62" s="160">
        <f t="shared" si="90"/>
        <v>0</v>
      </c>
      <c r="DI62" s="160">
        <f t="shared" si="90"/>
        <v>0</v>
      </c>
      <c r="DJ62" s="160">
        <f t="shared" si="90"/>
        <v>0</v>
      </c>
      <c r="DK62" s="160">
        <f t="shared" si="90"/>
        <v>0</v>
      </c>
      <c r="DL62" s="160">
        <f t="shared" si="90"/>
        <v>0</v>
      </c>
      <c r="DM62" s="160">
        <f t="shared" si="90"/>
        <v>0</v>
      </c>
      <c r="DN62" s="160">
        <f t="shared" si="90"/>
        <v>0</v>
      </c>
      <c r="DO62" s="160">
        <f t="shared" si="90"/>
        <v>0</v>
      </c>
      <c r="DP62" s="160">
        <f t="shared" si="90"/>
        <v>0</v>
      </c>
      <c r="DQ62" s="160">
        <f t="shared" si="90"/>
        <v>0</v>
      </c>
      <c r="DR62" s="160">
        <f t="shared" si="90"/>
        <v>0</v>
      </c>
      <c r="DS62" s="160">
        <f t="shared" si="90"/>
        <v>0</v>
      </c>
      <c r="DT62" s="160">
        <f t="shared" si="90"/>
        <v>0</v>
      </c>
      <c r="DU62" s="160">
        <f t="shared" si="90"/>
        <v>0</v>
      </c>
      <c r="DV62" s="160">
        <f t="shared" si="90"/>
        <v>0</v>
      </c>
      <c r="DW62" s="160">
        <f t="shared" si="90"/>
        <v>0</v>
      </c>
      <c r="DX62" s="160">
        <f t="shared" si="90"/>
        <v>0</v>
      </c>
      <c r="DY62" s="160">
        <f t="shared" si="90"/>
        <v>0</v>
      </c>
      <c r="DZ62" s="160">
        <f t="shared" si="90"/>
        <v>0</v>
      </c>
      <c r="EA62" s="160">
        <f t="shared" si="90"/>
        <v>0</v>
      </c>
      <c r="EB62" s="160">
        <f t="shared" si="90"/>
        <v>0</v>
      </c>
      <c r="EC62" s="160">
        <f t="shared" si="90"/>
        <v>0</v>
      </c>
      <c r="ED62" s="160">
        <f t="shared" ref="ED62:GO62" si="91">IF(ED56&lt;&gt;"",1,0)</f>
        <v>0</v>
      </c>
      <c r="EE62" s="160">
        <f t="shared" si="91"/>
        <v>0</v>
      </c>
      <c r="EF62" s="160">
        <f t="shared" si="91"/>
        <v>0</v>
      </c>
      <c r="EG62" s="160">
        <f t="shared" si="91"/>
        <v>0</v>
      </c>
      <c r="EH62" s="160">
        <f t="shared" si="91"/>
        <v>0</v>
      </c>
      <c r="EI62" s="160">
        <f t="shared" si="91"/>
        <v>0</v>
      </c>
      <c r="EJ62" s="160">
        <f t="shared" si="91"/>
        <v>0</v>
      </c>
      <c r="EK62" s="160">
        <f t="shared" si="91"/>
        <v>0</v>
      </c>
      <c r="EL62" s="160">
        <f t="shared" si="91"/>
        <v>0</v>
      </c>
      <c r="EM62" s="160">
        <f t="shared" si="91"/>
        <v>0</v>
      </c>
      <c r="EN62" s="160">
        <f t="shared" si="91"/>
        <v>0</v>
      </c>
      <c r="EO62" s="160">
        <f t="shared" si="91"/>
        <v>0</v>
      </c>
      <c r="EP62" s="160">
        <f t="shared" si="91"/>
        <v>0</v>
      </c>
      <c r="EQ62" s="160">
        <f t="shared" si="91"/>
        <v>0</v>
      </c>
      <c r="ER62" s="160">
        <f t="shared" si="91"/>
        <v>0</v>
      </c>
      <c r="ES62" s="160">
        <f t="shared" si="91"/>
        <v>0</v>
      </c>
      <c r="ET62" s="160">
        <f t="shared" si="91"/>
        <v>0</v>
      </c>
      <c r="EU62" s="160">
        <f t="shared" si="91"/>
        <v>0</v>
      </c>
      <c r="EV62" s="160">
        <f t="shared" si="91"/>
        <v>0</v>
      </c>
      <c r="EW62" s="160">
        <f t="shared" si="91"/>
        <v>0</v>
      </c>
      <c r="EX62" s="160">
        <f t="shared" si="91"/>
        <v>0</v>
      </c>
      <c r="EY62" s="160">
        <f t="shared" si="91"/>
        <v>0</v>
      </c>
      <c r="EZ62" s="160">
        <f t="shared" si="91"/>
        <v>0</v>
      </c>
      <c r="FA62" s="160">
        <f t="shared" si="91"/>
        <v>0</v>
      </c>
      <c r="FB62" s="160">
        <f t="shared" si="91"/>
        <v>0</v>
      </c>
      <c r="FC62" s="160">
        <f t="shared" si="91"/>
        <v>0</v>
      </c>
      <c r="FD62" s="160">
        <f t="shared" si="91"/>
        <v>0</v>
      </c>
      <c r="FE62" s="160">
        <f t="shared" si="91"/>
        <v>0</v>
      </c>
      <c r="FF62" s="160">
        <f t="shared" si="91"/>
        <v>0</v>
      </c>
      <c r="FG62" s="160">
        <f t="shared" si="91"/>
        <v>0</v>
      </c>
      <c r="FH62" s="160">
        <f t="shared" si="91"/>
        <v>0</v>
      </c>
      <c r="FI62" s="160">
        <f t="shared" si="91"/>
        <v>0</v>
      </c>
      <c r="FJ62" s="160">
        <f t="shared" si="91"/>
        <v>0</v>
      </c>
      <c r="FK62" s="160">
        <f t="shared" si="91"/>
        <v>0</v>
      </c>
      <c r="FL62" s="160">
        <f t="shared" si="91"/>
        <v>0</v>
      </c>
      <c r="FM62" s="160">
        <f t="shared" si="91"/>
        <v>0</v>
      </c>
      <c r="FN62" s="160">
        <f t="shared" si="91"/>
        <v>0</v>
      </c>
      <c r="FO62" s="160">
        <f t="shared" si="91"/>
        <v>0</v>
      </c>
      <c r="FP62" s="160">
        <f t="shared" si="91"/>
        <v>0</v>
      </c>
      <c r="FQ62" s="160">
        <f t="shared" si="91"/>
        <v>0</v>
      </c>
      <c r="FR62" s="160">
        <f t="shared" si="91"/>
        <v>0</v>
      </c>
      <c r="FS62" s="160">
        <f t="shared" si="91"/>
        <v>0</v>
      </c>
      <c r="FT62" s="160">
        <f t="shared" si="91"/>
        <v>0</v>
      </c>
      <c r="FU62" s="160">
        <f t="shared" si="91"/>
        <v>0</v>
      </c>
      <c r="FV62" s="160">
        <f t="shared" si="91"/>
        <v>0</v>
      </c>
      <c r="FW62" s="160">
        <f t="shared" si="91"/>
        <v>0</v>
      </c>
      <c r="FX62" s="160">
        <f t="shared" si="91"/>
        <v>0</v>
      </c>
      <c r="FY62" s="160">
        <f t="shared" si="91"/>
        <v>0</v>
      </c>
      <c r="FZ62" s="160">
        <f t="shared" si="91"/>
        <v>0</v>
      </c>
      <c r="GA62" s="160">
        <f t="shared" si="91"/>
        <v>0</v>
      </c>
      <c r="GB62" s="160">
        <f t="shared" si="91"/>
        <v>0</v>
      </c>
      <c r="GC62" s="160">
        <f t="shared" si="91"/>
        <v>0</v>
      </c>
      <c r="GD62" s="160">
        <f t="shared" si="91"/>
        <v>0</v>
      </c>
      <c r="GE62" s="160">
        <f t="shared" si="91"/>
        <v>0</v>
      </c>
      <c r="GF62" s="160">
        <f t="shared" si="91"/>
        <v>0</v>
      </c>
      <c r="GG62" s="160">
        <f t="shared" si="91"/>
        <v>0</v>
      </c>
      <c r="GH62" s="160">
        <f t="shared" si="91"/>
        <v>0</v>
      </c>
      <c r="GI62" s="160">
        <f t="shared" si="91"/>
        <v>0</v>
      </c>
      <c r="GJ62" s="160">
        <f t="shared" si="91"/>
        <v>0</v>
      </c>
      <c r="GK62" s="160">
        <f t="shared" si="91"/>
        <v>0</v>
      </c>
      <c r="GL62" s="160">
        <f t="shared" si="91"/>
        <v>0</v>
      </c>
      <c r="GM62" s="160">
        <f t="shared" si="91"/>
        <v>0</v>
      </c>
      <c r="GN62" s="160">
        <f t="shared" si="91"/>
        <v>0</v>
      </c>
      <c r="GO62" s="160">
        <f t="shared" si="91"/>
        <v>0</v>
      </c>
      <c r="GP62" s="160">
        <f t="shared" ref="GP62:GQ62" si="92">IF(GP56&lt;&gt;"",1,0)</f>
        <v>0</v>
      </c>
      <c r="GQ62" s="160">
        <f t="shared" si="92"/>
        <v>0</v>
      </c>
    </row>
    <row r="63" spans="2:199" hidden="1" outlineLevel="1">
      <c r="B63" s="182" t="s">
        <v>406</v>
      </c>
      <c r="C63" s="207">
        <v>1</v>
      </c>
      <c r="D63" s="159"/>
      <c r="E63" s="159">
        <f>MAX(C63-E62,0)</f>
        <v>1</v>
      </c>
      <c r="F63" s="159">
        <f>MAX(E63-F62,0)</f>
        <v>1</v>
      </c>
      <c r="G63" s="159">
        <f t="shared" ref="G63:BR63" si="93">MAX(F63-G62,0)</f>
        <v>1</v>
      </c>
      <c r="H63" s="159">
        <f t="shared" si="93"/>
        <v>1</v>
      </c>
      <c r="I63" s="159">
        <f t="shared" si="93"/>
        <v>1</v>
      </c>
      <c r="J63" s="159">
        <f t="shared" si="93"/>
        <v>1</v>
      </c>
      <c r="K63" s="159">
        <f t="shared" si="93"/>
        <v>1</v>
      </c>
      <c r="L63" s="159">
        <f t="shared" si="93"/>
        <v>1</v>
      </c>
      <c r="M63" s="159">
        <f t="shared" si="93"/>
        <v>1</v>
      </c>
      <c r="N63" s="159">
        <f t="shared" si="93"/>
        <v>1</v>
      </c>
      <c r="O63" s="159">
        <f t="shared" si="93"/>
        <v>1</v>
      </c>
      <c r="P63" s="159">
        <f t="shared" si="93"/>
        <v>1</v>
      </c>
      <c r="Q63" s="159">
        <f t="shared" si="93"/>
        <v>1</v>
      </c>
      <c r="R63" s="159">
        <f t="shared" si="93"/>
        <v>1</v>
      </c>
      <c r="S63" s="159">
        <f t="shared" si="93"/>
        <v>1</v>
      </c>
      <c r="T63" s="159">
        <f t="shared" si="93"/>
        <v>1</v>
      </c>
      <c r="U63" s="159">
        <f t="shared" si="93"/>
        <v>0</v>
      </c>
      <c r="V63" s="159">
        <f t="shared" si="93"/>
        <v>0</v>
      </c>
      <c r="W63" s="159">
        <f t="shared" si="93"/>
        <v>0</v>
      </c>
      <c r="X63" s="159">
        <f t="shared" si="93"/>
        <v>0</v>
      </c>
      <c r="Y63" s="159">
        <f t="shared" si="93"/>
        <v>0</v>
      </c>
      <c r="Z63" s="159">
        <f t="shared" si="93"/>
        <v>0</v>
      </c>
      <c r="AA63" s="159">
        <f t="shared" si="93"/>
        <v>0</v>
      </c>
      <c r="AB63" s="159">
        <f t="shared" si="93"/>
        <v>0</v>
      </c>
      <c r="AC63" s="159">
        <f t="shared" si="93"/>
        <v>0</v>
      </c>
      <c r="AD63" s="159">
        <f t="shared" si="93"/>
        <v>0</v>
      </c>
      <c r="AE63" s="159">
        <f t="shared" si="93"/>
        <v>0</v>
      </c>
      <c r="AF63" s="159">
        <f t="shared" si="93"/>
        <v>0</v>
      </c>
      <c r="AG63" s="159">
        <f t="shared" si="93"/>
        <v>0</v>
      </c>
      <c r="AH63" s="159">
        <f t="shared" si="93"/>
        <v>0</v>
      </c>
      <c r="AI63" s="159">
        <f t="shared" si="93"/>
        <v>0</v>
      </c>
      <c r="AJ63" s="159">
        <f t="shared" si="93"/>
        <v>0</v>
      </c>
      <c r="AK63" s="159">
        <f t="shared" si="93"/>
        <v>0</v>
      </c>
      <c r="AL63" s="159">
        <f t="shared" si="93"/>
        <v>0</v>
      </c>
      <c r="AM63" s="159">
        <f t="shared" si="93"/>
        <v>0</v>
      </c>
      <c r="AN63" s="159">
        <f t="shared" si="93"/>
        <v>0</v>
      </c>
      <c r="AO63" s="159">
        <f t="shared" si="93"/>
        <v>0</v>
      </c>
      <c r="AP63" s="159">
        <f t="shared" si="93"/>
        <v>0</v>
      </c>
      <c r="AQ63" s="159">
        <f t="shared" si="93"/>
        <v>0</v>
      </c>
      <c r="AR63" s="159">
        <f t="shared" si="93"/>
        <v>0</v>
      </c>
      <c r="AS63" s="159">
        <f t="shared" si="93"/>
        <v>0</v>
      </c>
      <c r="AT63" s="159">
        <f t="shared" si="93"/>
        <v>0</v>
      </c>
      <c r="AU63" s="159">
        <f t="shared" si="93"/>
        <v>0</v>
      </c>
      <c r="AV63" s="159">
        <f t="shared" si="93"/>
        <v>0</v>
      </c>
      <c r="AW63" s="159">
        <f t="shared" si="93"/>
        <v>0</v>
      </c>
      <c r="AX63" s="159">
        <f t="shared" si="93"/>
        <v>0</v>
      </c>
      <c r="AY63" s="159">
        <f t="shared" si="93"/>
        <v>0</v>
      </c>
      <c r="AZ63" s="159">
        <f t="shared" si="93"/>
        <v>0</v>
      </c>
      <c r="BA63" s="159">
        <f t="shared" si="93"/>
        <v>0</v>
      </c>
      <c r="BB63" s="159">
        <f t="shared" si="93"/>
        <v>0</v>
      </c>
      <c r="BC63" s="159">
        <f t="shared" si="93"/>
        <v>0</v>
      </c>
      <c r="BD63" s="159">
        <f t="shared" si="93"/>
        <v>0</v>
      </c>
      <c r="BE63" s="159">
        <f t="shared" si="93"/>
        <v>0</v>
      </c>
      <c r="BF63" s="159">
        <f t="shared" si="93"/>
        <v>0</v>
      </c>
      <c r="BG63" s="159">
        <f t="shared" si="93"/>
        <v>0</v>
      </c>
      <c r="BH63" s="159">
        <f t="shared" si="93"/>
        <v>0</v>
      </c>
      <c r="BI63" s="159">
        <f t="shared" si="93"/>
        <v>0</v>
      </c>
      <c r="BJ63" s="159">
        <f t="shared" si="93"/>
        <v>0</v>
      </c>
      <c r="BK63" s="159">
        <f t="shared" si="93"/>
        <v>0</v>
      </c>
      <c r="BL63" s="159">
        <f t="shared" si="93"/>
        <v>0</v>
      </c>
      <c r="BM63" s="159">
        <f t="shared" si="93"/>
        <v>0</v>
      </c>
      <c r="BN63" s="159">
        <f t="shared" si="93"/>
        <v>0</v>
      </c>
      <c r="BO63" s="159">
        <f t="shared" si="93"/>
        <v>0</v>
      </c>
      <c r="BP63" s="159">
        <f t="shared" si="93"/>
        <v>0</v>
      </c>
      <c r="BQ63" s="159">
        <f t="shared" si="93"/>
        <v>0</v>
      </c>
      <c r="BR63" s="159">
        <f t="shared" si="93"/>
        <v>0</v>
      </c>
      <c r="BS63" s="159">
        <f t="shared" ref="BS63:ED63" si="94">MAX(BR63-BS62,0)</f>
        <v>0</v>
      </c>
      <c r="BT63" s="159">
        <f t="shared" si="94"/>
        <v>0</v>
      </c>
      <c r="BU63" s="159">
        <f t="shared" si="94"/>
        <v>0</v>
      </c>
      <c r="BV63" s="159">
        <f t="shared" si="94"/>
        <v>0</v>
      </c>
      <c r="BW63" s="159">
        <f t="shared" si="94"/>
        <v>0</v>
      </c>
      <c r="BX63" s="159">
        <f t="shared" si="94"/>
        <v>0</v>
      </c>
      <c r="BY63" s="159">
        <f t="shared" si="94"/>
        <v>0</v>
      </c>
      <c r="BZ63" s="159">
        <f t="shared" si="94"/>
        <v>0</v>
      </c>
      <c r="CA63" s="159">
        <f t="shared" si="94"/>
        <v>0</v>
      </c>
      <c r="CB63" s="159">
        <f t="shared" si="94"/>
        <v>0</v>
      </c>
      <c r="CC63" s="159">
        <f t="shared" si="94"/>
        <v>0</v>
      </c>
      <c r="CD63" s="159">
        <f t="shared" si="94"/>
        <v>0</v>
      </c>
      <c r="CE63" s="159">
        <f t="shared" si="94"/>
        <v>0</v>
      </c>
      <c r="CF63" s="159">
        <f t="shared" si="94"/>
        <v>0</v>
      </c>
      <c r="CG63" s="159">
        <f t="shared" si="94"/>
        <v>0</v>
      </c>
      <c r="CH63" s="159">
        <f t="shared" si="94"/>
        <v>0</v>
      </c>
      <c r="CI63" s="159">
        <f t="shared" si="94"/>
        <v>0</v>
      </c>
      <c r="CJ63" s="159">
        <f t="shared" si="94"/>
        <v>0</v>
      </c>
      <c r="CK63" s="159">
        <f t="shared" si="94"/>
        <v>0</v>
      </c>
      <c r="CL63" s="159">
        <f t="shared" si="94"/>
        <v>0</v>
      </c>
      <c r="CM63" s="159">
        <f t="shared" si="94"/>
        <v>0</v>
      </c>
      <c r="CN63" s="159">
        <f t="shared" si="94"/>
        <v>0</v>
      </c>
      <c r="CO63" s="159">
        <f t="shared" si="94"/>
        <v>0</v>
      </c>
      <c r="CP63" s="159">
        <f t="shared" si="94"/>
        <v>0</v>
      </c>
      <c r="CQ63" s="159">
        <f t="shared" si="94"/>
        <v>0</v>
      </c>
      <c r="CR63" s="159">
        <f t="shared" si="94"/>
        <v>0</v>
      </c>
      <c r="CS63" s="159">
        <f t="shared" si="94"/>
        <v>0</v>
      </c>
      <c r="CT63" s="159">
        <f t="shared" si="94"/>
        <v>0</v>
      </c>
      <c r="CU63" s="159">
        <f t="shared" si="94"/>
        <v>0</v>
      </c>
      <c r="CV63" s="159">
        <f t="shared" si="94"/>
        <v>0</v>
      </c>
      <c r="CW63" s="159">
        <f t="shared" si="94"/>
        <v>0</v>
      </c>
      <c r="CX63" s="159">
        <f t="shared" si="94"/>
        <v>0</v>
      </c>
      <c r="CY63" s="159">
        <f t="shared" si="94"/>
        <v>0</v>
      </c>
      <c r="CZ63" s="159">
        <f t="shared" si="94"/>
        <v>0</v>
      </c>
      <c r="DA63" s="159">
        <f t="shared" si="94"/>
        <v>0</v>
      </c>
      <c r="DB63" s="159">
        <f t="shared" si="94"/>
        <v>0</v>
      </c>
      <c r="DC63" s="159">
        <f t="shared" si="94"/>
        <v>0</v>
      </c>
      <c r="DD63" s="159">
        <f t="shared" si="94"/>
        <v>0</v>
      </c>
      <c r="DE63" s="159">
        <f t="shared" si="94"/>
        <v>0</v>
      </c>
      <c r="DF63" s="159">
        <f t="shared" si="94"/>
        <v>0</v>
      </c>
      <c r="DG63" s="159">
        <f t="shared" si="94"/>
        <v>0</v>
      </c>
      <c r="DH63" s="159">
        <f t="shared" si="94"/>
        <v>0</v>
      </c>
      <c r="DI63" s="159">
        <f t="shared" si="94"/>
        <v>0</v>
      </c>
      <c r="DJ63" s="159">
        <f t="shared" si="94"/>
        <v>0</v>
      </c>
      <c r="DK63" s="159">
        <f t="shared" si="94"/>
        <v>0</v>
      </c>
      <c r="DL63" s="159">
        <f t="shared" si="94"/>
        <v>0</v>
      </c>
      <c r="DM63" s="159">
        <f t="shared" si="94"/>
        <v>0</v>
      </c>
      <c r="DN63" s="159">
        <f t="shared" si="94"/>
        <v>0</v>
      </c>
      <c r="DO63" s="159">
        <f t="shared" si="94"/>
        <v>0</v>
      </c>
      <c r="DP63" s="159">
        <f t="shared" si="94"/>
        <v>0</v>
      </c>
      <c r="DQ63" s="159">
        <f t="shared" si="94"/>
        <v>0</v>
      </c>
      <c r="DR63" s="159">
        <f t="shared" si="94"/>
        <v>0</v>
      </c>
      <c r="DS63" s="159">
        <f t="shared" si="94"/>
        <v>0</v>
      </c>
      <c r="DT63" s="159">
        <f t="shared" si="94"/>
        <v>0</v>
      </c>
      <c r="DU63" s="159">
        <f t="shared" si="94"/>
        <v>0</v>
      </c>
      <c r="DV63" s="159">
        <f t="shared" si="94"/>
        <v>0</v>
      </c>
      <c r="DW63" s="159">
        <f t="shared" si="94"/>
        <v>0</v>
      </c>
      <c r="DX63" s="159">
        <f t="shared" si="94"/>
        <v>0</v>
      </c>
      <c r="DY63" s="159">
        <f t="shared" si="94"/>
        <v>0</v>
      </c>
      <c r="DZ63" s="159">
        <f t="shared" si="94"/>
        <v>0</v>
      </c>
      <c r="EA63" s="159">
        <f t="shared" si="94"/>
        <v>0</v>
      </c>
      <c r="EB63" s="159">
        <f t="shared" si="94"/>
        <v>0</v>
      </c>
      <c r="EC63" s="159">
        <f t="shared" si="94"/>
        <v>0</v>
      </c>
      <c r="ED63" s="159">
        <f t="shared" si="94"/>
        <v>0</v>
      </c>
      <c r="EE63" s="159">
        <f t="shared" ref="EE63:GP63" si="95">MAX(ED63-EE62,0)</f>
        <v>0</v>
      </c>
      <c r="EF63" s="159">
        <f t="shared" si="95"/>
        <v>0</v>
      </c>
      <c r="EG63" s="159">
        <f t="shared" si="95"/>
        <v>0</v>
      </c>
      <c r="EH63" s="159">
        <f t="shared" si="95"/>
        <v>0</v>
      </c>
      <c r="EI63" s="159">
        <f t="shared" si="95"/>
        <v>0</v>
      </c>
      <c r="EJ63" s="159">
        <f t="shared" si="95"/>
        <v>0</v>
      </c>
      <c r="EK63" s="159">
        <f t="shared" si="95"/>
        <v>0</v>
      </c>
      <c r="EL63" s="159">
        <f t="shared" si="95"/>
        <v>0</v>
      </c>
      <c r="EM63" s="159">
        <f t="shared" si="95"/>
        <v>0</v>
      </c>
      <c r="EN63" s="159">
        <f t="shared" si="95"/>
        <v>0</v>
      </c>
      <c r="EO63" s="159">
        <f t="shared" si="95"/>
        <v>0</v>
      </c>
      <c r="EP63" s="159">
        <f t="shared" si="95"/>
        <v>0</v>
      </c>
      <c r="EQ63" s="159">
        <f t="shared" si="95"/>
        <v>0</v>
      </c>
      <c r="ER63" s="159">
        <f t="shared" si="95"/>
        <v>0</v>
      </c>
      <c r="ES63" s="159">
        <f t="shared" si="95"/>
        <v>0</v>
      </c>
      <c r="ET63" s="159">
        <f t="shared" si="95"/>
        <v>0</v>
      </c>
      <c r="EU63" s="159">
        <f t="shared" si="95"/>
        <v>0</v>
      </c>
      <c r="EV63" s="159">
        <f t="shared" si="95"/>
        <v>0</v>
      </c>
      <c r="EW63" s="159">
        <f t="shared" si="95"/>
        <v>0</v>
      </c>
      <c r="EX63" s="159">
        <f t="shared" si="95"/>
        <v>0</v>
      </c>
      <c r="EY63" s="159">
        <f t="shared" si="95"/>
        <v>0</v>
      </c>
      <c r="EZ63" s="159">
        <f t="shared" si="95"/>
        <v>0</v>
      </c>
      <c r="FA63" s="159">
        <f t="shared" si="95"/>
        <v>0</v>
      </c>
      <c r="FB63" s="159">
        <f t="shared" si="95"/>
        <v>0</v>
      </c>
      <c r="FC63" s="159">
        <f t="shared" si="95"/>
        <v>0</v>
      </c>
      <c r="FD63" s="159">
        <f t="shared" si="95"/>
        <v>0</v>
      </c>
      <c r="FE63" s="159">
        <f t="shared" si="95"/>
        <v>0</v>
      </c>
      <c r="FF63" s="159">
        <f t="shared" si="95"/>
        <v>0</v>
      </c>
      <c r="FG63" s="159">
        <f t="shared" si="95"/>
        <v>0</v>
      </c>
      <c r="FH63" s="159">
        <f t="shared" si="95"/>
        <v>0</v>
      </c>
      <c r="FI63" s="159">
        <f t="shared" si="95"/>
        <v>0</v>
      </c>
      <c r="FJ63" s="159">
        <f t="shared" si="95"/>
        <v>0</v>
      </c>
      <c r="FK63" s="159">
        <f t="shared" si="95"/>
        <v>0</v>
      </c>
      <c r="FL63" s="159">
        <f t="shared" si="95"/>
        <v>0</v>
      </c>
      <c r="FM63" s="159">
        <f t="shared" si="95"/>
        <v>0</v>
      </c>
      <c r="FN63" s="159">
        <f t="shared" si="95"/>
        <v>0</v>
      </c>
      <c r="FO63" s="159">
        <f t="shared" si="95"/>
        <v>0</v>
      </c>
      <c r="FP63" s="159">
        <f t="shared" si="95"/>
        <v>0</v>
      </c>
      <c r="FQ63" s="159">
        <f t="shared" si="95"/>
        <v>0</v>
      </c>
      <c r="FR63" s="159">
        <f t="shared" si="95"/>
        <v>0</v>
      </c>
      <c r="FS63" s="159">
        <f t="shared" si="95"/>
        <v>0</v>
      </c>
      <c r="FT63" s="159">
        <f t="shared" si="95"/>
        <v>0</v>
      </c>
      <c r="FU63" s="159">
        <f t="shared" si="95"/>
        <v>0</v>
      </c>
      <c r="FV63" s="159">
        <f t="shared" si="95"/>
        <v>0</v>
      </c>
      <c r="FW63" s="159">
        <f t="shared" si="95"/>
        <v>0</v>
      </c>
      <c r="FX63" s="159">
        <f t="shared" si="95"/>
        <v>0</v>
      </c>
      <c r="FY63" s="159">
        <f t="shared" si="95"/>
        <v>0</v>
      </c>
      <c r="FZ63" s="159">
        <f t="shared" si="95"/>
        <v>0</v>
      </c>
      <c r="GA63" s="159">
        <f t="shared" si="95"/>
        <v>0</v>
      </c>
      <c r="GB63" s="159">
        <f t="shared" si="95"/>
        <v>0</v>
      </c>
      <c r="GC63" s="159">
        <f t="shared" si="95"/>
        <v>0</v>
      </c>
      <c r="GD63" s="159">
        <f t="shared" si="95"/>
        <v>0</v>
      </c>
      <c r="GE63" s="159">
        <f t="shared" si="95"/>
        <v>0</v>
      </c>
      <c r="GF63" s="159">
        <f t="shared" si="95"/>
        <v>0</v>
      </c>
      <c r="GG63" s="159">
        <f t="shared" si="95"/>
        <v>0</v>
      </c>
      <c r="GH63" s="159">
        <f t="shared" si="95"/>
        <v>0</v>
      </c>
      <c r="GI63" s="159">
        <f t="shared" si="95"/>
        <v>0</v>
      </c>
      <c r="GJ63" s="159">
        <f t="shared" si="95"/>
        <v>0</v>
      </c>
      <c r="GK63" s="159">
        <f t="shared" si="95"/>
        <v>0</v>
      </c>
      <c r="GL63" s="159">
        <f t="shared" si="95"/>
        <v>0</v>
      </c>
      <c r="GM63" s="159">
        <f t="shared" si="95"/>
        <v>0</v>
      </c>
      <c r="GN63" s="159">
        <f t="shared" si="95"/>
        <v>0</v>
      </c>
      <c r="GO63" s="159">
        <f t="shared" si="95"/>
        <v>0</v>
      </c>
      <c r="GP63" s="159">
        <f t="shared" si="95"/>
        <v>0</v>
      </c>
      <c r="GQ63" s="159">
        <f t="shared" ref="GQ63" si="96">MAX(GP63-GQ62,0)</f>
        <v>0</v>
      </c>
    </row>
    <row r="64" spans="2:199" s="156" customFormat="1" hidden="1" outlineLevel="1">
      <c r="B64" s="157"/>
      <c r="C64" s="157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  <c r="AA64" s="315"/>
      <c r="AB64" s="315"/>
      <c r="AC64" s="315"/>
      <c r="AD64" s="315"/>
      <c r="AE64" s="315"/>
      <c r="AF64" s="315"/>
      <c r="AG64" s="315"/>
      <c r="AH64" s="315"/>
      <c r="AI64" s="315"/>
      <c r="AJ64" s="315"/>
      <c r="AK64" s="315"/>
      <c r="AL64" s="315"/>
      <c r="AM64" s="315"/>
      <c r="AN64" s="315"/>
      <c r="AO64" s="315"/>
      <c r="AP64" s="315"/>
      <c r="AQ64" s="315"/>
      <c r="AR64" s="315"/>
      <c r="AS64" s="315"/>
      <c r="AT64" s="315"/>
      <c r="AU64" s="315"/>
      <c r="AV64" s="315"/>
      <c r="AW64" s="315"/>
      <c r="AX64" s="315"/>
      <c r="AY64" s="315"/>
      <c r="AZ64" s="315"/>
      <c r="BA64" s="315"/>
      <c r="BB64" s="315"/>
      <c r="BC64" s="315"/>
      <c r="BD64" s="315"/>
      <c r="BE64" s="315"/>
      <c r="BF64" s="315"/>
      <c r="BG64" s="315"/>
      <c r="BH64" s="315"/>
      <c r="BI64" s="315"/>
      <c r="BJ64" s="315"/>
      <c r="BK64" s="315"/>
      <c r="BL64" s="315"/>
      <c r="BM64" s="315"/>
      <c r="BN64" s="315"/>
      <c r="BO64" s="315"/>
      <c r="BP64" s="315"/>
      <c r="BQ64" s="315"/>
      <c r="BR64" s="315"/>
      <c r="BS64" s="315"/>
      <c r="BT64" s="315"/>
      <c r="BU64" s="315"/>
      <c r="BV64" s="315"/>
      <c r="BW64" s="315"/>
      <c r="BX64" s="315"/>
      <c r="BY64" s="315"/>
      <c r="BZ64" s="315"/>
      <c r="CA64" s="315"/>
      <c r="CB64" s="315"/>
      <c r="CC64" s="315"/>
      <c r="CD64" s="315"/>
      <c r="CE64" s="315"/>
      <c r="CF64" s="315"/>
      <c r="CG64" s="315"/>
      <c r="CH64" s="315"/>
      <c r="CI64" s="315"/>
      <c r="CJ64" s="315"/>
      <c r="CK64" s="315"/>
      <c r="CL64" s="315"/>
      <c r="CM64" s="315"/>
      <c r="CN64" s="315"/>
      <c r="CO64" s="315"/>
      <c r="CP64" s="315"/>
      <c r="CQ64" s="315"/>
      <c r="CR64" s="315"/>
      <c r="CS64" s="315"/>
      <c r="CT64" s="315"/>
      <c r="CU64" s="315"/>
      <c r="CV64" s="315"/>
      <c r="CW64" s="315"/>
      <c r="CX64" s="315"/>
      <c r="CY64" s="315"/>
      <c r="CZ64" s="315"/>
      <c r="DA64" s="315"/>
      <c r="DB64" s="315"/>
      <c r="DC64" s="315"/>
      <c r="DD64" s="315"/>
      <c r="DE64" s="315"/>
      <c r="DF64" s="315"/>
      <c r="DG64" s="315"/>
      <c r="DH64" s="315"/>
      <c r="DI64" s="315"/>
      <c r="DJ64" s="315"/>
      <c r="DK64" s="315"/>
      <c r="DL64" s="315"/>
      <c r="DM64" s="315"/>
      <c r="DN64" s="315"/>
      <c r="DO64" s="315"/>
      <c r="DP64" s="315"/>
      <c r="DQ64" s="315"/>
      <c r="DR64" s="315"/>
      <c r="DS64" s="315"/>
      <c r="DT64" s="315"/>
      <c r="DU64" s="315"/>
      <c r="DV64" s="315"/>
      <c r="DW64" s="315"/>
      <c r="DX64" s="315"/>
      <c r="DY64" s="315"/>
      <c r="DZ64" s="315"/>
      <c r="EA64" s="315"/>
      <c r="EB64" s="315"/>
      <c r="EC64" s="315"/>
      <c r="ED64" s="315"/>
      <c r="EE64" s="315"/>
      <c r="EF64" s="315"/>
      <c r="EG64" s="315"/>
      <c r="EH64" s="315"/>
      <c r="EI64" s="315"/>
      <c r="EJ64" s="315"/>
      <c r="EK64" s="315"/>
      <c r="EL64" s="315"/>
      <c r="EM64" s="315"/>
      <c r="EN64" s="315"/>
      <c r="EO64" s="315"/>
      <c r="EP64" s="315"/>
      <c r="EQ64" s="315"/>
      <c r="ER64" s="315"/>
      <c r="ES64" s="315"/>
      <c r="ET64" s="315"/>
      <c r="EU64" s="315"/>
      <c r="EV64" s="315"/>
      <c r="EW64" s="315"/>
      <c r="EX64" s="315"/>
      <c r="EY64" s="315"/>
      <c r="EZ64" s="315"/>
      <c r="FA64" s="315"/>
      <c r="FB64" s="315"/>
      <c r="FC64" s="315"/>
      <c r="FD64" s="315"/>
      <c r="FE64" s="315"/>
      <c r="FF64" s="315"/>
      <c r="FG64" s="315"/>
      <c r="FH64" s="315"/>
      <c r="FI64" s="315"/>
      <c r="FJ64" s="315"/>
      <c r="FK64" s="315"/>
      <c r="FL64" s="315"/>
      <c r="FM64" s="315"/>
      <c r="FN64" s="315"/>
      <c r="FO64" s="315"/>
      <c r="FP64" s="315"/>
      <c r="FQ64" s="315"/>
      <c r="FR64" s="315"/>
      <c r="FS64" s="315"/>
      <c r="FT64" s="315"/>
      <c r="FU64" s="315"/>
      <c r="FV64" s="315"/>
      <c r="FW64" s="315"/>
      <c r="FX64" s="315"/>
      <c r="FY64" s="315"/>
      <c r="FZ64" s="315"/>
      <c r="GA64" s="315"/>
      <c r="GB64" s="315"/>
      <c r="GC64" s="315"/>
      <c r="GD64" s="315"/>
      <c r="GE64" s="315"/>
      <c r="GF64" s="315"/>
      <c r="GG64" s="315"/>
      <c r="GH64" s="315"/>
      <c r="GI64" s="315"/>
      <c r="GJ64" s="315"/>
      <c r="GK64" s="315"/>
      <c r="GL64" s="315"/>
      <c r="GM64" s="315"/>
      <c r="GN64" s="315"/>
      <c r="GO64" s="315"/>
      <c r="GP64" s="315"/>
      <c r="GQ64" s="315"/>
    </row>
    <row r="65" spans="2:199" hidden="1" outlineLevel="1">
      <c r="B65" s="184" t="s">
        <v>388</v>
      </c>
      <c r="C65" s="185"/>
      <c r="D65" s="186"/>
      <c r="E65" s="186">
        <f t="shared" ref="E65:BP65" si="97">D71</f>
        <v>0</v>
      </c>
      <c r="F65" s="186">
        <f t="shared" si="97"/>
        <v>125875</v>
      </c>
      <c r="G65" s="186">
        <f t="shared" si="97"/>
        <v>127129.72199999999</v>
      </c>
      <c r="H65" s="186">
        <f t="shared" si="97"/>
        <v>128183.373135936</v>
      </c>
      <c r="I65" s="186">
        <f t="shared" si="97"/>
        <v>129346.25269702521</v>
      </c>
      <c r="J65" s="186">
        <f t="shared" si="97"/>
        <v>130360.32731816989</v>
      </c>
      <c r="K65" s="186">
        <f t="shared" si="97"/>
        <v>131440.06513373606</v>
      </c>
      <c r="L65" s="186">
        <f t="shared" si="97"/>
        <v>132376.88338026914</v>
      </c>
      <c r="M65" s="186">
        <f t="shared" si="97"/>
        <v>133403.74827348097</v>
      </c>
      <c r="N65" s="186">
        <f t="shared" si="97"/>
        <v>134467.50652954183</v>
      </c>
      <c r="O65" s="186">
        <f t="shared" si="97"/>
        <v>135350.95705960365</v>
      </c>
      <c r="P65" s="186">
        <f t="shared" si="97"/>
        <v>136382.71250753463</v>
      </c>
      <c r="Q65" s="186">
        <f t="shared" si="97"/>
        <v>137326.59332939249</v>
      </c>
      <c r="R65" s="186">
        <f t="shared" si="97"/>
        <v>138277.00658479342</v>
      </c>
      <c r="S65" s="186">
        <f t="shared" si="97"/>
        <v>139331.06677000973</v>
      </c>
      <c r="T65" s="186">
        <f t="shared" si="97"/>
        <v>140197.60429265199</v>
      </c>
      <c r="U65" s="186">
        <f t="shared" si="97"/>
        <v>141167.88731114633</v>
      </c>
      <c r="V65" s="186">
        <f t="shared" si="97"/>
        <v>0</v>
      </c>
      <c r="W65" s="186">
        <f t="shared" si="97"/>
        <v>0</v>
      </c>
      <c r="X65" s="186">
        <f t="shared" si="97"/>
        <v>0</v>
      </c>
      <c r="Y65" s="186">
        <f t="shared" si="97"/>
        <v>0</v>
      </c>
      <c r="Z65" s="186">
        <f t="shared" si="97"/>
        <v>0</v>
      </c>
      <c r="AA65" s="186">
        <f t="shared" si="97"/>
        <v>0</v>
      </c>
      <c r="AB65" s="186">
        <f t="shared" si="97"/>
        <v>0</v>
      </c>
      <c r="AC65" s="186">
        <f t="shared" si="97"/>
        <v>0</v>
      </c>
      <c r="AD65" s="186">
        <f t="shared" si="97"/>
        <v>0</v>
      </c>
      <c r="AE65" s="186">
        <f t="shared" si="97"/>
        <v>0</v>
      </c>
      <c r="AF65" s="186">
        <f t="shared" si="97"/>
        <v>0</v>
      </c>
      <c r="AG65" s="186">
        <f t="shared" si="97"/>
        <v>0</v>
      </c>
      <c r="AH65" s="186">
        <f t="shared" si="97"/>
        <v>0</v>
      </c>
      <c r="AI65" s="186">
        <f t="shared" si="97"/>
        <v>0</v>
      </c>
      <c r="AJ65" s="186">
        <f t="shared" si="97"/>
        <v>0</v>
      </c>
      <c r="AK65" s="186">
        <f t="shared" si="97"/>
        <v>0</v>
      </c>
      <c r="AL65" s="186">
        <f t="shared" si="97"/>
        <v>0</v>
      </c>
      <c r="AM65" s="186">
        <f t="shared" si="97"/>
        <v>0</v>
      </c>
      <c r="AN65" s="186">
        <f t="shared" si="97"/>
        <v>0</v>
      </c>
      <c r="AO65" s="186">
        <f t="shared" si="97"/>
        <v>0</v>
      </c>
      <c r="AP65" s="186">
        <f t="shared" si="97"/>
        <v>0</v>
      </c>
      <c r="AQ65" s="186">
        <f t="shared" si="97"/>
        <v>0</v>
      </c>
      <c r="AR65" s="186">
        <f t="shared" si="97"/>
        <v>0</v>
      </c>
      <c r="AS65" s="186">
        <f t="shared" si="97"/>
        <v>0</v>
      </c>
      <c r="AT65" s="186">
        <f t="shared" si="97"/>
        <v>0</v>
      </c>
      <c r="AU65" s="186">
        <f t="shared" si="97"/>
        <v>0</v>
      </c>
      <c r="AV65" s="186">
        <f t="shared" si="97"/>
        <v>0</v>
      </c>
      <c r="AW65" s="186">
        <f t="shared" si="97"/>
        <v>0</v>
      </c>
      <c r="AX65" s="186">
        <f t="shared" si="97"/>
        <v>0</v>
      </c>
      <c r="AY65" s="186">
        <f t="shared" si="97"/>
        <v>0</v>
      </c>
      <c r="AZ65" s="186">
        <f t="shared" si="97"/>
        <v>0</v>
      </c>
      <c r="BA65" s="186">
        <f t="shared" si="97"/>
        <v>0</v>
      </c>
      <c r="BB65" s="186">
        <f t="shared" si="97"/>
        <v>0</v>
      </c>
      <c r="BC65" s="186">
        <f t="shared" si="97"/>
        <v>0</v>
      </c>
      <c r="BD65" s="186">
        <f t="shared" si="97"/>
        <v>0</v>
      </c>
      <c r="BE65" s="186">
        <f t="shared" si="97"/>
        <v>0</v>
      </c>
      <c r="BF65" s="186">
        <f t="shared" si="97"/>
        <v>0</v>
      </c>
      <c r="BG65" s="186">
        <f t="shared" si="97"/>
        <v>0</v>
      </c>
      <c r="BH65" s="186">
        <f t="shared" si="97"/>
        <v>0</v>
      </c>
      <c r="BI65" s="186">
        <f t="shared" si="97"/>
        <v>0</v>
      </c>
      <c r="BJ65" s="186">
        <f t="shared" si="97"/>
        <v>0</v>
      </c>
      <c r="BK65" s="186">
        <f t="shared" si="97"/>
        <v>0</v>
      </c>
      <c r="BL65" s="186">
        <f t="shared" si="97"/>
        <v>0</v>
      </c>
      <c r="BM65" s="186">
        <f t="shared" si="97"/>
        <v>0</v>
      </c>
      <c r="BN65" s="186">
        <f t="shared" si="97"/>
        <v>0</v>
      </c>
      <c r="BO65" s="186">
        <f t="shared" si="97"/>
        <v>0</v>
      </c>
      <c r="BP65" s="186">
        <f t="shared" si="97"/>
        <v>0</v>
      </c>
      <c r="BQ65" s="186">
        <f t="shared" ref="BQ65:EB65" si="98">BP71</f>
        <v>0</v>
      </c>
      <c r="BR65" s="186">
        <f t="shared" si="98"/>
        <v>0</v>
      </c>
      <c r="BS65" s="186">
        <f t="shared" si="98"/>
        <v>0</v>
      </c>
      <c r="BT65" s="186">
        <f t="shared" si="98"/>
        <v>0</v>
      </c>
      <c r="BU65" s="186">
        <f t="shared" si="98"/>
        <v>0</v>
      </c>
      <c r="BV65" s="186">
        <f t="shared" si="98"/>
        <v>0</v>
      </c>
      <c r="BW65" s="186">
        <f t="shared" si="98"/>
        <v>0</v>
      </c>
      <c r="BX65" s="186">
        <f t="shared" si="98"/>
        <v>0</v>
      </c>
      <c r="BY65" s="186">
        <f t="shared" si="98"/>
        <v>0</v>
      </c>
      <c r="BZ65" s="186">
        <f t="shared" si="98"/>
        <v>0</v>
      </c>
      <c r="CA65" s="186">
        <f t="shared" si="98"/>
        <v>0</v>
      </c>
      <c r="CB65" s="186">
        <f t="shared" si="98"/>
        <v>0</v>
      </c>
      <c r="CC65" s="186">
        <f t="shared" si="98"/>
        <v>0</v>
      </c>
      <c r="CD65" s="186">
        <f t="shared" si="98"/>
        <v>0</v>
      </c>
      <c r="CE65" s="186">
        <f t="shared" si="98"/>
        <v>0</v>
      </c>
      <c r="CF65" s="186">
        <f t="shared" si="98"/>
        <v>0</v>
      </c>
      <c r="CG65" s="186">
        <f t="shared" si="98"/>
        <v>0</v>
      </c>
      <c r="CH65" s="186">
        <f t="shared" si="98"/>
        <v>0</v>
      </c>
      <c r="CI65" s="186">
        <f t="shared" si="98"/>
        <v>0</v>
      </c>
      <c r="CJ65" s="186">
        <f t="shared" si="98"/>
        <v>0</v>
      </c>
      <c r="CK65" s="186">
        <f t="shared" si="98"/>
        <v>0</v>
      </c>
      <c r="CL65" s="186">
        <f t="shared" si="98"/>
        <v>0</v>
      </c>
      <c r="CM65" s="186">
        <f t="shared" si="98"/>
        <v>0</v>
      </c>
      <c r="CN65" s="186">
        <f t="shared" si="98"/>
        <v>0</v>
      </c>
      <c r="CO65" s="186">
        <f t="shared" si="98"/>
        <v>0</v>
      </c>
      <c r="CP65" s="186">
        <f t="shared" si="98"/>
        <v>0</v>
      </c>
      <c r="CQ65" s="186">
        <f t="shared" si="98"/>
        <v>0</v>
      </c>
      <c r="CR65" s="186">
        <f t="shared" si="98"/>
        <v>0</v>
      </c>
      <c r="CS65" s="186">
        <f t="shared" si="98"/>
        <v>0</v>
      </c>
      <c r="CT65" s="186">
        <f t="shared" si="98"/>
        <v>0</v>
      </c>
      <c r="CU65" s="186">
        <f t="shared" si="98"/>
        <v>0</v>
      </c>
      <c r="CV65" s="186">
        <f t="shared" si="98"/>
        <v>0</v>
      </c>
      <c r="CW65" s="186">
        <f t="shared" si="98"/>
        <v>0</v>
      </c>
      <c r="CX65" s="186">
        <f t="shared" si="98"/>
        <v>0</v>
      </c>
      <c r="CY65" s="186">
        <f t="shared" si="98"/>
        <v>0</v>
      </c>
      <c r="CZ65" s="186">
        <f t="shared" si="98"/>
        <v>0</v>
      </c>
      <c r="DA65" s="186">
        <f t="shared" si="98"/>
        <v>0</v>
      </c>
      <c r="DB65" s="186">
        <f t="shared" si="98"/>
        <v>0</v>
      </c>
      <c r="DC65" s="186">
        <f t="shared" si="98"/>
        <v>0</v>
      </c>
      <c r="DD65" s="186">
        <f t="shared" si="98"/>
        <v>0</v>
      </c>
      <c r="DE65" s="186">
        <f t="shared" si="98"/>
        <v>0</v>
      </c>
      <c r="DF65" s="186">
        <f t="shared" si="98"/>
        <v>0</v>
      </c>
      <c r="DG65" s="186">
        <f t="shared" si="98"/>
        <v>0</v>
      </c>
      <c r="DH65" s="186">
        <f t="shared" si="98"/>
        <v>0</v>
      </c>
      <c r="DI65" s="186">
        <f t="shared" si="98"/>
        <v>0</v>
      </c>
      <c r="DJ65" s="186">
        <f t="shared" si="98"/>
        <v>0</v>
      </c>
      <c r="DK65" s="186">
        <f t="shared" si="98"/>
        <v>0</v>
      </c>
      <c r="DL65" s="186">
        <f t="shared" si="98"/>
        <v>0</v>
      </c>
      <c r="DM65" s="186">
        <f t="shared" si="98"/>
        <v>0</v>
      </c>
      <c r="DN65" s="186">
        <f t="shared" si="98"/>
        <v>0</v>
      </c>
      <c r="DO65" s="186">
        <f t="shared" si="98"/>
        <v>0</v>
      </c>
      <c r="DP65" s="186">
        <f t="shared" si="98"/>
        <v>0</v>
      </c>
      <c r="DQ65" s="186">
        <f t="shared" si="98"/>
        <v>0</v>
      </c>
      <c r="DR65" s="186">
        <f t="shared" si="98"/>
        <v>0</v>
      </c>
      <c r="DS65" s="186">
        <f t="shared" si="98"/>
        <v>0</v>
      </c>
      <c r="DT65" s="186">
        <f t="shared" si="98"/>
        <v>0</v>
      </c>
      <c r="DU65" s="186">
        <f t="shared" si="98"/>
        <v>0</v>
      </c>
      <c r="DV65" s="186">
        <f t="shared" si="98"/>
        <v>0</v>
      </c>
      <c r="DW65" s="186">
        <f t="shared" si="98"/>
        <v>0</v>
      </c>
      <c r="DX65" s="186">
        <f t="shared" si="98"/>
        <v>0</v>
      </c>
      <c r="DY65" s="186">
        <f t="shared" si="98"/>
        <v>0</v>
      </c>
      <c r="DZ65" s="186">
        <f t="shared" si="98"/>
        <v>0</v>
      </c>
      <c r="EA65" s="186">
        <f t="shared" si="98"/>
        <v>0</v>
      </c>
      <c r="EB65" s="186">
        <f t="shared" si="98"/>
        <v>0</v>
      </c>
      <c r="EC65" s="186">
        <f t="shared" ref="EC65:GN65" si="99">EB71</f>
        <v>0</v>
      </c>
      <c r="ED65" s="186">
        <f t="shared" si="99"/>
        <v>0</v>
      </c>
      <c r="EE65" s="186">
        <f t="shared" si="99"/>
        <v>0</v>
      </c>
      <c r="EF65" s="186">
        <f t="shared" si="99"/>
        <v>0</v>
      </c>
      <c r="EG65" s="186">
        <f t="shared" si="99"/>
        <v>0</v>
      </c>
      <c r="EH65" s="186">
        <f t="shared" si="99"/>
        <v>0</v>
      </c>
      <c r="EI65" s="186">
        <f t="shared" si="99"/>
        <v>0</v>
      </c>
      <c r="EJ65" s="186">
        <f t="shared" si="99"/>
        <v>0</v>
      </c>
      <c r="EK65" s="186">
        <f t="shared" si="99"/>
        <v>0</v>
      </c>
      <c r="EL65" s="186">
        <f t="shared" si="99"/>
        <v>0</v>
      </c>
      <c r="EM65" s="186">
        <f t="shared" si="99"/>
        <v>0</v>
      </c>
      <c r="EN65" s="186">
        <f t="shared" si="99"/>
        <v>0</v>
      </c>
      <c r="EO65" s="186">
        <f t="shared" si="99"/>
        <v>0</v>
      </c>
      <c r="EP65" s="186">
        <f t="shared" si="99"/>
        <v>0</v>
      </c>
      <c r="EQ65" s="186">
        <f t="shared" si="99"/>
        <v>0</v>
      </c>
      <c r="ER65" s="186">
        <f t="shared" si="99"/>
        <v>0</v>
      </c>
      <c r="ES65" s="186">
        <f t="shared" si="99"/>
        <v>0</v>
      </c>
      <c r="ET65" s="186">
        <f t="shared" si="99"/>
        <v>0</v>
      </c>
      <c r="EU65" s="186">
        <f t="shared" si="99"/>
        <v>0</v>
      </c>
      <c r="EV65" s="186">
        <f t="shared" si="99"/>
        <v>0</v>
      </c>
      <c r="EW65" s="186">
        <f t="shared" si="99"/>
        <v>0</v>
      </c>
      <c r="EX65" s="186">
        <f t="shared" si="99"/>
        <v>0</v>
      </c>
      <c r="EY65" s="186">
        <f t="shared" si="99"/>
        <v>0</v>
      </c>
      <c r="EZ65" s="186">
        <f t="shared" si="99"/>
        <v>0</v>
      </c>
      <c r="FA65" s="186">
        <f t="shared" si="99"/>
        <v>0</v>
      </c>
      <c r="FB65" s="186">
        <f t="shared" si="99"/>
        <v>0</v>
      </c>
      <c r="FC65" s="186">
        <f t="shared" si="99"/>
        <v>0</v>
      </c>
      <c r="FD65" s="186">
        <f t="shared" si="99"/>
        <v>0</v>
      </c>
      <c r="FE65" s="186">
        <f t="shared" si="99"/>
        <v>0</v>
      </c>
      <c r="FF65" s="186">
        <f t="shared" si="99"/>
        <v>0</v>
      </c>
      <c r="FG65" s="186">
        <f t="shared" si="99"/>
        <v>0</v>
      </c>
      <c r="FH65" s="186">
        <f t="shared" si="99"/>
        <v>0</v>
      </c>
      <c r="FI65" s="186">
        <f t="shared" si="99"/>
        <v>0</v>
      </c>
      <c r="FJ65" s="186">
        <f t="shared" si="99"/>
        <v>0</v>
      </c>
      <c r="FK65" s="186">
        <f t="shared" si="99"/>
        <v>0</v>
      </c>
      <c r="FL65" s="186">
        <f t="shared" si="99"/>
        <v>0</v>
      </c>
      <c r="FM65" s="186">
        <f t="shared" si="99"/>
        <v>0</v>
      </c>
      <c r="FN65" s="186">
        <f t="shared" si="99"/>
        <v>0</v>
      </c>
      <c r="FO65" s="186">
        <f t="shared" si="99"/>
        <v>0</v>
      </c>
      <c r="FP65" s="186">
        <f t="shared" si="99"/>
        <v>0</v>
      </c>
      <c r="FQ65" s="186">
        <f t="shared" si="99"/>
        <v>0</v>
      </c>
      <c r="FR65" s="186">
        <f t="shared" si="99"/>
        <v>0</v>
      </c>
      <c r="FS65" s="186">
        <f t="shared" si="99"/>
        <v>0</v>
      </c>
      <c r="FT65" s="186">
        <f t="shared" si="99"/>
        <v>0</v>
      </c>
      <c r="FU65" s="186">
        <f t="shared" si="99"/>
        <v>0</v>
      </c>
      <c r="FV65" s="186">
        <f t="shared" si="99"/>
        <v>0</v>
      </c>
      <c r="FW65" s="186">
        <f t="shared" si="99"/>
        <v>0</v>
      </c>
      <c r="FX65" s="186">
        <f t="shared" si="99"/>
        <v>0</v>
      </c>
      <c r="FY65" s="186">
        <f t="shared" si="99"/>
        <v>0</v>
      </c>
      <c r="FZ65" s="186">
        <f t="shared" si="99"/>
        <v>0</v>
      </c>
      <c r="GA65" s="186">
        <f t="shared" si="99"/>
        <v>0</v>
      </c>
      <c r="GB65" s="186">
        <f t="shared" si="99"/>
        <v>0</v>
      </c>
      <c r="GC65" s="186">
        <f t="shared" si="99"/>
        <v>0</v>
      </c>
      <c r="GD65" s="186">
        <f t="shared" si="99"/>
        <v>0</v>
      </c>
      <c r="GE65" s="186">
        <f t="shared" si="99"/>
        <v>0</v>
      </c>
      <c r="GF65" s="186">
        <f t="shared" si="99"/>
        <v>0</v>
      </c>
      <c r="GG65" s="186">
        <f t="shared" si="99"/>
        <v>0</v>
      </c>
      <c r="GH65" s="186">
        <f t="shared" si="99"/>
        <v>0</v>
      </c>
      <c r="GI65" s="186">
        <f t="shared" si="99"/>
        <v>0</v>
      </c>
      <c r="GJ65" s="186">
        <f t="shared" si="99"/>
        <v>0</v>
      </c>
      <c r="GK65" s="186">
        <f t="shared" si="99"/>
        <v>0</v>
      </c>
      <c r="GL65" s="186">
        <f t="shared" si="99"/>
        <v>0</v>
      </c>
      <c r="GM65" s="186">
        <f t="shared" si="99"/>
        <v>0</v>
      </c>
      <c r="GN65" s="186">
        <f t="shared" si="99"/>
        <v>0</v>
      </c>
      <c r="GO65" s="186">
        <f t="shared" ref="GO65:GQ65" si="100">GN71</f>
        <v>0</v>
      </c>
      <c r="GP65" s="186">
        <f t="shared" si="100"/>
        <v>0</v>
      </c>
      <c r="GQ65" s="186">
        <f t="shared" si="100"/>
        <v>0</v>
      </c>
    </row>
    <row r="66" spans="2:199" hidden="1" outlineLevel="1">
      <c r="B66" s="187" t="s">
        <v>411</v>
      </c>
      <c r="C66" s="180"/>
      <c r="D66" s="188"/>
      <c r="E66" s="189">
        <f>E71</f>
        <v>125875</v>
      </c>
      <c r="F66" s="189">
        <f t="shared" ref="F66:BQ66" si="101">(IF(F51&lt;$C53,0,IF(F51=$C53,$C66,0)))</f>
        <v>0</v>
      </c>
      <c r="G66" s="189">
        <f t="shared" si="101"/>
        <v>0</v>
      </c>
      <c r="H66" s="189">
        <f t="shared" si="101"/>
        <v>0</v>
      </c>
      <c r="I66" s="189">
        <f t="shared" si="101"/>
        <v>0</v>
      </c>
      <c r="J66" s="189">
        <f t="shared" si="101"/>
        <v>0</v>
      </c>
      <c r="K66" s="189">
        <f t="shared" si="101"/>
        <v>0</v>
      </c>
      <c r="L66" s="189">
        <f t="shared" si="101"/>
        <v>0</v>
      </c>
      <c r="M66" s="189">
        <f t="shared" si="101"/>
        <v>0</v>
      </c>
      <c r="N66" s="189">
        <f t="shared" si="101"/>
        <v>0</v>
      </c>
      <c r="O66" s="189">
        <f t="shared" si="101"/>
        <v>0</v>
      </c>
      <c r="P66" s="189">
        <f t="shared" si="101"/>
        <v>0</v>
      </c>
      <c r="Q66" s="189">
        <f t="shared" si="101"/>
        <v>0</v>
      </c>
      <c r="R66" s="189">
        <f t="shared" si="101"/>
        <v>0</v>
      </c>
      <c r="S66" s="189">
        <f t="shared" si="101"/>
        <v>0</v>
      </c>
      <c r="T66" s="189">
        <f t="shared" si="101"/>
        <v>0</v>
      </c>
      <c r="U66" s="189">
        <f t="shared" si="101"/>
        <v>0</v>
      </c>
      <c r="V66" s="189">
        <f t="shared" si="101"/>
        <v>0</v>
      </c>
      <c r="W66" s="189">
        <f t="shared" si="101"/>
        <v>0</v>
      </c>
      <c r="X66" s="189">
        <f t="shared" si="101"/>
        <v>0</v>
      </c>
      <c r="Y66" s="189">
        <f t="shared" si="101"/>
        <v>0</v>
      </c>
      <c r="Z66" s="189">
        <f t="shared" si="101"/>
        <v>0</v>
      </c>
      <c r="AA66" s="189">
        <f t="shared" si="101"/>
        <v>0</v>
      </c>
      <c r="AB66" s="189">
        <f t="shared" si="101"/>
        <v>0</v>
      </c>
      <c r="AC66" s="189">
        <f t="shared" si="101"/>
        <v>0</v>
      </c>
      <c r="AD66" s="189">
        <f t="shared" si="101"/>
        <v>0</v>
      </c>
      <c r="AE66" s="189">
        <f t="shared" si="101"/>
        <v>0</v>
      </c>
      <c r="AF66" s="189">
        <f t="shared" si="101"/>
        <v>0</v>
      </c>
      <c r="AG66" s="189">
        <f t="shared" si="101"/>
        <v>0</v>
      </c>
      <c r="AH66" s="189">
        <f t="shared" si="101"/>
        <v>0</v>
      </c>
      <c r="AI66" s="189">
        <f t="shared" si="101"/>
        <v>0</v>
      </c>
      <c r="AJ66" s="189">
        <f t="shared" si="101"/>
        <v>0</v>
      </c>
      <c r="AK66" s="189">
        <f t="shared" si="101"/>
        <v>0</v>
      </c>
      <c r="AL66" s="189">
        <f t="shared" si="101"/>
        <v>0</v>
      </c>
      <c r="AM66" s="189">
        <f t="shared" si="101"/>
        <v>0</v>
      </c>
      <c r="AN66" s="189">
        <f t="shared" si="101"/>
        <v>0</v>
      </c>
      <c r="AO66" s="189">
        <f t="shared" si="101"/>
        <v>0</v>
      </c>
      <c r="AP66" s="189">
        <f t="shared" si="101"/>
        <v>0</v>
      </c>
      <c r="AQ66" s="189">
        <f t="shared" si="101"/>
        <v>0</v>
      </c>
      <c r="AR66" s="189">
        <f t="shared" si="101"/>
        <v>0</v>
      </c>
      <c r="AS66" s="189">
        <f t="shared" si="101"/>
        <v>0</v>
      </c>
      <c r="AT66" s="189">
        <f t="shared" si="101"/>
        <v>0</v>
      </c>
      <c r="AU66" s="189">
        <f t="shared" si="101"/>
        <v>0</v>
      </c>
      <c r="AV66" s="189">
        <f t="shared" si="101"/>
        <v>0</v>
      </c>
      <c r="AW66" s="189">
        <f t="shared" si="101"/>
        <v>0</v>
      </c>
      <c r="AX66" s="189">
        <f t="shared" si="101"/>
        <v>0</v>
      </c>
      <c r="AY66" s="189">
        <f t="shared" si="101"/>
        <v>0</v>
      </c>
      <c r="AZ66" s="189">
        <f t="shared" si="101"/>
        <v>0</v>
      </c>
      <c r="BA66" s="189">
        <f t="shared" si="101"/>
        <v>0</v>
      </c>
      <c r="BB66" s="189">
        <f t="shared" si="101"/>
        <v>0</v>
      </c>
      <c r="BC66" s="189">
        <f t="shared" si="101"/>
        <v>0</v>
      </c>
      <c r="BD66" s="189">
        <f t="shared" si="101"/>
        <v>0</v>
      </c>
      <c r="BE66" s="189">
        <f t="shared" si="101"/>
        <v>0</v>
      </c>
      <c r="BF66" s="189">
        <f t="shared" si="101"/>
        <v>0</v>
      </c>
      <c r="BG66" s="189">
        <f t="shared" si="101"/>
        <v>0</v>
      </c>
      <c r="BH66" s="189">
        <f t="shared" si="101"/>
        <v>0</v>
      </c>
      <c r="BI66" s="189">
        <f t="shared" si="101"/>
        <v>0</v>
      </c>
      <c r="BJ66" s="189">
        <f t="shared" si="101"/>
        <v>0</v>
      </c>
      <c r="BK66" s="189">
        <f t="shared" si="101"/>
        <v>0</v>
      </c>
      <c r="BL66" s="189">
        <f t="shared" si="101"/>
        <v>0</v>
      </c>
      <c r="BM66" s="189">
        <f t="shared" si="101"/>
        <v>0</v>
      </c>
      <c r="BN66" s="189">
        <f t="shared" si="101"/>
        <v>0</v>
      </c>
      <c r="BO66" s="189">
        <f t="shared" si="101"/>
        <v>0</v>
      </c>
      <c r="BP66" s="189">
        <f t="shared" si="101"/>
        <v>0</v>
      </c>
      <c r="BQ66" s="189">
        <f t="shared" si="101"/>
        <v>0</v>
      </c>
      <c r="BR66" s="189">
        <f t="shared" ref="BR66:EC66" si="102">(IF(BR51&lt;$C53,0,IF(BR51=$C53,$C66,0)))</f>
        <v>0</v>
      </c>
      <c r="BS66" s="189">
        <f t="shared" si="102"/>
        <v>0</v>
      </c>
      <c r="BT66" s="189">
        <f t="shared" si="102"/>
        <v>0</v>
      </c>
      <c r="BU66" s="189">
        <f t="shared" si="102"/>
        <v>0</v>
      </c>
      <c r="BV66" s="189">
        <f t="shared" si="102"/>
        <v>0</v>
      </c>
      <c r="BW66" s="189">
        <f t="shared" si="102"/>
        <v>0</v>
      </c>
      <c r="BX66" s="189">
        <f t="shared" si="102"/>
        <v>0</v>
      </c>
      <c r="BY66" s="189">
        <f t="shared" si="102"/>
        <v>0</v>
      </c>
      <c r="BZ66" s="189">
        <f t="shared" si="102"/>
        <v>0</v>
      </c>
      <c r="CA66" s="189">
        <f t="shared" si="102"/>
        <v>0</v>
      </c>
      <c r="CB66" s="189">
        <f t="shared" si="102"/>
        <v>0</v>
      </c>
      <c r="CC66" s="189">
        <f t="shared" si="102"/>
        <v>0</v>
      </c>
      <c r="CD66" s="189">
        <f t="shared" si="102"/>
        <v>0</v>
      </c>
      <c r="CE66" s="189">
        <f t="shared" si="102"/>
        <v>0</v>
      </c>
      <c r="CF66" s="189">
        <f t="shared" si="102"/>
        <v>0</v>
      </c>
      <c r="CG66" s="189">
        <f t="shared" si="102"/>
        <v>0</v>
      </c>
      <c r="CH66" s="189">
        <f t="shared" si="102"/>
        <v>0</v>
      </c>
      <c r="CI66" s="189">
        <f t="shared" si="102"/>
        <v>0</v>
      </c>
      <c r="CJ66" s="189">
        <f t="shared" si="102"/>
        <v>0</v>
      </c>
      <c r="CK66" s="189">
        <f t="shared" si="102"/>
        <v>0</v>
      </c>
      <c r="CL66" s="189">
        <f t="shared" si="102"/>
        <v>0</v>
      </c>
      <c r="CM66" s="189">
        <f t="shared" si="102"/>
        <v>0</v>
      </c>
      <c r="CN66" s="189">
        <f t="shared" si="102"/>
        <v>0</v>
      </c>
      <c r="CO66" s="189">
        <f t="shared" si="102"/>
        <v>0</v>
      </c>
      <c r="CP66" s="189">
        <f t="shared" si="102"/>
        <v>0</v>
      </c>
      <c r="CQ66" s="189">
        <f t="shared" si="102"/>
        <v>0</v>
      </c>
      <c r="CR66" s="189">
        <f t="shared" si="102"/>
        <v>0</v>
      </c>
      <c r="CS66" s="189">
        <f t="shared" si="102"/>
        <v>0</v>
      </c>
      <c r="CT66" s="189">
        <f t="shared" si="102"/>
        <v>0</v>
      </c>
      <c r="CU66" s="189">
        <f t="shared" si="102"/>
        <v>0</v>
      </c>
      <c r="CV66" s="189">
        <f t="shared" si="102"/>
        <v>0</v>
      </c>
      <c r="CW66" s="189">
        <f t="shared" si="102"/>
        <v>0</v>
      </c>
      <c r="CX66" s="189">
        <f t="shared" si="102"/>
        <v>0</v>
      </c>
      <c r="CY66" s="189">
        <f t="shared" si="102"/>
        <v>0</v>
      </c>
      <c r="CZ66" s="189">
        <f t="shared" si="102"/>
        <v>0</v>
      </c>
      <c r="DA66" s="189">
        <f t="shared" si="102"/>
        <v>0</v>
      </c>
      <c r="DB66" s="189">
        <f t="shared" si="102"/>
        <v>0</v>
      </c>
      <c r="DC66" s="189">
        <f t="shared" si="102"/>
        <v>0</v>
      </c>
      <c r="DD66" s="189">
        <f t="shared" si="102"/>
        <v>0</v>
      </c>
      <c r="DE66" s="189">
        <f t="shared" si="102"/>
        <v>0</v>
      </c>
      <c r="DF66" s="189">
        <f t="shared" si="102"/>
        <v>0</v>
      </c>
      <c r="DG66" s="189">
        <f t="shared" si="102"/>
        <v>0</v>
      </c>
      <c r="DH66" s="189">
        <f t="shared" si="102"/>
        <v>0</v>
      </c>
      <c r="DI66" s="189">
        <f t="shared" si="102"/>
        <v>0</v>
      </c>
      <c r="DJ66" s="189">
        <f t="shared" si="102"/>
        <v>0</v>
      </c>
      <c r="DK66" s="189">
        <f t="shared" si="102"/>
        <v>0</v>
      </c>
      <c r="DL66" s="189">
        <f t="shared" si="102"/>
        <v>0</v>
      </c>
      <c r="DM66" s="189">
        <f t="shared" si="102"/>
        <v>0</v>
      </c>
      <c r="DN66" s="189">
        <f t="shared" si="102"/>
        <v>0</v>
      </c>
      <c r="DO66" s="189">
        <f t="shared" si="102"/>
        <v>0</v>
      </c>
      <c r="DP66" s="189">
        <f t="shared" si="102"/>
        <v>0</v>
      </c>
      <c r="DQ66" s="189">
        <f t="shared" si="102"/>
        <v>0</v>
      </c>
      <c r="DR66" s="189">
        <f t="shared" si="102"/>
        <v>0</v>
      </c>
      <c r="DS66" s="189">
        <f t="shared" si="102"/>
        <v>0</v>
      </c>
      <c r="DT66" s="189">
        <f t="shared" si="102"/>
        <v>0</v>
      </c>
      <c r="DU66" s="189">
        <f t="shared" si="102"/>
        <v>0</v>
      </c>
      <c r="DV66" s="189">
        <f t="shared" si="102"/>
        <v>0</v>
      </c>
      <c r="DW66" s="189">
        <f t="shared" si="102"/>
        <v>0</v>
      </c>
      <c r="DX66" s="189">
        <f t="shared" si="102"/>
        <v>0</v>
      </c>
      <c r="DY66" s="189">
        <f t="shared" si="102"/>
        <v>0</v>
      </c>
      <c r="DZ66" s="189">
        <f t="shared" si="102"/>
        <v>0</v>
      </c>
      <c r="EA66" s="189">
        <f t="shared" si="102"/>
        <v>0</v>
      </c>
      <c r="EB66" s="189">
        <f t="shared" si="102"/>
        <v>0</v>
      </c>
      <c r="EC66" s="189">
        <f t="shared" si="102"/>
        <v>0</v>
      </c>
      <c r="ED66" s="189">
        <f t="shared" ref="ED66:GO66" si="103">(IF(ED51&lt;$C53,0,IF(ED51=$C53,$C66,0)))</f>
        <v>0</v>
      </c>
      <c r="EE66" s="189">
        <f t="shared" si="103"/>
        <v>0</v>
      </c>
      <c r="EF66" s="189">
        <f t="shared" si="103"/>
        <v>0</v>
      </c>
      <c r="EG66" s="189">
        <f t="shared" si="103"/>
        <v>0</v>
      </c>
      <c r="EH66" s="189">
        <f t="shared" si="103"/>
        <v>0</v>
      </c>
      <c r="EI66" s="189">
        <f t="shared" si="103"/>
        <v>0</v>
      </c>
      <c r="EJ66" s="189">
        <f t="shared" si="103"/>
        <v>0</v>
      </c>
      <c r="EK66" s="189">
        <f t="shared" si="103"/>
        <v>0</v>
      </c>
      <c r="EL66" s="189">
        <f t="shared" si="103"/>
        <v>0</v>
      </c>
      <c r="EM66" s="189">
        <f t="shared" si="103"/>
        <v>0</v>
      </c>
      <c r="EN66" s="189">
        <f t="shared" si="103"/>
        <v>0</v>
      </c>
      <c r="EO66" s="189">
        <f t="shared" si="103"/>
        <v>0</v>
      </c>
      <c r="EP66" s="189">
        <f t="shared" si="103"/>
        <v>0</v>
      </c>
      <c r="EQ66" s="189">
        <f t="shared" si="103"/>
        <v>0</v>
      </c>
      <c r="ER66" s="189">
        <f t="shared" si="103"/>
        <v>0</v>
      </c>
      <c r="ES66" s="189">
        <f t="shared" si="103"/>
        <v>0</v>
      </c>
      <c r="ET66" s="189">
        <f t="shared" si="103"/>
        <v>0</v>
      </c>
      <c r="EU66" s="189">
        <f t="shared" si="103"/>
        <v>0</v>
      </c>
      <c r="EV66" s="189">
        <f t="shared" si="103"/>
        <v>0</v>
      </c>
      <c r="EW66" s="189">
        <f t="shared" si="103"/>
        <v>0</v>
      </c>
      <c r="EX66" s="189">
        <f t="shared" si="103"/>
        <v>0</v>
      </c>
      <c r="EY66" s="189">
        <f t="shared" si="103"/>
        <v>0</v>
      </c>
      <c r="EZ66" s="189">
        <f t="shared" si="103"/>
        <v>0</v>
      </c>
      <c r="FA66" s="189">
        <f t="shared" si="103"/>
        <v>0</v>
      </c>
      <c r="FB66" s="189">
        <f t="shared" si="103"/>
        <v>0</v>
      </c>
      <c r="FC66" s="189">
        <f t="shared" si="103"/>
        <v>0</v>
      </c>
      <c r="FD66" s="189">
        <f t="shared" si="103"/>
        <v>0</v>
      </c>
      <c r="FE66" s="189">
        <f t="shared" si="103"/>
        <v>0</v>
      </c>
      <c r="FF66" s="189">
        <f t="shared" si="103"/>
        <v>0</v>
      </c>
      <c r="FG66" s="189">
        <f t="shared" si="103"/>
        <v>0</v>
      </c>
      <c r="FH66" s="189">
        <f t="shared" si="103"/>
        <v>0</v>
      </c>
      <c r="FI66" s="189">
        <f t="shared" si="103"/>
        <v>0</v>
      </c>
      <c r="FJ66" s="189">
        <f t="shared" si="103"/>
        <v>0</v>
      </c>
      <c r="FK66" s="189">
        <f t="shared" si="103"/>
        <v>0</v>
      </c>
      <c r="FL66" s="189">
        <f t="shared" si="103"/>
        <v>0</v>
      </c>
      <c r="FM66" s="189">
        <f t="shared" si="103"/>
        <v>0</v>
      </c>
      <c r="FN66" s="189">
        <f t="shared" si="103"/>
        <v>0</v>
      </c>
      <c r="FO66" s="189">
        <f t="shared" si="103"/>
        <v>0</v>
      </c>
      <c r="FP66" s="189">
        <f t="shared" si="103"/>
        <v>0</v>
      </c>
      <c r="FQ66" s="189">
        <f t="shared" si="103"/>
        <v>0</v>
      </c>
      <c r="FR66" s="189">
        <f t="shared" si="103"/>
        <v>0</v>
      </c>
      <c r="FS66" s="189">
        <f t="shared" si="103"/>
        <v>0</v>
      </c>
      <c r="FT66" s="189">
        <f t="shared" si="103"/>
        <v>0</v>
      </c>
      <c r="FU66" s="189">
        <f t="shared" si="103"/>
        <v>0</v>
      </c>
      <c r="FV66" s="189">
        <f t="shared" si="103"/>
        <v>0</v>
      </c>
      <c r="FW66" s="189">
        <f t="shared" si="103"/>
        <v>0</v>
      </c>
      <c r="FX66" s="189">
        <f t="shared" si="103"/>
        <v>0</v>
      </c>
      <c r="FY66" s="189">
        <f t="shared" si="103"/>
        <v>0</v>
      </c>
      <c r="FZ66" s="189">
        <f t="shared" si="103"/>
        <v>0</v>
      </c>
      <c r="GA66" s="189">
        <f t="shared" si="103"/>
        <v>0</v>
      </c>
      <c r="GB66" s="189">
        <f t="shared" si="103"/>
        <v>0</v>
      </c>
      <c r="GC66" s="189">
        <f t="shared" si="103"/>
        <v>0</v>
      </c>
      <c r="GD66" s="189">
        <f t="shared" si="103"/>
        <v>0</v>
      </c>
      <c r="GE66" s="189">
        <f t="shared" si="103"/>
        <v>0</v>
      </c>
      <c r="GF66" s="189">
        <f t="shared" si="103"/>
        <v>0</v>
      </c>
      <c r="GG66" s="189">
        <f t="shared" si="103"/>
        <v>0</v>
      </c>
      <c r="GH66" s="189">
        <f t="shared" si="103"/>
        <v>0</v>
      </c>
      <c r="GI66" s="189">
        <f t="shared" si="103"/>
        <v>0</v>
      </c>
      <c r="GJ66" s="189">
        <f t="shared" si="103"/>
        <v>0</v>
      </c>
      <c r="GK66" s="189">
        <f t="shared" si="103"/>
        <v>0</v>
      </c>
      <c r="GL66" s="189">
        <f t="shared" si="103"/>
        <v>0</v>
      </c>
      <c r="GM66" s="189">
        <f t="shared" si="103"/>
        <v>0</v>
      </c>
      <c r="GN66" s="189">
        <f t="shared" si="103"/>
        <v>0</v>
      </c>
      <c r="GO66" s="189">
        <f t="shared" si="103"/>
        <v>0</v>
      </c>
      <c r="GP66" s="189">
        <f t="shared" ref="GP66:GQ66" si="104">(IF(GP51&lt;$C53,0,IF(GP51=$C53,$C66,0)))</f>
        <v>0</v>
      </c>
      <c r="GQ66" s="189">
        <f t="shared" si="104"/>
        <v>0</v>
      </c>
    </row>
    <row r="67" spans="2:199" hidden="1" outlineLevel="1">
      <c r="B67" s="190" t="s">
        <v>395</v>
      </c>
      <c r="C67" s="164"/>
      <c r="D67" s="191"/>
      <c r="E67" s="191">
        <f>SUM(E65:E66,-D72)*(E75-1)</f>
        <v>0</v>
      </c>
      <c r="F67" s="191">
        <f t="shared" ref="F67:BQ67" si="105">SUM(F65:F66,-E72)*(F75-1)</f>
        <v>0</v>
      </c>
      <c r="G67" s="191">
        <f t="shared" si="105"/>
        <v>0</v>
      </c>
      <c r="H67" s="191">
        <f t="shared" si="105"/>
        <v>0</v>
      </c>
      <c r="I67" s="191">
        <f t="shared" si="105"/>
        <v>0</v>
      </c>
      <c r="J67" s="191">
        <f t="shared" si="105"/>
        <v>0</v>
      </c>
      <c r="K67" s="191">
        <f t="shared" si="105"/>
        <v>0</v>
      </c>
      <c r="L67" s="191">
        <f t="shared" si="105"/>
        <v>0</v>
      </c>
      <c r="M67" s="191">
        <f t="shared" si="105"/>
        <v>0</v>
      </c>
      <c r="N67" s="191">
        <f t="shared" si="105"/>
        <v>0</v>
      </c>
      <c r="O67" s="191">
        <f t="shared" si="105"/>
        <v>0</v>
      </c>
      <c r="P67" s="191">
        <f t="shared" si="105"/>
        <v>0</v>
      </c>
      <c r="Q67" s="191">
        <f t="shared" si="105"/>
        <v>0</v>
      </c>
      <c r="R67" s="191">
        <f t="shared" si="105"/>
        <v>0</v>
      </c>
      <c r="S67" s="191">
        <f t="shared" si="105"/>
        <v>0</v>
      </c>
      <c r="T67" s="191">
        <f t="shared" si="105"/>
        <v>0</v>
      </c>
      <c r="U67" s="191">
        <f t="shared" si="105"/>
        <v>0</v>
      </c>
      <c r="V67" s="191">
        <f t="shared" si="105"/>
        <v>0</v>
      </c>
      <c r="W67" s="191">
        <f t="shared" si="105"/>
        <v>0</v>
      </c>
      <c r="X67" s="191">
        <f t="shared" si="105"/>
        <v>0</v>
      </c>
      <c r="Y67" s="191">
        <f t="shared" si="105"/>
        <v>0</v>
      </c>
      <c r="Z67" s="191">
        <f t="shared" si="105"/>
        <v>0</v>
      </c>
      <c r="AA67" s="191">
        <f t="shared" si="105"/>
        <v>0</v>
      </c>
      <c r="AB67" s="191">
        <f t="shared" si="105"/>
        <v>0</v>
      </c>
      <c r="AC67" s="191">
        <f t="shared" si="105"/>
        <v>0</v>
      </c>
      <c r="AD67" s="191">
        <f t="shared" si="105"/>
        <v>0</v>
      </c>
      <c r="AE67" s="191">
        <f t="shared" si="105"/>
        <v>0</v>
      </c>
      <c r="AF67" s="191">
        <f t="shared" si="105"/>
        <v>0</v>
      </c>
      <c r="AG67" s="191">
        <f t="shared" si="105"/>
        <v>0</v>
      </c>
      <c r="AH67" s="191">
        <f t="shared" si="105"/>
        <v>0</v>
      </c>
      <c r="AI67" s="191">
        <f t="shared" si="105"/>
        <v>0</v>
      </c>
      <c r="AJ67" s="191">
        <f t="shared" si="105"/>
        <v>0</v>
      </c>
      <c r="AK67" s="191">
        <f t="shared" si="105"/>
        <v>0</v>
      </c>
      <c r="AL67" s="191">
        <f t="shared" si="105"/>
        <v>0</v>
      </c>
      <c r="AM67" s="191">
        <f t="shared" si="105"/>
        <v>0</v>
      </c>
      <c r="AN67" s="191">
        <f t="shared" si="105"/>
        <v>0</v>
      </c>
      <c r="AO67" s="191">
        <f t="shared" si="105"/>
        <v>0</v>
      </c>
      <c r="AP67" s="191">
        <f t="shared" si="105"/>
        <v>0</v>
      </c>
      <c r="AQ67" s="191">
        <f t="shared" si="105"/>
        <v>0</v>
      </c>
      <c r="AR67" s="191">
        <f t="shared" si="105"/>
        <v>0</v>
      </c>
      <c r="AS67" s="191">
        <f t="shared" si="105"/>
        <v>0</v>
      </c>
      <c r="AT67" s="191">
        <f t="shared" si="105"/>
        <v>0</v>
      </c>
      <c r="AU67" s="191">
        <f t="shared" si="105"/>
        <v>0</v>
      </c>
      <c r="AV67" s="191">
        <f t="shared" si="105"/>
        <v>0</v>
      </c>
      <c r="AW67" s="191">
        <f t="shared" si="105"/>
        <v>0</v>
      </c>
      <c r="AX67" s="191">
        <f t="shared" si="105"/>
        <v>0</v>
      </c>
      <c r="AY67" s="191">
        <f t="shared" si="105"/>
        <v>0</v>
      </c>
      <c r="AZ67" s="191">
        <f t="shared" si="105"/>
        <v>0</v>
      </c>
      <c r="BA67" s="191">
        <f t="shared" si="105"/>
        <v>0</v>
      </c>
      <c r="BB67" s="191">
        <f t="shared" si="105"/>
        <v>0</v>
      </c>
      <c r="BC67" s="191">
        <f t="shared" si="105"/>
        <v>0</v>
      </c>
      <c r="BD67" s="191">
        <f t="shared" si="105"/>
        <v>0</v>
      </c>
      <c r="BE67" s="191">
        <f t="shared" si="105"/>
        <v>0</v>
      </c>
      <c r="BF67" s="191">
        <f t="shared" si="105"/>
        <v>0</v>
      </c>
      <c r="BG67" s="191">
        <f t="shared" si="105"/>
        <v>0</v>
      </c>
      <c r="BH67" s="191">
        <f t="shared" si="105"/>
        <v>0</v>
      </c>
      <c r="BI67" s="191">
        <f t="shared" si="105"/>
        <v>0</v>
      </c>
      <c r="BJ67" s="191">
        <f t="shared" si="105"/>
        <v>0</v>
      </c>
      <c r="BK67" s="191">
        <f t="shared" si="105"/>
        <v>0</v>
      </c>
      <c r="BL67" s="191">
        <f t="shared" si="105"/>
        <v>0</v>
      </c>
      <c r="BM67" s="191">
        <f t="shared" si="105"/>
        <v>0</v>
      </c>
      <c r="BN67" s="191">
        <f t="shared" si="105"/>
        <v>0</v>
      </c>
      <c r="BO67" s="191">
        <f t="shared" si="105"/>
        <v>0</v>
      </c>
      <c r="BP67" s="191">
        <f t="shared" si="105"/>
        <v>0</v>
      </c>
      <c r="BQ67" s="191">
        <f t="shared" si="105"/>
        <v>0</v>
      </c>
      <c r="BR67" s="191">
        <f t="shared" ref="BR67:EC67" si="106">SUM(BR65:BR66,-BQ72)*(BR75-1)</f>
        <v>0</v>
      </c>
      <c r="BS67" s="191">
        <f t="shared" si="106"/>
        <v>0</v>
      </c>
      <c r="BT67" s="191">
        <f t="shared" si="106"/>
        <v>0</v>
      </c>
      <c r="BU67" s="191">
        <f t="shared" si="106"/>
        <v>0</v>
      </c>
      <c r="BV67" s="191">
        <f t="shared" si="106"/>
        <v>0</v>
      </c>
      <c r="BW67" s="191">
        <f t="shared" si="106"/>
        <v>0</v>
      </c>
      <c r="BX67" s="191">
        <f t="shared" si="106"/>
        <v>0</v>
      </c>
      <c r="BY67" s="191">
        <f t="shared" si="106"/>
        <v>0</v>
      </c>
      <c r="BZ67" s="191">
        <f t="shared" si="106"/>
        <v>0</v>
      </c>
      <c r="CA67" s="191">
        <f t="shared" si="106"/>
        <v>0</v>
      </c>
      <c r="CB67" s="191">
        <f t="shared" si="106"/>
        <v>0</v>
      </c>
      <c r="CC67" s="191">
        <f t="shared" si="106"/>
        <v>0</v>
      </c>
      <c r="CD67" s="191">
        <f t="shared" si="106"/>
        <v>0</v>
      </c>
      <c r="CE67" s="191">
        <f t="shared" si="106"/>
        <v>0</v>
      </c>
      <c r="CF67" s="191">
        <f t="shared" si="106"/>
        <v>0</v>
      </c>
      <c r="CG67" s="191">
        <f t="shared" si="106"/>
        <v>0</v>
      </c>
      <c r="CH67" s="191">
        <f t="shared" si="106"/>
        <v>0</v>
      </c>
      <c r="CI67" s="191">
        <f t="shared" si="106"/>
        <v>0</v>
      </c>
      <c r="CJ67" s="191">
        <f t="shared" si="106"/>
        <v>0</v>
      </c>
      <c r="CK67" s="191">
        <f t="shared" si="106"/>
        <v>0</v>
      </c>
      <c r="CL67" s="191">
        <f t="shared" si="106"/>
        <v>0</v>
      </c>
      <c r="CM67" s="191">
        <f t="shared" si="106"/>
        <v>0</v>
      </c>
      <c r="CN67" s="191">
        <f t="shared" si="106"/>
        <v>0</v>
      </c>
      <c r="CO67" s="191">
        <f t="shared" si="106"/>
        <v>0</v>
      </c>
      <c r="CP67" s="191">
        <f t="shared" si="106"/>
        <v>0</v>
      </c>
      <c r="CQ67" s="191">
        <f t="shared" si="106"/>
        <v>0</v>
      </c>
      <c r="CR67" s="191">
        <f t="shared" si="106"/>
        <v>0</v>
      </c>
      <c r="CS67" s="191">
        <f t="shared" si="106"/>
        <v>0</v>
      </c>
      <c r="CT67" s="191">
        <f t="shared" si="106"/>
        <v>0</v>
      </c>
      <c r="CU67" s="191">
        <f t="shared" si="106"/>
        <v>0</v>
      </c>
      <c r="CV67" s="191">
        <f t="shared" si="106"/>
        <v>0</v>
      </c>
      <c r="CW67" s="191">
        <f t="shared" si="106"/>
        <v>0</v>
      </c>
      <c r="CX67" s="191">
        <f t="shared" si="106"/>
        <v>0</v>
      </c>
      <c r="CY67" s="191">
        <f t="shared" si="106"/>
        <v>0</v>
      </c>
      <c r="CZ67" s="191">
        <f t="shared" si="106"/>
        <v>0</v>
      </c>
      <c r="DA67" s="191">
        <f t="shared" si="106"/>
        <v>0</v>
      </c>
      <c r="DB67" s="191">
        <f t="shared" si="106"/>
        <v>0</v>
      </c>
      <c r="DC67" s="191">
        <f t="shared" si="106"/>
        <v>0</v>
      </c>
      <c r="DD67" s="191">
        <f t="shared" si="106"/>
        <v>0</v>
      </c>
      <c r="DE67" s="191">
        <f t="shared" si="106"/>
        <v>0</v>
      </c>
      <c r="DF67" s="191">
        <f t="shared" si="106"/>
        <v>0</v>
      </c>
      <c r="DG67" s="191">
        <f t="shared" si="106"/>
        <v>0</v>
      </c>
      <c r="DH67" s="191">
        <f t="shared" si="106"/>
        <v>0</v>
      </c>
      <c r="DI67" s="191">
        <f t="shared" si="106"/>
        <v>0</v>
      </c>
      <c r="DJ67" s="191">
        <f t="shared" si="106"/>
        <v>0</v>
      </c>
      <c r="DK67" s="191">
        <f t="shared" si="106"/>
        <v>0</v>
      </c>
      <c r="DL67" s="191">
        <f t="shared" si="106"/>
        <v>0</v>
      </c>
      <c r="DM67" s="191">
        <f t="shared" si="106"/>
        <v>0</v>
      </c>
      <c r="DN67" s="191">
        <f t="shared" si="106"/>
        <v>0</v>
      </c>
      <c r="DO67" s="191">
        <f t="shared" si="106"/>
        <v>0</v>
      </c>
      <c r="DP67" s="191">
        <f t="shared" si="106"/>
        <v>0</v>
      </c>
      <c r="DQ67" s="191">
        <f t="shared" si="106"/>
        <v>0</v>
      </c>
      <c r="DR67" s="191">
        <f t="shared" si="106"/>
        <v>0</v>
      </c>
      <c r="DS67" s="191">
        <f t="shared" si="106"/>
        <v>0</v>
      </c>
      <c r="DT67" s="191">
        <f t="shared" si="106"/>
        <v>0</v>
      </c>
      <c r="DU67" s="191">
        <f t="shared" si="106"/>
        <v>0</v>
      </c>
      <c r="DV67" s="191">
        <f t="shared" si="106"/>
        <v>0</v>
      </c>
      <c r="DW67" s="191">
        <f t="shared" si="106"/>
        <v>0</v>
      </c>
      <c r="DX67" s="191">
        <f t="shared" si="106"/>
        <v>0</v>
      </c>
      <c r="DY67" s="191">
        <f t="shared" si="106"/>
        <v>0</v>
      </c>
      <c r="DZ67" s="191">
        <f t="shared" si="106"/>
        <v>0</v>
      </c>
      <c r="EA67" s="191">
        <f t="shared" si="106"/>
        <v>0</v>
      </c>
      <c r="EB67" s="191">
        <f t="shared" si="106"/>
        <v>0</v>
      </c>
      <c r="EC67" s="191">
        <f t="shared" si="106"/>
        <v>0</v>
      </c>
      <c r="ED67" s="191">
        <f t="shared" ref="ED67:GO67" si="107">SUM(ED65:ED66,-EC72)*(ED75-1)</f>
        <v>0</v>
      </c>
      <c r="EE67" s="191">
        <f t="shared" si="107"/>
        <v>0</v>
      </c>
      <c r="EF67" s="191">
        <f t="shared" si="107"/>
        <v>0</v>
      </c>
      <c r="EG67" s="191">
        <f t="shared" si="107"/>
        <v>0</v>
      </c>
      <c r="EH67" s="191">
        <f t="shared" si="107"/>
        <v>0</v>
      </c>
      <c r="EI67" s="191">
        <f t="shared" si="107"/>
        <v>0</v>
      </c>
      <c r="EJ67" s="191">
        <f t="shared" si="107"/>
        <v>0</v>
      </c>
      <c r="EK67" s="191">
        <f t="shared" si="107"/>
        <v>0</v>
      </c>
      <c r="EL67" s="191">
        <f t="shared" si="107"/>
        <v>0</v>
      </c>
      <c r="EM67" s="191">
        <f t="shared" si="107"/>
        <v>0</v>
      </c>
      <c r="EN67" s="191">
        <f t="shared" si="107"/>
        <v>0</v>
      </c>
      <c r="EO67" s="191">
        <f t="shared" si="107"/>
        <v>0</v>
      </c>
      <c r="EP67" s="191">
        <f t="shared" si="107"/>
        <v>0</v>
      </c>
      <c r="EQ67" s="191">
        <f t="shared" si="107"/>
        <v>0</v>
      </c>
      <c r="ER67" s="191">
        <f t="shared" si="107"/>
        <v>0</v>
      </c>
      <c r="ES67" s="191">
        <f t="shared" si="107"/>
        <v>0</v>
      </c>
      <c r="ET67" s="191">
        <f t="shared" si="107"/>
        <v>0</v>
      </c>
      <c r="EU67" s="191">
        <f t="shared" si="107"/>
        <v>0</v>
      </c>
      <c r="EV67" s="191">
        <f t="shared" si="107"/>
        <v>0</v>
      </c>
      <c r="EW67" s="191">
        <f t="shared" si="107"/>
        <v>0</v>
      </c>
      <c r="EX67" s="191">
        <f t="shared" si="107"/>
        <v>0</v>
      </c>
      <c r="EY67" s="191">
        <f t="shared" si="107"/>
        <v>0</v>
      </c>
      <c r="EZ67" s="191">
        <f t="shared" si="107"/>
        <v>0</v>
      </c>
      <c r="FA67" s="191">
        <f t="shared" si="107"/>
        <v>0</v>
      </c>
      <c r="FB67" s="191">
        <f t="shared" si="107"/>
        <v>0</v>
      </c>
      <c r="FC67" s="191">
        <f t="shared" si="107"/>
        <v>0</v>
      </c>
      <c r="FD67" s="191">
        <f t="shared" si="107"/>
        <v>0</v>
      </c>
      <c r="FE67" s="191">
        <f t="shared" si="107"/>
        <v>0</v>
      </c>
      <c r="FF67" s="191">
        <f t="shared" si="107"/>
        <v>0</v>
      </c>
      <c r="FG67" s="191">
        <f t="shared" si="107"/>
        <v>0</v>
      </c>
      <c r="FH67" s="191">
        <f t="shared" si="107"/>
        <v>0</v>
      </c>
      <c r="FI67" s="191">
        <f t="shared" si="107"/>
        <v>0</v>
      </c>
      <c r="FJ67" s="191">
        <f t="shared" si="107"/>
        <v>0</v>
      </c>
      <c r="FK67" s="191">
        <f t="shared" si="107"/>
        <v>0</v>
      </c>
      <c r="FL67" s="191">
        <f t="shared" si="107"/>
        <v>0</v>
      </c>
      <c r="FM67" s="191">
        <f t="shared" si="107"/>
        <v>0</v>
      </c>
      <c r="FN67" s="191">
        <f t="shared" si="107"/>
        <v>0</v>
      </c>
      <c r="FO67" s="191">
        <f t="shared" si="107"/>
        <v>0</v>
      </c>
      <c r="FP67" s="191">
        <f t="shared" si="107"/>
        <v>0</v>
      </c>
      <c r="FQ67" s="191">
        <f t="shared" si="107"/>
        <v>0</v>
      </c>
      <c r="FR67" s="191">
        <f t="shared" si="107"/>
        <v>0</v>
      </c>
      <c r="FS67" s="191">
        <f t="shared" si="107"/>
        <v>0</v>
      </c>
      <c r="FT67" s="191">
        <f t="shared" si="107"/>
        <v>0</v>
      </c>
      <c r="FU67" s="191">
        <f t="shared" si="107"/>
        <v>0</v>
      </c>
      <c r="FV67" s="191">
        <f t="shared" si="107"/>
        <v>0</v>
      </c>
      <c r="FW67" s="191">
        <f t="shared" si="107"/>
        <v>0</v>
      </c>
      <c r="FX67" s="191">
        <f t="shared" si="107"/>
        <v>0</v>
      </c>
      <c r="FY67" s="191">
        <f t="shared" si="107"/>
        <v>0</v>
      </c>
      <c r="FZ67" s="191">
        <f t="shared" si="107"/>
        <v>0</v>
      </c>
      <c r="GA67" s="191">
        <f t="shared" si="107"/>
        <v>0</v>
      </c>
      <c r="GB67" s="191">
        <f t="shared" si="107"/>
        <v>0</v>
      </c>
      <c r="GC67" s="191">
        <f t="shared" si="107"/>
        <v>0</v>
      </c>
      <c r="GD67" s="191">
        <f t="shared" si="107"/>
        <v>0</v>
      </c>
      <c r="GE67" s="191">
        <f t="shared" si="107"/>
        <v>0</v>
      </c>
      <c r="GF67" s="191">
        <f t="shared" si="107"/>
        <v>0</v>
      </c>
      <c r="GG67" s="191">
        <f t="shared" si="107"/>
        <v>0</v>
      </c>
      <c r="GH67" s="191">
        <f t="shared" si="107"/>
        <v>0</v>
      </c>
      <c r="GI67" s="191">
        <f t="shared" si="107"/>
        <v>0</v>
      </c>
      <c r="GJ67" s="191">
        <f t="shared" si="107"/>
        <v>0</v>
      </c>
      <c r="GK67" s="191">
        <f t="shared" si="107"/>
        <v>0</v>
      </c>
      <c r="GL67" s="191">
        <f t="shared" si="107"/>
        <v>0</v>
      </c>
      <c r="GM67" s="191">
        <f t="shared" si="107"/>
        <v>0</v>
      </c>
      <c r="GN67" s="191">
        <f t="shared" si="107"/>
        <v>0</v>
      </c>
      <c r="GO67" s="191">
        <f t="shared" si="107"/>
        <v>0</v>
      </c>
      <c r="GP67" s="191">
        <f t="shared" ref="GP67:GQ67" si="108">SUM(GP65:GP66,-GO72)*(GP75-1)</f>
        <v>0</v>
      </c>
      <c r="GQ67" s="191">
        <f t="shared" si="108"/>
        <v>0</v>
      </c>
    </row>
    <row r="68" spans="2:199" hidden="1" outlineLevel="1">
      <c r="B68" s="190" t="s">
        <v>390</v>
      </c>
      <c r="C68" s="192"/>
      <c r="D68" s="193"/>
      <c r="E68" s="193">
        <v>0</v>
      </c>
      <c r="F68" s="193">
        <f t="shared" ref="F68" si="109">SUM(F65:F67)*F59</f>
        <v>1254.7220000000002</v>
      </c>
      <c r="G68" s="193">
        <f t="shared" ref="G68" si="110">SUM(G65:G67)*G59</f>
        <v>1053.6511359360002</v>
      </c>
      <c r="H68" s="193">
        <f t="shared" ref="H68:BS68" si="111">SUM(H65:H67)*H59</f>
        <v>1162.8795610892116</v>
      </c>
      <c r="I68" s="193">
        <f t="shared" si="111"/>
        <v>1014.0746211446776</v>
      </c>
      <c r="J68" s="193">
        <f t="shared" si="111"/>
        <v>1079.7378155661777</v>
      </c>
      <c r="K68" s="193">
        <f t="shared" si="111"/>
        <v>936.81824653308468</v>
      </c>
      <c r="L68" s="193">
        <f t="shared" si="111"/>
        <v>1026.864893211831</v>
      </c>
      <c r="M68" s="193">
        <f t="shared" si="111"/>
        <v>1063.7582560608689</v>
      </c>
      <c r="N68" s="193">
        <f t="shared" si="111"/>
        <v>883.45053006180422</v>
      </c>
      <c r="O68" s="193">
        <f t="shared" si="111"/>
        <v>1031.7554479309833</v>
      </c>
      <c r="P68" s="193">
        <f t="shared" si="111"/>
        <v>943.880821857868</v>
      </c>
      <c r="Q68" s="193">
        <f t="shared" si="111"/>
        <v>950.41325540091339</v>
      </c>
      <c r="R68" s="193">
        <f t="shared" si="111"/>
        <v>1054.0601852162981</v>
      </c>
      <c r="S68" s="193">
        <f t="shared" si="111"/>
        <v>866.53752264226034</v>
      </c>
      <c r="T68" s="193">
        <f t="shared" si="111"/>
        <v>970.28301849434592</v>
      </c>
      <c r="U68" s="193">
        <f t="shared" si="111"/>
        <v>1076.0968372173611</v>
      </c>
      <c r="V68" s="193">
        <f t="shared" si="111"/>
        <v>0</v>
      </c>
      <c r="W68" s="193">
        <f t="shared" si="111"/>
        <v>0</v>
      </c>
      <c r="X68" s="193">
        <f t="shared" si="111"/>
        <v>0</v>
      </c>
      <c r="Y68" s="193">
        <f t="shared" si="111"/>
        <v>0</v>
      </c>
      <c r="Z68" s="193">
        <f t="shared" si="111"/>
        <v>0</v>
      </c>
      <c r="AA68" s="193">
        <f t="shared" si="111"/>
        <v>0</v>
      </c>
      <c r="AB68" s="193">
        <f t="shared" si="111"/>
        <v>0</v>
      </c>
      <c r="AC68" s="193">
        <f t="shared" si="111"/>
        <v>0</v>
      </c>
      <c r="AD68" s="193">
        <f t="shared" si="111"/>
        <v>0</v>
      </c>
      <c r="AE68" s="193">
        <f t="shared" si="111"/>
        <v>0</v>
      </c>
      <c r="AF68" s="193">
        <f t="shared" si="111"/>
        <v>0</v>
      </c>
      <c r="AG68" s="193">
        <f t="shared" si="111"/>
        <v>0</v>
      </c>
      <c r="AH68" s="193">
        <f t="shared" si="111"/>
        <v>0</v>
      </c>
      <c r="AI68" s="193">
        <f t="shared" si="111"/>
        <v>0</v>
      </c>
      <c r="AJ68" s="193">
        <f t="shared" si="111"/>
        <v>0</v>
      </c>
      <c r="AK68" s="193">
        <f t="shared" si="111"/>
        <v>0</v>
      </c>
      <c r="AL68" s="193">
        <f t="shared" si="111"/>
        <v>0</v>
      </c>
      <c r="AM68" s="193">
        <f t="shared" si="111"/>
        <v>0</v>
      </c>
      <c r="AN68" s="193">
        <f t="shared" si="111"/>
        <v>0</v>
      </c>
      <c r="AO68" s="193">
        <f t="shared" si="111"/>
        <v>0</v>
      </c>
      <c r="AP68" s="193">
        <f t="shared" si="111"/>
        <v>0</v>
      </c>
      <c r="AQ68" s="193">
        <f t="shared" si="111"/>
        <v>0</v>
      </c>
      <c r="AR68" s="193">
        <f t="shared" si="111"/>
        <v>0</v>
      </c>
      <c r="AS68" s="193">
        <f t="shared" si="111"/>
        <v>0</v>
      </c>
      <c r="AT68" s="193">
        <f t="shared" si="111"/>
        <v>0</v>
      </c>
      <c r="AU68" s="193">
        <f t="shared" si="111"/>
        <v>0</v>
      </c>
      <c r="AV68" s="193">
        <f t="shared" si="111"/>
        <v>0</v>
      </c>
      <c r="AW68" s="193">
        <f t="shared" si="111"/>
        <v>0</v>
      </c>
      <c r="AX68" s="193">
        <f t="shared" si="111"/>
        <v>0</v>
      </c>
      <c r="AY68" s="193">
        <f t="shared" si="111"/>
        <v>0</v>
      </c>
      <c r="AZ68" s="193">
        <f t="shared" si="111"/>
        <v>0</v>
      </c>
      <c r="BA68" s="193">
        <f t="shared" si="111"/>
        <v>0</v>
      </c>
      <c r="BB68" s="193">
        <f t="shared" si="111"/>
        <v>0</v>
      </c>
      <c r="BC68" s="193">
        <f t="shared" si="111"/>
        <v>0</v>
      </c>
      <c r="BD68" s="193">
        <f t="shared" si="111"/>
        <v>0</v>
      </c>
      <c r="BE68" s="193">
        <f t="shared" si="111"/>
        <v>0</v>
      </c>
      <c r="BF68" s="193">
        <f t="shared" si="111"/>
        <v>0</v>
      </c>
      <c r="BG68" s="193">
        <f t="shared" si="111"/>
        <v>0</v>
      </c>
      <c r="BH68" s="193">
        <f t="shared" si="111"/>
        <v>0</v>
      </c>
      <c r="BI68" s="193">
        <f t="shared" si="111"/>
        <v>0</v>
      </c>
      <c r="BJ68" s="193">
        <f t="shared" si="111"/>
        <v>0</v>
      </c>
      <c r="BK68" s="193">
        <f t="shared" si="111"/>
        <v>0</v>
      </c>
      <c r="BL68" s="193">
        <f t="shared" si="111"/>
        <v>0</v>
      </c>
      <c r="BM68" s="193">
        <f t="shared" si="111"/>
        <v>0</v>
      </c>
      <c r="BN68" s="193">
        <f t="shared" si="111"/>
        <v>0</v>
      </c>
      <c r="BO68" s="193">
        <f t="shared" si="111"/>
        <v>0</v>
      </c>
      <c r="BP68" s="193">
        <f t="shared" si="111"/>
        <v>0</v>
      </c>
      <c r="BQ68" s="193">
        <f t="shared" si="111"/>
        <v>0</v>
      </c>
      <c r="BR68" s="193">
        <f t="shared" si="111"/>
        <v>0</v>
      </c>
      <c r="BS68" s="193">
        <f t="shared" si="111"/>
        <v>0</v>
      </c>
      <c r="BT68" s="193">
        <f t="shared" ref="BT68:EE68" si="112">SUM(BT65:BT67)*BT59</f>
        <v>0</v>
      </c>
      <c r="BU68" s="193">
        <f t="shared" si="112"/>
        <v>0</v>
      </c>
      <c r="BV68" s="193">
        <f t="shared" si="112"/>
        <v>0</v>
      </c>
      <c r="BW68" s="193">
        <f t="shared" si="112"/>
        <v>0</v>
      </c>
      <c r="BX68" s="193">
        <f t="shared" si="112"/>
        <v>0</v>
      </c>
      <c r="BY68" s="193">
        <f t="shared" si="112"/>
        <v>0</v>
      </c>
      <c r="BZ68" s="193">
        <f t="shared" si="112"/>
        <v>0</v>
      </c>
      <c r="CA68" s="193">
        <f t="shared" si="112"/>
        <v>0</v>
      </c>
      <c r="CB68" s="193">
        <f t="shared" si="112"/>
        <v>0</v>
      </c>
      <c r="CC68" s="193">
        <f t="shared" si="112"/>
        <v>0</v>
      </c>
      <c r="CD68" s="193">
        <f t="shared" si="112"/>
        <v>0</v>
      </c>
      <c r="CE68" s="193">
        <f t="shared" si="112"/>
        <v>0</v>
      </c>
      <c r="CF68" s="193">
        <f t="shared" si="112"/>
        <v>0</v>
      </c>
      <c r="CG68" s="193">
        <f t="shared" si="112"/>
        <v>0</v>
      </c>
      <c r="CH68" s="193">
        <f t="shared" si="112"/>
        <v>0</v>
      </c>
      <c r="CI68" s="193">
        <f t="shared" si="112"/>
        <v>0</v>
      </c>
      <c r="CJ68" s="193">
        <f t="shared" si="112"/>
        <v>0</v>
      </c>
      <c r="CK68" s="193">
        <f t="shared" si="112"/>
        <v>0</v>
      </c>
      <c r="CL68" s="193">
        <f t="shared" si="112"/>
        <v>0</v>
      </c>
      <c r="CM68" s="193">
        <f t="shared" si="112"/>
        <v>0</v>
      </c>
      <c r="CN68" s="193">
        <f t="shared" si="112"/>
        <v>0</v>
      </c>
      <c r="CO68" s="193">
        <f t="shared" si="112"/>
        <v>0</v>
      </c>
      <c r="CP68" s="193">
        <f t="shared" si="112"/>
        <v>0</v>
      </c>
      <c r="CQ68" s="193">
        <f t="shared" si="112"/>
        <v>0</v>
      </c>
      <c r="CR68" s="193">
        <f t="shared" si="112"/>
        <v>0</v>
      </c>
      <c r="CS68" s="193">
        <f t="shared" si="112"/>
        <v>0</v>
      </c>
      <c r="CT68" s="193">
        <f t="shared" si="112"/>
        <v>0</v>
      </c>
      <c r="CU68" s="193">
        <f t="shared" si="112"/>
        <v>0</v>
      </c>
      <c r="CV68" s="193">
        <f t="shared" si="112"/>
        <v>0</v>
      </c>
      <c r="CW68" s="193">
        <f t="shared" si="112"/>
        <v>0</v>
      </c>
      <c r="CX68" s="193">
        <f t="shared" si="112"/>
        <v>0</v>
      </c>
      <c r="CY68" s="193">
        <f t="shared" si="112"/>
        <v>0</v>
      </c>
      <c r="CZ68" s="193">
        <f t="shared" si="112"/>
        <v>0</v>
      </c>
      <c r="DA68" s="193">
        <f t="shared" si="112"/>
        <v>0</v>
      </c>
      <c r="DB68" s="193">
        <f t="shared" si="112"/>
        <v>0</v>
      </c>
      <c r="DC68" s="193">
        <f t="shared" si="112"/>
        <v>0</v>
      </c>
      <c r="DD68" s="193">
        <f t="shared" si="112"/>
        <v>0</v>
      </c>
      <c r="DE68" s="193">
        <f t="shared" si="112"/>
        <v>0</v>
      </c>
      <c r="DF68" s="193">
        <f t="shared" si="112"/>
        <v>0</v>
      </c>
      <c r="DG68" s="193">
        <f t="shared" si="112"/>
        <v>0</v>
      </c>
      <c r="DH68" s="193">
        <f t="shared" si="112"/>
        <v>0</v>
      </c>
      <c r="DI68" s="193">
        <f t="shared" si="112"/>
        <v>0</v>
      </c>
      <c r="DJ68" s="193">
        <f t="shared" si="112"/>
        <v>0</v>
      </c>
      <c r="DK68" s="193">
        <f t="shared" si="112"/>
        <v>0</v>
      </c>
      <c r="DL68" s="193">
        <f t="shared" si="112"/>
        <v>0</v>
      </c>
      <c r="DM68" s="193">
        <f t="shared" si="112"/>
        <v>0</v>
      </c>
      <c r="DN68" s="193">
        <f t="shared" si="112"/>
        <v>0</v>
      </c>
      <c r="DO68" s="193">
        <f t="shared" si="112"/>
        <v>0</v>
      </c>
      <c r="DP68" s="193">
        <f t="shared" si="112"/>
        <v>0</v>
      </c>
      <c r="DQ68" s="193">
        <f t="shared" si="112"/>
        <v>0</v>
      </c>
      <c r="DR68" s="193">
        <f t="shared" si="112"/>
        <v>0</v>
      </c>
      <c r="DS68" s="193">
        <f t="shared" si="112"/>
        <v>0</v>
      </c>
      <c r="DT68" s="193">
        <f t="shared" si="112"/>
        <v>0</v>
      </c>
      <c r="DU68" s="193">
        <f t="shared" si="112"/>
        <v>0</v>
      </c>
      <c r="DV68" s="193">
        <f t="shared" si="112"/>
        <v>0</v>
      </c>
      <c r="DW68" s="193">
        <f t="shared" si="112"/>
        <v>0</v>
      </c>
      <c r="DX68" s="193">
        <f t="shared" si="112"/>
        <v>0</v>
      </c>
      <c r="DY68" s="193">
        <f t="shared" si="112"/>
        <v>0</v>
      </c>
      <c r="DZ68" s="193">
        <f t="shared" si="112"/>
        <v>0</v>
      </c>
      <c r="EA68" s="193">
        <f t="shared" si="112"/>
        <v>0</v>
      </c>
      <c r="EB68" s="193">
        <f t="shared" si="112"/>
        <v>0</v>
      </c>
      <c r="EC68" s="193">
        <f t="shared" si="112"/>
        <v>0</v>
      </c>
      <c r="ED68" s="193">
        <f t="shared" si="112"/>
        <v>0</v>
      </c>
      <c r="EE68" s="193">
        <f t="shared" si="112"/>
        <v>0</v>
      </c>
      <c r="EF68" s="193">
        <f t="shared" ref="EF68:GQ68" si="113">SUM(EF65:EF67)*EF59</f>
        <v>0</v>
      </c>
      <c r="EG68" s="193">
        <f t="shared" si="113"/>
        <v>0</v>
      </c>
      <c r="EH68" s="193">
        <f t="shared" si="113"/>
        <v>0</v>
      </c>
      <c r="EI68" s="193">
        <f t="shared" si="113"/>
        <v>0</v>
      </c>
      <c r="EJ68" s="193">
        <f t="shared" si="113"/>
        <v>0</v>
      </c>
      <c r="EK68" s="193">
        <f t="shared" si="113"/>
        <v>0</v>
      </c>
      <c r="EL68" s="193">
        <f t="shared" si="113"/>
        <v>0</v>
      </c>
      <c r="EM68" s="193">
        <f t="shared" si="113"/>
        <v>0</v>
      </c>
      <c r="EN68" s="193">
        <f t="shared" si="113"/>
        <v>0</v>
      </c>
      <c r="EO68" s="193">
        <f t="shared" si="113"/>
        <v>0</v>
      </c>
      <c r="EP68" s="193">
        <f t="shared" si="113"/>
        <v>0</v>
      </c>
      <c r="EQ68" s="193">
        <f t="shared" si="113"/>
        <v>0</v>
      </c>
      <c r="ER68" s="193">
        <f t="shared" si="113"/>
        <v>0</v>
      </c>
      <c r="ES68" s="193">
        <f t="shared" si="113"/>
        <v>0</v>
      </c>
      <c r="ET68" s="193">
        <f t="shared" si="113"/>
        <v>0</v>
      </c>
      <c r="EU68" s="193">
        <f t="shared" si="113"/>
        <v>0</v>
      </c>
      <c r="EV68" s="193">
        <f t="shared" si="113"/>
        <v>0</v>
      </c>
      <c r="EW68" s="193">
        <f t="shared" si="113"/>
        <v>0</v>
      </c>
      <c r="EX68" s="193">
        <f t="shared" si="113"/>
        <v>0</v>
      </c>
      <c r="EY68" s="193">
        <f t="shared" si="113"/>
        <v>0</v>
      </c>
      <c r="EZ68" s="193">
        <f t="shared" si="113"/>
        <v>0</v>
      </c>
      <c r="FA68" s="193">
        <f t="shared" si="113"/>
        <v>0</v>
      </c>
      <c r="FB68" s="193">
        <f t="shared" si="113"/>
        <v>0</v>
      </c>
      <c r="FC68" s="193">
        <f t="shared" si="113"/>
        <v>0</v>
      </c>
      <c r="FD68" s="193">
        <f t="shared" si="113"/>
        <v>0</v>
      </c>
      <c r="FE68" s="193">
        <f t="shared" si="113"/>
        <v>0</v>
      </c>
      <c r="FF68" s="193">
        <f t="shared" si="113"/>
        <v>0</v>
      </c>
      <c r="FG68" s="193">
        <f t="shared" si="113"/>
        <v>0</v>
      </c>
      <c r="FH68" s="193">
        <f t="shared" si="113"/>
        <v>0</v>
      </c>
      <c r="FI68" s="193">
        <f t="shared" si="113"/>
        <v>0</v>
      </c>
      <c r="FJ68" s="193">
        <f t="shared" si="113"/>
        <v>0</v>
      </c>
      <c r="FK68" s="193">
        <f t="shared" si="113"/>
        <v>0</v>
      </c>
      <c r="FL68" s="193">
        <f t="shared" si="113"/>
        <v>0</v>
      </c>
      <c r="FM68" s="193">
        <f t="shared" si="113"/>
        <v>0</v>
      </c>
      <c r="FN68" s="193">
        <f t="shared" si="113"/>
        <v>0</v>
      </c>
      <c r="FO68" s="193">
        <f t="shared" si="113"/>
        <v>0</v>
      </c>
      <c r="FP68" s="193">
        <f t="shared" si="113"/>
        <v>0</v>
      </c>
      <c r="FQ68" s="193">
        <f t="shared" si="113"/>
        <v>0</v>
      </c>
      <c r="FR68" s="193">
        <f t="shared" si="113"/>
        <v>0</v>
      </c>
      <c r="FS68" s="193">
        <f t="shared" si="113"/>
        <v>0</v>
      </c>
      <c r="FT68" s="193">
        <f t="shared" si="113"/>
        <v>0</v>
      </c>
      <c r="FU68" s="193">
        <f t="shared" si="113"/>
        <v>0</v>
      </c>
      <c r="FV68" s="193">
        <f t="shared" si="113"/>
        <v>0</v>
      </c>
      <c r="FW68" s="193">
        <f t="shared" si="113"/>
        <v>0</v>
      </c>
      <c r="FX68" s="193">
        <f t="shared" si="113"/>
        <v>0</v>
      </c>
      <c r="FY68" s="193">
        <f t="shared" si="113"/>
        <v>0</v>
      </c>
      <c r="FZ68" s="193">
        <f t="shared" si="113"/>
        <v>0</v>
      </c>
      <c r="GA68" s="193">
        <f t="shared" si="113"/>
        <v>0</v>
      </c>
      <c r="GB68" s="193">
        <f t="shared" si="113"/>
        <v>0</v>
      </c>
      <c r="GC68" s="193">
        <f t="shared" si="113"/>
        <v>0</v>
      </c>
      <c r="GD68" s="193">
        <f t="shared" si="113"/>
        <v>0</v>
      </c>
      <c r="GE68" s="193">
        <f t="shared" si="113"/>
        <v>0</v>
      </c>
      <c r="GF68" s="193">
        <f t="shared" si="113"/>
        <v>0</v>
      </c>
      <c r="GG68" s="193">
        <f t="shared" si="113"/>
        <v>0</v>
      </c>
      <c r="GH68" s="193">
        <f t="shared" si="113"/>
        <v>0</v>
      </c>
      <c r="GI68" s="193">
        <f t="shared" si="113"/>
        <v>0</v>
      </c>
      <c r="GJ68" s="193">
        <f t="shared" si="113"/>
        <v>0</v>
      </c>
      <c r="GK68" s="193">
        <f t="shared" si="113"/>
        <v>0</v>
      </c>
      <c r="GL68" s="193">
        <f t="shared" si="113"/>
        <v>0</v>
      </c>
      <c r="GM68" s="193">
        <f t="shared" si="113"/>
        <v>0</v>
      </c>
      <c r="GN68" s="193">
        <f t="shared" si="113"/>
        <v>0</v>
      </c>
      <c r="GO68" s="193">
        <f t="shared" si="113"/>
        <v>0</v>
      </c>
      <c r="GP68" s="193">
        <f t="shared" si="113"/>
        <v>0</v>
      </c>
      <c r="GQ68" s="193">
        <f t="shared" si="113"/>
        <v>0</v>
      </c>
    </row>
    <row r="69" spans="2:199" hidden="1" outlineLevel="1">
      <c r="B69" s="190" t="s">
        <v>391</v>
      </c>
      <c r="C69" s="192"/>
      <c r="D69" s="193"/>
      <c r="E69" s="200">
        <f>IF(E61=1,-D72-E68,0)*IF(AND(E51=$C56,$C62=1,$C61=0),0,1)</f>
        <v>0</v>
      </c>
      <c r="F69" s="200">
        <f t="shared" ref="F69:BQ69" si="114">IF(F61=1,-E72-F68,0)*IF(AND(F51=$C56,$C62=1,$C61=0),0,1)</f>
        <v>0</v>
      </c>
      <c r="G69" s="200">
        <f t="shared" si="114"/>
        <v>0</v>
      </c>
      <c r="H69" s="200">
        <f t="shared" si="114"/>
        <v>0</v>
      </c>
      <c r="I69" s="200">
        <f t="shared" si="114"/>
        <v>0</v>
      </c>
      <c r="J69" s="200">
        <f t="shared" si="114"/>
        <v>0</v>
      </c>
      <c r="K69" s="200">
        <f t="shared" si="114"/>
        <v>0</v>
      </c>
      <c r="L69" s="200">
        <f t="shared" si="114"/>
        <v>0</v>
      </c>
      <c r="M69" s="200">
        <f t="shared" si="114"/>
        <v>0</v>
      </c>
      <c r="N69" s="200">
        <f t="shared" si="114"/>
        <v>0</v>
      </c>
      <c r="O69" s="200">
        <f t="shared" si="114"/>
        <v>0</v>
      </c>
      <c r="P69" s="200">
        <f t="shared" si="114"/>
        <v>0</v>
      </c>
      <c r="Q69" s="200">
        <f t="shared" si="114"/>
        <v>0</v>
      </c>
      <c r="R69" s="200">
        <f t="shared" si="114"/>
        <v>0</v>
      </c>
      <c r="S69" s="200">
        <f t="shared" si="114"/>
        <v>0</v>
      </c>
      <c r="T69" s="200">
        <f t="shared" si="114"/>
        <v>0</v>
      </c>
      <c r="U69" s="200">
        <f t="shared" si="114"/>
        <v>-16368.984148363686</v>
      </c>
      <c r="V69" s="200">
        <f t="shared" si="114"/>
        <v>0</v>
      </c>
      <c r="W69" s="200">
        <f t="shared" si="114"/>
        <v>0</v>
      </c>
      <c r="X69" s="200">
        <f t="shared" si="114"/>
        <v>0</v>
      </c>
      <c r="Y69" s="200">
        <f t="shared" si="114"/>
        <v>0</v>
      </c>
      <c r="Z69" s="200">
        <f t="shared" si="114"/>
        <v>0</v>
      </c>
      <c r="AA69" s="200">
        <f t="shared" si="114"/>
        <v>0</v>
      </c>
      <c r="AB69" s="200">
        <f t="shared" si="114"/>
        <v>0</v>
      </c>
      <c r="AC69" s="200">
        <f t="shared" si="114"/>
        <v>0</v>
      </c>
      <c r="AD69" s="200">
        <f t="shared" si="114"/>
        <v>0</v>
      </c>
      <c r="AE69" s="200">
        <f t="shared" si="114"/>
        <v>0</v>
      </c>
      <c r="AF69" s="200">
        <f t="shared" si="114"/>
        <v>0</v>
      </c>
      <c r="AG69" s="200">
        <f t="shared" si="114"/>
        <v>0</v>
      </c>
      <c r="AH69" s="200">
        <f t="shared" si="114"/>
        <v>0</v>
      </c>
      <c r="AI69" s="200">
        <f t="shared" si="114"/>
        <v>0</v>
      </c>
      <c r="AJ69" s="200">
        <f t="shared" si="114"/>
        <v>0</v>
      </c>
      <c r="AK69" s="200">
        <f t="shared" si="114"/>
        <v>0</v>
      </c>
      <c r="AL69" s="200">
        <f t="shared" si="114"/>
        <v>0</v>
      </c>
      <c r="AM69" s="200">
        <f t="shared" si="114"/>
        <v>0</v>
      </c>
      <c r="AN69" s="200">
        <f t="shared" si="114"/>
        <v>0</v>
      </c>
      <c r="AO69" s="200">
        <f t="shared" si="114"/>
        <v>0</v>
      </c>
      <c r="AP69" s="200">
        <f t="shared" si="114"/>
        <v>0</v>
      </c>
      <c r="AQ69" s="200">
        <f t="shared" si="114"/>
        <v>0</v>
      </c>
      <c r="AR69" s="200">
        <f t="shared" si="114"/>
        <v>0</v>
      </c>
      <c r="AS69" s="200">
        <f t="shared" si="114"/>
        <v>0</v>
      </c>
      <c r="AT69" s="200">
        <f t="shared" si="114"/>
        <v>0</v>
      </c>
      <c r="AU69" s="200">
        <f t="shared" si="114"/>
        <v>0</v>
      </c>
      <c r="AV69" s="200">
        <f t="shared" si="114"/>
        <v>0</v>
      </c>
      <c r="AW69" s="200">
        <f t="shared" si="114"/>
        <v>0</v>
      </c>
      <c r="AX69" s="200">
        <f t="shared" si="114"/>
        <v>0</v>
      </c>
      <c r="AY69" s="200">
        <f t="shared" si="114"/>
        <v>0</v>
      </c>
      <c r="AZ69" s="200">
        <f t="shared" si="114"/>
        <v>0</v>
      </c>
      <c r="BA69" s="200">
        <f t="shared" si="114"/>
        <v>0</v>
      </c>
      <c r="BB69" s="200">
        <f t="shared" si="114"/>
        <v>0</v>
      </c>
      <c r="BC69" s="200">
        <f t="shared" si="114"/>
        <v>0</v>
      </c>
      <c r="BD69" s="200">
        <f t="shared" si="114"/>
        <v>0</v>
      </c>
      <c r="BE69" s="200">
        <f t="shared" si="114"/>
        <v>0</v>
      </c>
      <c r="BF69" s="200">
        <f t="shared" si="114"/>
        <v>0</v>
      </c>
      <c r="BG69" s="200">
        <f t="shared" si="114"/>
        <v>0</v>
      </c>
      <c r="BH69" s="200">
        <f t="shared" si="114"/>
        <v>0</v>
      </c>
      <c r="BI69" s="200">
        <f t="shared" si="114"/>
        <v>0</v>
      </c>
      <c r="BJ69" s="200">
        <f t="shared" si="114"/>
        <v>0</v>
      </c>
      <c r="BK69" s="200">
        <f t="shared" si="114"/>
        <v>0</v>
      </c>
      <c r="BL69" s="200">
        <f t="shared" si="114"/>
        <v>0</v>
      </c>
      <c r="BM69" s="200">
        <f t="shared" si="114"/>
        <v>0</v>
      </c>
      <c r="BN69" s="200">
        <f t="shared" si="114"/>
        <v>0</v>
      </c>
      <c r="BO69" s="200">
        <f t="shared" si="114"/>
        <v>0</v>
      </c>
      <c r="BP69" s="200">
        <f t="shared" si="114"/>
        <v>0</v>
      </c>
      <c r="BQ69" s="200">
        <f t="shared" si="114"/>
        <v>0</v>
      </c>
      <c r="BR69" s="200">
        <f t="shared" ref="BR69:EC69" si="115">IF(BR61=1,-BQ72-BR68,0)*IF(AND(BR51=$C56,$C62=1,$C61=0),0,1)</f>
        <v>0</v>
      </c>
      <c r="BS69" s="200">
        <f t="shared" si="115"/>
        <v>0</v>
      </c>
      <c r="BT69" s="200">
        <f t="shared" si="115"/>
        <v>0</v>
      </c>
      <c r="BU69" s="200">
        <f t="shared" si="115"/>
        <v>0</v>
      </c>
      <c r="BV69" s="200">
        <f t="shared" si="115"/>
        <v>0</v>
      </c>
      <c r="BW69" s="200">
        <f t="shared" si="115"/>
        <v>0</v>
      </c>
      <c r="BX69" s="200">
        <f t="shared" si="115"/>
        <v>0</v>
      </c>
      <c r="BY69" s="200">
        <f t="shared" si="115"/>
        <v>0</v>
      </c>
      <c r="BZ69" s="200">
        <f t="shared" si="115"/>
        <v>0</v>
      </c>
      <c r="CA69" s="200">
        <f t="shared" si="115"/>
        <v>0</v>
      </c>
      <c r="CB69" s="200">
        <f t="shared" si="115"/>
        <v>0</v>
      </c>
      <c r="CC69" s="200">
        <f t="shared" si="115"/>
        <v>0</v>
      </c>
      <c r="CD69" s="200">
        <f t="shared" si="115"/>
        <v>0</v>
      </c>
      <c r="CE69" s="200">
        <f t="shared" si="115"/>
        <v>0</v>
      </c>
      <c r="CF69" s="200">
        <f t="shared" si="115"/>
        <v>0</v>
      </c>
      <c r="CG69" s="200">
        <f t="shared" si="115"/>
        <v>0</v>
      </c>
      <c r="CH69" s="200">
        <f t="shared" si="115"/>
        <v>0</v>
      </c>
      <c r="CI69" s="200">
        <f t="shared" si="115"/>
        <v>0</v>
      </c>
      <c r="CJ69" s="200">
        <f t="shared" si="115"/>
        <v>0</v>
      </c>
      <c r="CK69" s="200">
        <f t="shared" si="115"/>
        <v>0</v>
      </c>
      <c r="CL69" s="200">
        <f t="shared" si="115"/>
        <v>0</v>
      </c>
      <c r="CM69" s="200">
        <f t="shared" si="115"/>
        <v>0</v>
      </c>
      <c r="CN69" s="200">
        <f t="shared" si="115"/>
        <v>0</v>
      </c>
      <c r="CO69" s="200">
        <f t="shared" si="115"/>
        <v>0</v>
      </c>
      <c r="CP69" s="200">
        <f t="shared" si="115"/>
        <v>0</v>
      </c>
      <c r="CQ69" s="200">
        <f t="shared" si="115"/>
        <v>0</v>
      </c>
      <c r="CR69" s="200">
        <f t="shared" si="115"/>
        <v>0</v>
      </c>
      <c r="CS69" s="200">
        <f t="shared" si="115"/>
        <v>0</v>
      </c>
      <c r="CT69" s="200">
        <f t="shared" si="115"/>
        <v>0</v>
      </c>
      <c r="CU69" s="200">
        <f t="shared" si="115"/>
        <v>0</v>
      </c>
      <c r="CV69" s="200">
        <f t="shared" si="115"/>
        <v>0</v>
      </c>
      <c r="CW69" s="200">
        <f t="shared" si="115"/>
        <v>0</v>
      </c>
      <c r="CX69" s="200">
        <f t="shared" si="115"/>
        <v>0</v>
      </c>
      <c r="CY69" s="200">
        <f t="shared" si="115"/>
        <v>0</v>
      </c>
      <c r="CZ69" s="200">
        <f t="shared" si="115"/>
        <v>0</v>
      </c>
      <c r="DA69" s="200">
        <f t="shared" si="115"/>
        <v>0</v>
      </c>
      <c r="DB69" s="200">
        <f t="shared" si="115"/>
        <v>0</v>
      </c>
      <c r="DC69" s="200">
        <f t="shared" si="115"/>
        <v>0</v>
      </c>
      <c r="DD69" s="200">
        <f t="shared" si="115"/>
        <v>0</v>
      </c>
      <c r="DE69" s="200">
        <f t="shared" si="115"/>
        <v>0</v>
      </c>
      <c r="DF69" s="200">
        <f t="shared" si="115"/>
        <v>0</v>
      </c>
      <c r="DG69" s="200">
        <f t="shared" si="115"/>
        <v>0</v>
      </c>
      <c r="DH69" s="200">
        <f t="shared" si="115"/>
        <v>0</v>
      </c>
      <c r="DI69" s="200">
        <f t="shared" si="115"/>
        <v>0</v>
      </c>
      <c r="DJ69" s="200">
        <f t="shared" si="115"/>
        <v>0</v>
      </c>
      <c r="DK69" s="200">
        <f t="shared" si="115"/>
        <v>0</v>
      </c>
      <c r="DL69" s="200">
        <f t="shared" si="115"/>
        <v>0</v>
      </c>
      <c r="DM69" s="200">
        <f t="shared" si="115"/>
        <v>0</v>
      </c>
      <c r="DN69" s="200">
        <f t="shared" si="115"/>
        <v>0</v>
      </c>
      <c r="DO69" s="200">
        <f t="shared" si="115"/>
        <v>0</v>
      </c>
      <c r="DP69" s="200">
        <f t="shared" si="115"/>
        <v>0</v>
      </c>
      <c r="DQ69" s="200">
        <f t="shared" si="115"/>
        <v>0</v>
      </c>
      <c r="DR69" s="200">
        <f t="shared" si="115"/>
        <v>0</v>
      </c>
      <c r="DS69" s="200">
        <f t="shared" si="115"/>
        <v>0</v>
      </c>
      <c r="DT69" s="200">
        <f t="shared" si="115"/>
        <v>0</v>
      </c>
      <c r="DU69" s="200">
        <f t="shared" si="115"/>
        <v>0</v>
      </c>
      <c r="DV69" s="200">
        <f t="shared" si="115"/>
        <v>0</v>
      </c>
      <c r="DW69" s="200">
        <f t="shared" si="115"/>
        <v>0</v>
      </c>
      <c r="DX69" s="200">
        <f t="shared" si="115"/>
        <v>0</v>
      </c>
      <c r="DY69" s="200">
        <f t="shared" si="115"/>
        <v>0</v>
      </c>
      <c r="DZ69" s="200">
        <f t="shared" si="115"/>
        <v>0</v>
      </c>
      <c r="EA69" s="200">
        <f t="shared" si="115"/>
        <v>0</v>
      </c>
      <c r="EB69" s="200">
        <f t="shared" si="115"/>
        <v>0</v>
      </c>
      <c r="EC69" s="200">
        <f t="shared" si="115"/>
        <v>0</v>
      </c>
      <c r="ED69" s="200">
        <f t="shared" ref="ED69:GO69" si="116">IF(ED61=1,-EC72-ED68,0)*IF(AND(ED51=$C56,$C62=1,$C61=0),0,1)</f>
        <v>0</v>
      </c>
      <c r="EE69" s="200">
        <f t="shared" si="116"/>
        <v>0</v>
      </c>
      <c r="EF69" s="200">
        <f t="shared" si="116"/>
        <v>0</v>
      </c>
      <c r="EG69" s="200">
        <f t="shared" si="116"/>
        <v>0</v>
      </c>
      <c r="EH69" s="200">
        <f t="shared" si="116"/>
        <v>0</v>
      </c>
      <c r="EI69" s="200">
        <f t="shared" si="116"/>
        <v>0</v>
      </c>
      <c r="EJ69" s="200">
        <f t="shared" si="116"/>
        <v>0</v>
      </c>
      <c r="EK69" s="200">
        <f t="shared" si="116"/>
        <v>0</v>
      </c>
      <c r="EL69" s="200">
        <f t="shared" si="116"/>
        <v>0</v>
      </c>
      <c r="EM69" s="200">
        <f t="shared" si="116"/>
        <v>0</v>
      </c>
      <c r="EN69" s="200">
        <f t="shared" si="116"/>
        <v>0</v>
      </c>
      <c r="EO69" s="200">
        <f t="shared" si="116"/>
        <v>0</v>
      </c>
      <c r="EP69" s="200">
        <f t="shared" si="116"/>
        <v>0</v>
      </c>
      <c r="EQ69" s="200">
        <f t="shared" si="116"/>
        <v>0</v>
      </c>
      <c r="ER69" s="200">
        <f t="shared" si="116"/>
        <v>0</v>
      </c>
      <c r="ES69" s="200">
        <f t="shared" si="116"/>
        <v>0</v>
      </c>
      <c r="ET69" s="200">
        <f t="shared" si="116"/>
        <v>0</v>
      </c>
      <c r="EU69" s="200">
        <f t="shared" si="116"/>
        <v>0</v>
      </c>
      <c r="EV69" s="200">
        <f t="shared" si="116"/>
        <v>0</v>
      </c>
      <c r="EW69" s="200">
        <f t="shared" si="116"/>
        <v>0</v>
      </c>
      <c r="EX69" s="200">
        <f t="shared" si="116"/>
        <v>0</v>
      </c>
      <c r="EY69" s="200">
        <f t="shared" si="116"/>
        <v>0</v>
      </c>
      <c r="EZ69" s="200">
        <f t="shared" si="116"/>
        <v>0</v>
      </c>
      <c r="FA69" s="200">
        <f t="shared" si="116"/>
        <v>0</v>
      </c>
      <c r="FB69" s="200">
        <f t="shared" si="116"/>
        <v>0</v>
      </c>
      <c r="FC69" s="200">
        <f t="shared" si="116"/>
        <v>0</v>
      </c>
      <c r="FD69" s="200">
        <f t="shared" si="116"/>
        <v>0</v>
      </c>
      <c r="FE69" s="200">
        <f t="shared" si="116"/>
        <v>0</v>
      </c>
      <c r="FF69" s="200">
        <f t="shared" si="116"/>
        <v>0</v>
      </c>
      <c r="FG69" s="200">
        <f t="shared" si="116"/>
        <v>0</v>
      </c>
      <c r="FH69" s="200">
        <f t="shared" si="116"/>
        <v>0</v>
      </c>
      <c r="FI69" s="200">
        <f t="shared" si="116"/>
        <v>0</v>
      </c>
      <c r="FJ69" s="200">
        <f t="shared" si="116"/>
        <v>0</v>
      </c>
      <c r="FK69" s="200">
        <f t="shared" si="116"/>
        <v>0</v>
      </c>
      <c r="FL69" s="200">
        <f t="shared" si="116"/>
        <v>0</v>
      </c>
      <c r="FM69" s="200">
        <f t="shared" si="116"/>
        <v>0</v>
      </c>
      <c r="FN69" s="200">
        <f t="shared" si="116"/>
        <v>0</v>
      </c>
      <c r="FO69" s="200">
        <f t="shared" si="116"/>
        <v>0</v>
      </c>
      <c r="FP69" s="200">
        <f t="shared" si="116"/>
        <v>0</v>
      </c>
      <c r="FQ69" s="200">
        <f t="shared" si="116"/>
        <v>0</v>
      </c>
      <c r="FR69" s="200">
        <f t="shared" si="116"/>
        <v>0</v>
      </c>
      <c r="FS69" s="200">
        <f t="shared" si="116"/>
        <v>0</v>
      </c>
      <c r="FT69" s="200">
        <f t="shared" si="116"/>
        <v>0</v>
      </c>
      <c r="FU69" s="200">
        <f t="shared" si="116"/>
        <v>0</v>
      </c>
      <c r="FV69" s="200">
        <f t="shared" si="116"/>
        <v>0</v>
      </c>
      <c r="FW69" s="200">
        <f t="shared" si="116"/>
        <v>0</v>
      </c>
      <c r="FX69" s="200">
        <f t="shared" si="116"/>
        <v>0</v>
      </c>
      <c r="FY69" s="200">
        <f t="shared" si="116"/>
        <v>0</v>
      </c>
      <c r="FZ69" s="200">
        <f t="shared" si="116"/>
        <v>0</v>
      </c>
      <c r="GA69" s="200">
        <f t="shared" si="116"/>
        <v>0</v>
      </c>
      <c r="GB69" s="200">
        <f t="shared" si="116"/>
        <v>0</v>
      </c>
      <c r="GC69" s="200">
        <f t="shared" si="116"/>
        <v>0</v>
      </c>
      <c r="GD69" s="200">
        <f t="shared" si="116"/>
        <v>0</v>
      </c>
      <c r="GE69" s="200">
        <f t="shared" si="116"/>
        <v>0</v>
      </c>
      <c r="GF69" s="200">
        <f t="shared" si="116"/>
        <v>0</v>
      </c>
      <c r="GG69" s="200">
        <f t="shared" si="116"/>
        <v>0</v>
      </c>
      <c r="GH69" s="200">
        <f t="shared" si="116"/>
        <v>0</v>
      </c>
      <c r="GI69" s="200">
        <f t="shared" si="116"/>
        <v>0</v>
      </c>
      <c r="GJ69" s="200">
        <f t="shared" si="116"/>
        <v>0</v>
      </c>
      <c r="GK69" s="200">
        <f t="shared" si="116"/>
        <v>0</v>
      </c>
      <c r="GL69" s="200">
        <f t="shared" si="116"/>
        <v>0</v>
      </c>
      <c r="GM69" s="200">
        <f t="shared" si="116"/>
        <v>0</v>
      </c>
      <c r="GN69" s="200">
        <f t="shared" si="116"/>
        <v>0</v>
      </c>
      <c r="GO69" s="200">
        <f t="shared" si="116"/>
        <v>0</v>
      </c>
      <c r="GP69" s="200">
        <f t="shared" ref="GP69:GQ69" si="117">IF(GP61=1,-GO72-GP68,0)*IF(AND(GP51=$C56,$C62=1,$C61=0),0,1)</f>
        <v>0</v>
      </c>
      <c r="GQ69" s="200">
        <f t="shared" si="117"/>
        <v>0</v>
      </c>
    </row>
    <row r="70" spans="2:199" hidden="1" outlineLevel="1">
      <c r="B70" s="190" t="s">
        <v>392</v>
      </c>
      <c r="C70" s="192"/>
      <c r="D70" s="194"/>
      <c r="E70" s="201">
        <f>-E56*LOOKUP($C53,$E51:$GQ51,$E66:$GQ66)</f>
        <v>0</v>
      </c>
      <c r="F70" s="201">
        <f t="shared" ref="F70:BQ70" si="118">-F56*LOOKUP($C53,$E51:$GQ51,$E66:$GQ66)</f>
        <v>0</v>
      </c>
      <c r="G70" s="201">
        <f t="shared" si="118"/>
        <v>0</v>
      </c>
      <c r="H70" s="201">
        <f t="shared" si="118"/>
        <v>0</v>
      </c>
      <c r="I70" s="201">
        <f t="shared" si="118"/>
        <v>0</v>
      </c>
      <c r="J70" s="201">
        <f t="shared" si="118"/>
        <v>0</v>
      </c>
      <c r="K70" s="201">
        <f t="shared" si="118"/>
        <v>0</v>
      </c>
      <c r="L70" s="201">
        <f t="shared" si="118"/>
        <v>0</v>
      </c>
      <c r="M70" s="201">
        <f t="shared" si="118"/>
        <v>0</v>
      </c>
      <c r="N70" s="201">
        <f t="shared" si="118"/>
        <v>0</v>
      </c>
      <c r="O70" s="201">
        <f t="shared" si="118"/>
        <v>0</v>
      </c>
      <c r="P70" s="201">
        <f t="shared" si="118"/>
        <v>0</v>
      </c>
      <c r="Q70" s="201">
        <f t="shared" si="118"/>
        <v>0</v>
      </c>
      <c r="R70" s="201">
        <f t="shared" si="118"/>
        <v>0</v>
      </c>
      <c r="S70" s="201">
        <f t="shared" si="118"/>
        <v>0</v>
      </c>
      <c r="T70" s="201">
        <f t="shared" si="118"/>
        <v>0</v>
      </c>
      <c r="U70" s="201">
        <f t="shared" ref="U70" si="119">-U56*LOOKUP($C53,$E51:$GQ51,$E66:$GQ66)</f>
        <v>-125875</v>
      </c>
      <c r="V70" s="201">
        <f t="shared" si="118"/>
        <v>0</v>
      </c>
      <c r="W70" s="201">
        <f t="shared" si="118"/>
        <v>0</v>
      </c>
      <c r="X70" s="201">
        <f t="shared" si="118"/>
        <v>0</v>
      </c>
      <c r="Y70" s="201">
        <f t="shared" si="118"/>
        <v>0</v>
      </c>
      <c r="Z70" s="201">
        <f t="shared" si="118"/>
        <v>0</v>
      </c>
      <c r="AA70" s="201">
        <f t="shared" si="118"/>
        <v>0</v>
      </c>
      <c r="AB70" s="201">
        <f t="shared" si="118"/>
        <v>0</v>
      </c>
      <c r="AC70" s="201">
        <f t="shared" si="118"/>
        <v>0</v>
      </c>
      <c r="AD70" s="201">
        <f t="shared" si="118"/>
        <v>0</v>
      </c>
      <c r="AE70" s="201">
        <f t="shared" si="118"/>
        <v>0</v>
      </c>
      <c r="AF70" s="201">
        <f t="shared" si="118"/>
        <v>0</v>
      </c>
      <c r="AG70" s="201">
        <f t="shared" si="118"/>
        <v>0</v>
      </c>
      <c r="AH70" s="201">
        <f t="shared" si="118"/>
        <v>0</v>
      </c>
      <c r="AI70" s="201">
        <f t="shared" si="118"/>
        <v>0</v>
      </c>
      <c r="AJ70" s="201">
        <f t="shared" si="118"/>
        <v>0</v>
      </c>
      <c r="AK70" s="201">
        <f t="shared" si="118"/>
        <v>0</v>
      </c>
      <c r="AL70" s="201">
        <f t="shared" si="118"/>
        <v>0</v>
      </c>
      <c r="AM70" s="201">
        <f t="shared" si="118"/>
        <v>0</v>
      </c>
      <c r="AN70" s="201">
        <f t="shared" si="118"/>
        <v>0</v>
      </c>
      <c r="AO70" s="201">
        <f t="shared" si="118"/>
        <v>0</v>
      </c>
      <c r="AP70" s="201">
        <f t="shared" si="118"/>
        <v>0</v>
      </c>
      <c r="AQ70" s="201">
        <f t="shared" si="118"/>
        <v>0</v>
      </c>
      <c r="AR70" s="201">
        <f t="shared" si="118"/>
        <v>0</v>
      </c>
      <c r="AS70" s="201">
        <f t="shared" si="118"/>
        <v>0</v>
      </c>
      <c r="AT70" s="201">
        <f t="shared" si="118"/>
        <v>0</v>
      </c>
      <c r="AU70" s="201">
        <f t="shared" si="118"/>
        <v>0</v>
      </c>
      <c r="AV70" s="201">
        <f t="shared" si="118"/>
        <v>0</v>
      </c>
      <c r="AW70" s="201">
        <f t="shared" si="118"/>
        <v>0</v>
      </c>
      <c r="AX70" s="201">
        <f t="shared" si="118"/>
        <v>0</v>
      </c>
      <c r="AY70" s="201">
        <f t="shared" si="118"/>
        <v>0</v>
      </c>
      <c r="AZ70" s="201">
        <f t="shared" si="118"/>
        <v>0</v>
      </c>
      <c r="BA70" s="201">
        <f t="shared" si="118"/>
        <v>0</v>
      </c>
      <c r="BB70" s="201">
        <f t="shared" si="118"/>
        <v>0</v>
      </c>
      <c r="BC70" s="201">
        <f t="shared" si="118"/>
        <v>0</v>
      </c>
      <c r="BD70" s="201">
        <f t="shared" si="118"/>
        <v>0</v>
      </c>
      <c r="BE70" s="201">
        <f t="shared" si="118"/>
        <v>0</v>
      </c>
      <c r="BF70" s="201">
        <f t="shared" si="118"/>
        <v>0</v>
      </c>
      <c r="BG70" s="201">
        <f t="shared" si="118"/>
        <v>0</v>
      </c>
      <c r="BH70" s="201">
        <f t="shared" si="118"/>
        <v>0</v>
      </c>
      <c r="BI70" s="201">
        <f t="shared" si="118"/>
        <v>0</v>
      </c>
      <c r="BJ70" s="201">
        <f t="shared" si="118"/>
        <v>0</v>
      </c>
      <c r="BK70" s="201">
        <f t="shared" si="118"/>
        <v>0</v>
      </c>
      <c r="BL70" s="201">
        <f t="shared" si="118"/>
        <v>0</v>
      </c>
      <c r="BM70" s="201">
        <f t="shared" si="118"/>
        <v>0</v>
      </c>
      <c r="BN70" s="201">
        <f t="shared" si="118"/>
        <v>0</v>
      </c>
      <c r="BO70" s="201">
        <f t="shared" si="118"/>
        <v>0</v>
      </c>
      <c r="BP70" s="201">
        <f t="shared" si="118"/>
        <v>0</v>
      </c>
      <c r="BQ70" s="201">
        <f t="shared" si="118"/>
        <v>0</v>
      </c>
      <c r="BR70" s="201">
        <f t="shared" ref="BR70:EC70" si="120">-BR56*LOOKUP($C53,$E51:$GQ51,$E66:$GQ66)</f>
        <v>0</v>
      </c>
      <c r="BS70" s="201">
        <f t="shared" si="120"/>
        <v>0</v>
      </c>
      <c r="BT70" s="201">
        <f t="shared" si="120"/>
        <v>0</v>
      </c>
      <c r="BU70" s="201">
        <f t="shared" si="120"/>
        <v>0</v>
      </c>
      <c r="BV70" s="201">
        <f t="shared" si="120"/>
        <v>0</v>
      </c>
      <c r="BW70" s="201">
        <f t="shared" si="120"/>
        <v>0</v>
      </c>
      <c r="BX70" s="201">
        <f t="shared" si="120"/>
        <v>0</v>
      </c>
      <c r="BY70" s="201">
        <f t="shared" si="120"/>
        <v>0</v>
      </c>
      <c r="BZ70" s="201">
        <f t="shared" si="120"/>
        <v>0</v>
      </c>
      <c r="CA70" s="201">
        <f t="shared" si="120"/>
        <v>0</v>
      </c>
      <c r="CB70" s="201">
        <f t="shared" si="120"/>
        <v>0</v>
      </c>
      <c r="CC70" s="201">
        <f t="shared" si="120"/>
        <v>0</v>
      </c>
      <c r="CD70" s="201">
        <f t="shared" si="120"/>
        <v>0</v>
      </c>
      <c r="CE70" s="201">
        <f t="shared" si="120"/>
        <v>0</v>
      </c>
      <c r="CF70" s="201">
        <f t="shared" si="120"/>
        <v>0</v>
      </c>
      <c r="CG70" s="201">
        <f t="shared" si="120"/>
        <v>0</v>
      </c>
      <c r="CH70" s="201">
        <f t="shared" si="120"/>
        <v>0</v>
      </c>
      <c r="CI70" s="201">
        <f t="shared" si="120"/>
        <v>0</v>
      </c>
      <c r="CJ70" s="201">
        <f t="shared" si="120"/>
        <v>0</v>
      </c>
      <c r="CK70" s="201">
        <f t="shared" si="120"/>
        <v>0</v>
      </c>
      <c r="CL70" s="201">
        <f t="shared" si="120"/>
        <v>0</v>
      </c>
      <c r="CM70" s="201">
        <f t="shared" si="120"/>
        <v>0</v>
      </c>
      <c r="CN70" s="201">
        <f t="shared" si="120"/>
        <v>0</v>
      </c>
      <c r="CO70" s="201">
        <f t="shared" si="120"/>
        <v>0</v>
      </c>
      <c r="CP70" s="201">
        <f t="shared" si="120"/>
        <v>0</v>
      </c>
      <c r="CQ70" s="201">
        <f t="shared" si="120"/>
        <v>0</v>
      </c>
      <c r="CR70" s="201">
        <f t="shared" si="120"/>
        <v>0</v>
      </c>
      <c r="CS70" s="201">
        <f t="shared" si="120"/>
        <v>0</v>
      </c>
      <c r="CT70" s="201">
        <f t="shared" si="120"/>
        <v>0</v>
      </c>
      <c r="CU70" s="201">
        <f t="shared" si="120"/>
        <v>0</v>
      </c>
      <c r="CV70" s="201">
        <f t="shared" si="120"/>
        <v>0</v>
      </c>
      <c r="CW70" s="201">
        <f t="shared" si="120"/>
        <v>0</v>
      </c>
      <c r="CX70" s="201">
        <f t="shared" si="120"/>
        <v>0</v>
      </c>
      <c r="CY70" s="201">
        <f t="shared" si="120"/>
        <v>0</v>
      </c>
      <c r="CZ70" s="201">
        <f t="shared" si="120"/>
        <v>0</v>
      </c>
      <c r="DA70" s="201">
        <f t="shared" si="120"/>
        <v>0</v>
      </c>
      <c r="DB70" s="201">
        <f t="shared" si="120"/>
        <v>0</v>
      </c>
      <c r="DC70" s="201">
        <f t="shared" si="120"/>
        <v>0</v>
      </c>
      <c r="DD70" s="201">
        <f t="shared" si="120"/>
        <v>0</v>
      </c>
      <c r="DE70" s="201">
        <f t="shared" si="120"/>
        <v>0</v>
      </c>
      <c r="DF70" s="201">
        <f t="shared" si="120"/>
        <v>0</v>
      </c>
      <c r="DG70" s="201">
        <f t="shared" si="120"/>
        <v>0</v>
      </c>
      <c r="DH70" s="201">
        <f t="shared" si="120"/>
        <v>0</v>
      </c>
      <c r="DI70" s="201">
        <f t="shared" si="120"/>
        <v>0</v>
      </c>
      <c r="DJ70" s="201">
        <f t="shared" si="120"/>
        <v>0</v>
      </c>
      <c r="DK70" s="201">
        <f t="shared" si="120"/>
        <v>0</v>
      </c>
      <c r="DL70" s="201">
        <f t="shared" si="120"/>
        <v>0</v>
      </c>
      <c r="DM70" s="201">
        <f t="shared" si="120"/>
        <v>0</v>
      </c>
      <c r="DN70" s="201">
        <f t="shared" si="120"/>
        <v>0</v>
      </c>
      <c r="DO70" s="201">
        <f t="shared" si="120"/>
        <v>0</v>
      </c>
      <c r="DP70" s="201">
        <f t="shared" si="120"/>
        <v>0</v>
      </c>
      <c r="DQ70" s="201">
        <f t="shared" si="120"/>
        <v>0</v>
      </c>
      <c r="DR70" s="201">
        <f t="shared" si="120"/>
        <v>0</v>
      </c>
      <c r="DS70" s="201">
        <f t="shared" si="120"/>
        <v>0</v>
      </c>
      <c r="DT70" s="201">
        <f t="shared" si="120"/>
        <v>0</v>
      </c>
      <c r="DU70" s="201">
        <f t="shared" si="120"/>
        <v>0</v>
      </c>
      <c r="DV70" s="201">
        <f t="shared" si="120"/>
        <v>0</v>
      </c>
      <c r="DW70" s="201">
        <f t="shared" si="120"/>
        <v>0</v>
      </c>
      <c r="DX70" s="201">
        <f t="shared" si="120"/>
        <v>0</v>
      </c>
      <c r="DY70" s="201">
        <f t="shared" si="120"/>
        <v>0</v>
      </c>
      <c r="DZ70" s="201">
        <f t="shared" si="120"/>
        <v>0</v>
      </c>
      <c r="EA70" s="201">
        <f t="shared" si="120"/>
        <v>0</v>
      </c>
      <c r="EB70" s="201">
        <f t="shared" si="120"/>
        <v>0</v>
      </c>
      <c r="EC70" s="201">
        <f t="shared" si="120"/>
        <v>0</v>
      </c>
      <c r="ED70" s="201">
        <f t="shared" ref="ED70:GO70" si="121">-ED56*LOOKUP($C53,$E51:$GQ51,$E66:$GQ66)</f>
        <v>0</v>
      </c>
      <c r="EE70" s="201">
        <f t="shared" si="121"/>
        <v>0</v>
      </c>
      <c r="EF70" s="201">
        <f t="shared" si="121"/>
        <v>0</v>
      </c>
      <c r="EG70" s="201">
        <f t="shared" si="121"/>
        <v>0</v>
      </c>
      <c r="EH70" s="201">
        <f t="shared" si="121"/>
        <v>0</v>
      </c>
      <c r="EI70" s="201">
        <f t="shared" si="121"/>
        <v>0</v>
      </c>
      <c r="EJ70" s="201">
        <f t="shared" si="121"/>
        <v>0</v>
      </c>
      <c r="EK70" s="201">
        <f t="shared" si="121"/>
        <v>0</v>
      </c>
      <c r="EL70" s="201">
        <f t="shared" si="121"/>
        <v>0</v>
      </c>
      <c r="EM70" s="201">
        <f t="shared" si="121"/>
        <v>0</v>
      </c>
      <c r="EN70" s="201">
        <f t="shared" si="121"/>
        <v>0</v>
      </c>
      <c r="EO70" s="201">
        <f t="shared" si="121"/>
        <v>0</v>
      </c>
      <c r="EP70" s="201">
        <f t="shared" si="121"/>
        <v>0</v>
      </c>
      <c r="EQ70" s="201">
        <f t="shared" si="121"/>
        <v>0</v>
      </c>
      <c r="ER70" s="201">
        <f t="shared" si="121"/>
        <v>0</v>
      </c>
      <c r="ES70" s="201">
        <f t="shared" si="121"/>
        <v>0</v>
      </c>
      <c r="ET70" s="201">
        <f t="shared" si="121"/>
        <v>0</v>
      </c>
      <c r="EU70" s="201">
        <f t="shared" si="121"/>
        <v>0</v>
      </c>
      <c r="EV70" s="201">
        <f t="shared" si="121"/>
        <v>0</v>
      </c>
      <c r="EW70" s="201">
        <f t="shared" si="121"/>
        <v>0</v>
      </c>
      <c r="EX70" s="201">
        <f t="shared" si="121"/>
        <v>0</v>
      </c>
      <c r="EY70" s="201">
        <f t="shared" si="121"/>
        <v>0</v>
      </c>
      <c r="EZ70" s="201">
        <f t="shared" si="121"/>
        <v>0</v>
      </c>
      <c r="FA70" s="201">
        <f t="shared" si="121"/>
        <v>0</v>
      </c>
      <c r="FB70" s="201">
        <f t="shared" si="121"/>
        <v>0</v>
      </c>
      <c r="FC70" s="201">
        <f t="shared" si="121"/>
        <v>0</v>
      </c>
      <c r="FD70" s="201">
        <f t="shared" si="121"/>
        <v>0</v>
      </c>
      <c r="FE70" s="201">
        <f t="shared" si="121"/>
        <v>0</v>
      </c>
      <c r="FF70" s="201">
        <f t="shared" si="121"/>
        <v>0</v>
      </c>
      <c r="FG70" s="201">
        <f t="shared" si="121"/>
        <v>0</v>
      </c>
      <c r="FH70" s="201">
        <f t="shared" si="121"/>
        <v>0</v>
      </c>
      <c r="FI70" s="201">
        <f t="shared" si="121"/>
        <v>0</v>
      </c>
      <c r="FJ70" s="201">
        <f t="shared" si="121"/>
        <v>0</v>
      </c>
      <c r="FK70" s="201">
        <f t="shared" si="121"/>
        <v>0</v>
      </c>
      <c r="FL70" s="201">
        <f t="shared" si="121"/>
        <v>0</v>
      </c>
      <c r="FM70" s="201">
        <f t="shared" si="121"/>
        <v>0</v>
      </c>
      <c r="FN70" s="201">
        <f t="shared" si="121"/>
        <v>0</v>
      </c>
      <c r="FO70" s="201">
        <f t="shared" si="121"/>
        <v>0</v>
      </c>
      <c r="FP70" s="201">
        <f t="shared" si="121"/>
        <v>0</v>
      </c>
      <c r="FQ70" s="201">
        <f t="shared" si="121"/>
        <v>0</v>
      </c>
      <c r="FR70" s="201">
        <f t="shared" si="121"/>
        <v>0</v>
      </c>
      <c r="FS70" s="201">
        <f t="shared" si="121"/>
        <v>0</v>
      </c>
      <c r="FT70" s="201">
        <f t="shared" si="121"/>
        <v>0</v>
      </c>
      <c r="FU70" s="201">
        <f t="shared" si="121"/>
        <v>0</v>
      </c>
      <c r="FV70" s="201">
        <f t="shared" si="121"/>
        <v>0</v>
      </c>
      <c r="FW70" s="201">
        <f t="shared" si="121"/>
        <v>0</v>
      </c>
      <c r="FX70" s="201">
        <f t="shared" si="121"/>
        <v>0</v>
      </c>
      <c r="FY70" s="201">
        <f t="shared" si="121"/>
        <v>0</v>
      </c>
      <c r="FZ70" s="201">
        <f t="shared" si="121"/>
        <v>0</v>
      </c>
      <c r="GA70" s="201">
        <f t="shared" si="121"/>
        <v>0</v>
      </c>
      <c r="GB70" s="201">
        <f t="shared" si="121"/>
        <v>0</v>
      </c>
      <c r="GC70" s="201">
        <f t="shared" si="121"/>
        <v>0</v>
      </c>
      <c r="GD70" s="201">
        <f t="shared" si="121"/>
        <v>0</v>
      </c>
      <c r="GE70" s="201">
        <f t="shared" si="121"/>
        <v>0</v>
      </c>
      <c r="GF70" s="201">
        <f t="shared" si="121"/>
        <v>0</v>
      </c>
      <c r="GG70" s="201">
        <f t="shared" si="121"/>
        <v>0</v>
      </c>
      <c r="GH70" s="201">
        <f t="shared" si="121"/>
        <v>0</v>
      </c>
      <c r="GI70" s="201">
        <f t="shared" si="121"/>
        <v>0</v>
      </c>
      <c r="GJ70" s="201">
        <f t="shared" si="121"/>
        <v>0</v>
      </c>
      <c r="GK70" s="201">
        <f t="shared" si="121"/>
        <v>0</v>
      </c>
      <c r="GL70" s="201">
        <f t="shared" si="121"/>
        <v>0</v>
      </c>
      <c r="GM70" s="201">
        <f t="shared" si="121"/>
        <v>0</v>
      </c>
      <c r="GN70" s="201">
        <f t="shared" si="121"/>
        <v>0</v>
      </c>
      <c r="GO70" s="201">
        <f t="shared" si="121"/>
        <v>0</v>
      </c>
      <c r="GP70" s="201">
        <f t="shared" ref="GP70:GQ70" si="122">-GP56*LOOKUP($C53,$E51:$GQ51,$E66:$GQ66)</f>
        <v>0</v>
      </c>
      <c r="GQ70" s="201">
        <f t="shared" si="122"/>
        <v>0</v>
      </c>
    </row>
    <row r="71" spans="2:199" s="154" customFormat="1" hidden="1" outlineLevel="1">
      <c r="B71" s="190" t="s">
        <v>393</v>
      </c>
      <c r="C71" s="195"/>
      <c r="D71" s="188"/>
      <c r="E71" s="189">
        <v>125875</v>
      </c>
      <c r="F71" s="189">
        <f t="shared" ref="F71:BP71" si="123">IF(SUM(F65:F70)&lt;0.00000001,ROUND(SUM(F65:F70),7),SUM(F65:F70))</f>
        <v>127129.72199999999</v>
      </c>
      <c r="G71" s="189">
        <f t="shared" si="123"/>
        <v>128183.373135936</v>
      </c>
      <c r="H71" s="189">
        <f t="shared" si="123"/>
        <v>129346.25269702521</v>
      </c>
      <c r="I71" s="189">
        <f t="shared" si="123"/>
        <v>130360.32731816989</v>
      </c>
      <c r="J71" s="189">
        <f t="shared" si="123"/>
        <v>131440.06513373606</v>
      </c>
      <c r="K71" s="189">
        <f t="shared" si="123"/>
        <v>132376.88338026914</v>
      </c>
      <c r="L71" s="189">
        <f t="shared" si="123"/>
        <v>133403.74827348097</v>
      </c>
      <c r="M71" s="189">
        <f t="shared" si="123"/>
        <v>134467.50652954183</v>
      </c>
      <c r="N71" s="189">
        <f t="shared" si="123"/>
        <v>135350.95705960365</v>
      </c>
      <c r="O71" s="189">
        <f t="shared" si="123"/>
        <v>136382.71250753463</v>
      </c>
      <c r="P71" s="189">
        <f t="shared" si="123"/>
        <v>137326.59332939249</v>
      </c>
      <c r="Q71" s="189">
        <f t="shared" si="123"/>
        <v>138277.00658479342</v>
      </c>
      <c r="R71" s="189">
        <f t="shared" si="123"/>
        <v>139331.06677000973</v>
      </c>
      <c r="S71" s="189">
        <f t="shared" si="123"/>
        <v>140197.60429265199</v>
      </c>
      <c r="T71" s="189">
        <f t="shared" si="123"/>
        <v>141167.88731114633</v>
      </c>
      <c r="U71" s="189">
        <f t="shared" si="123"/>
        <v>0</v>
      </c>
      <c r="V71" s="189">
        <f t="shared" si="123"/>
        <v>0</v>
      </c>
      <c r="W71" s="189">
        <f t="shared" si="123"/>
        <v>0</v>
      </c>
      <c r="X71" s="189">
        <f t="shared" si="123"/>
        <v>0</v>
      </c>
      <c r="Y71" s="189">
        <f t="shared" si="123"/>
        <v>0</v>
      </c>
      <c r="Z71" s="189">
        <f t="shared" si="123"/>
        <v>0</v>
      </c>
      <c r="AA71" s="189">
        <f t="shared" si="123"/>
        <v>0</v>
      </c>
      <c r="AB71" s="189">
        <f t="shared" si="123"/>
        <v>0</v>
      </c>
      <c r="AC71" s="189">
        <f t="shared" si="123"/>
        <v>0</v>
      </c>
      <c r="AD71" s="189">
        <f t="shared" si="123"/>
        <v>0</v>
      </c>
      <c r="AE71" s="189">
        <f t="shared" si="123"/>
        <v>0</v>
      </c>
      <c r="AF71" s="189">
        <f t="shared" si="123"/>
        <v>0</v>
      </c>
      <c r="AG71" s="189">
        <f t="shared" si="123"/>
        <v>0</v>
      </c>
      <c r="AH71" s="189">
        <f t="shared" si="123"/>
        <v>0</v>
      </c>
      <c r="AI71" s="189">
        <f t="shared" si="123"/>
        <v>0</v>
      </c>
      <c r="AJ71" s="189">
        <f t="shared" si="123"/>
        <v>0</v>
      </c>
      <c r="AK71" s="189">
        <f t="shared" si="123"/>
        <v>0</v>
      </c>
      <c r="AL71" s="189">
        <f t="shared" si="123"/>
        <v>0</v>
      </c>
      <c r="AM71" s="189">
        <f t="shared" si="123"/>
        <v>0</v>
      </c>
      <c r="AN71" s="189">
        <f t="shared" si="123"/>
        <v>0</v>
      </c>
      <c r="AO71" s="189">
        <f t="shared" si="123"/>
        <v>0</v>
      </c>
      <c r="AP71" s="189">
        <f t="shared" si="123"/>
        <v>0</v>
      </c>
      <c r="AQ71" s="189">
        <f t="shared" si="123"/>
        <v>0</v>
      </c>
      <c r="AR71" s="189">
        <f t="shared" si="123"/>
        <v>0</v>
      </c>
      <c r="AS71" s="189">
        <f t="shared" si="123"/>
        <v>0</v>
      </c>
      <c r="AT71" s="189">
        <f t="shared" si="123"/>
        <v>0</v>
      </c>
      <c r="AU71" s="189">
        <f t="shared" si="123"/>
        <v>0</v>
      </c>
      <c r="AV71" s="189">
        <f t="shared" si="123"/>
        <v>0</v>
      </c>
      <c r="AW71" s="189">
        <f t="shared" si="123"/>
        <v>0</v>
      </c>
      <c r="AX71" s="189">
        <f t="shared" si="123"/>
        <v>0</v>
      </c>
      <c r="AY71" s="189">
        <f t="shared" si="123"/>
        <v>0</v>
      </c>
      <c r="AZ71" s="189">
        <f t="shared" si="123"/>
        <v>0</v>
      </c>
      <c r="BA71" s="189">
        <f t="shared" si="123"/>
        <v>0</v>
      </c>
      <c r="BB71" s="189">
        <f t="shared" si="123"/>
        <v>0</v>
      </c>
      <c r="BC71" s="189">
        <f t="shared" si="123"/>
        <v>0</v>
      </c>
      <c r="BD71" s="189">
        <f t="shared" si="123"/>
        <v>0</v>
      </c>
      <c r="BE71" s="189">
        <f t="shared" si="123"/>
        <v>0</v>
      </c>
      <c r="BF71" s="189">
        <f t="shared" si="123"/>
        <v>0</v>
      </c>
      <c r="BG71" s="189">
        <f t="shared" si="123"/>
        <v>0</v>
      </c>
      <c r="BH71" s="189">
        <f t="shared" si="123"/>
        <v>0</v>
      </c>
      <c r="BI71" s="189">
        <f t="shared" si="123"/>
        <v>0</v>
      </c>
      <c r="BJ71" s="189">
        <f t="shared" si="123"/>
        <v>0</v>
      </c>
      <c r="BK71" s="189">
        <f t="shared" si="123"/>
        <v>0</v>
      </c>
      <c r="BL71" s="189">
        <f t="shared" si="123"/>
        <v>0</v>
      </c>
      <c r="BM71" s="189">
        <f t="shared" si="123"/>
        <v>0</v>
      </c>
      <c r="BN71" s="189">
        <f t="shared" si="123"/>
        <v>0</v>
      </c>
      <c r="BO71" s="189">
        <f t="shared" si="123"/>
        <v>0</v>
      </c>
      <c r="BP71" s="189">
        <f t="shared" si="123"/>
        <v>0</v>
      </c>
      <c r="BQ71" s="189">
        <f t="shared" ref="BQ71:EB71" si="124">IF(SUM(BQ65:BQ70)&lt;0.00000001,ROUND(SUM(BQ65:BQ70),7),SUM(BQ65:BQ70))</f>
        <v>0</v>
      </c>
      <c r="BR71" s="189">
        <f t="shared" si="124"/>
        <v>0</v>
      </c>
      <c r="BS71" s="189">
        <f t="shared" si="124"/>
        <v>0</v>
      </c>
      <c r="BT71" s="189">
        <f t="shared" si="124"/>
        <v>0</v>
      </c>
      <c r="BU71" s="189">
        <f t="shared" si="124"/>
        <v>0</v>
      </c>
      <c r="BV71" s="189">
        <f t="shared" si="124"/>
        <v>0</v>
      </c>
      <c r="BW71" s="189">
        <f t="shared" si="124"/>
        <v>0</v>
      </c>
      <c r="BX71" s="189">
        <f t="shared" si="124"/>
        <v>0</v>
      </c>
      <c r="BY71" s="189">
        <f t="shared" si="124"/>
        <v>0</v>
      </c>
      <c r="BZ71" s="189">
        <f t="shared" si="124"/>
        <v>0</v>
      </c>
      <c r="CA71" s="189">
        <f t="shared" si="124"/>
        <v>0</v>
      </c>
      <c r="CB71" s="189">
        <f t="shared" si="124"/>
        <v>0</v>
      </c>
      <c r="CC71" s="189">
        <f t="shared" si="124"/>
        <v>0</v>
      </c>
      <c r="CD71" s="189">
        <f t="shared" si="124"/>
        <v>0</v>
      </c>
      <c r="CE71" s="189">
        <f t="shared" si="124"/>
        <v>0</v>
      </c>
      <c r="CF71" s="189">
        <f t="shared" si="124"/>
        <v>0</v>
      </c>
      <c r="CG71" s="189">
        <f t="shared" si="124"/>
        <v>0</v>
      </c>
      <c r="CH71" s="189">
        <f t="shared" si="124"/>
        <v>0</v>
      </c>
      <c r="CI71" s="189">
        <f t="shared" si="124"/>
        <v>0</v>
      </c>
      <c r="CJ71" s="189">
        <f t="shared" si="124"/>
        <v>0</v>
      </c>
      <c r="CK71" s="189">
        <f t="shared" si="124"/>
        <v>0</v>
      </c>
      <c r="CL71" s="189">
        <f t="shared" si="124"/>
        <v>0</v>
      </c>
      <c r="CM71" s="189">
        <f t="shared" si="124"/>
        <v>0</v>
      </c>
      <c r="CN71" s="189">
        <f t="shared" si="124"/>
        <v>0</v>
      </c>
      <c r="CO71" s="189">
        <f t="shared" si="124"/>
        <v>0</v>
      </c>
      <c r="CP71" s="189">
        <f t="shared" si="124"/>
        <v>0</v>
      </c>
      <c r="CQ71" s="189">
        <f t="shared" si="124"/>
        <v>0</v>
      </c>
      <c r="CR71" s="189">
        <f t="shared" si="124"/>
        <v>0</v>
      </c>
      <c r="CS71" s="189">
        <f t="shared" si="124"/>
        <v>0</v>
      </c>
      <c r="CT71" s="189">
        <f t="shared" si="124"/>
        <v>0</v>
      </c>
      <c r="CU71" s="189">
        <f t="shared" si="124"/>
        <v>0</v>
      </c>
      <c r="CV71" s="189">
        <f t="shared" si="124"/>
        <v>0</v>
      </c>
      <c r="CW71" s="189">
        <f t="shared" si="124"/>
        <v>0</v>
      </c>
      <c r="CX71" s="189">
        <f t="shared" si="124"/>
        <v>0</v>
      </c>
      <c r="CY71" s="189">
        <f t="shared" si="124"/>
        <v>0</v>
      </c>
      <c r="CZ71" s="189">
        <f t="shared" si="124"/>
        <v>0</v>
      </c>
      <c r="DA71" s="189">
        <f t="shared" si="124"/>
        <v>0</v>
      </c>
      <c r="DB71" s="189">
        <f t="shared" si="124"/>
        <v>0</v>
      </c>
      <c r="DC71" s="189">
        <f t="shared" si="124"/>
        <v>0</v>
      </c>
      <c r="DD71" s="189">
        <f t="shared" si="124"/>
        <v>0</v>
      </c>
      <c r="DE71" s="189">
        <f t="shared" si="124"/>
        <v>0</v>
      </c>
      <c r="DF71" s="189">
        <f t="shared" si="124"/>
        <v>0</v>
      </c>
      <c r="DG71" s="189">
        <f t="shared" si="124"/>
        <v>0</v>
      </c>
      <c r="DH71" s="189">
        <f t="shared" si="124"/>
        <v>0</v>
      </c>
      <c r="DI71" s="189">
        <f t="shared" si="124"/>
        <v>0</v>
      </c>
      <c r="DJ71" s="189">
        <f t="shared" si="124"/>
        <v>0</v>
      </c>
      <c r="DK71" s="189">
        <f t="shared" si="124"/>
        <v>0</v>
      </c>
      <c r="DL71" s="189">
        <f t="shared" si="124"/>
        <v>0</v>
      </c>
      <c r="DM71" s="189">
        <f t="shared" si="124"/>
        <v>0</v>
      </c>
      <c r="DN71" s="189">
        <f t="shared" si="124"/>
        <v>0</v>
      </c>
      <c r="DO71" s="189">
        <f t="shared" si="124"/>
        <v>0</v>
      </c>
      <c r="DP71" s="189">
        <f t="shared" si="124"/>
        <v>0</v>
      </c>
      <c r="DQ71" s="189">
        <f t="shared" si="124"/>
        <v>0</v>
      </c>
      <c r="DR71" s="189">
        <f t="shared" si="124"/>
        <v>0</v>
      </c>
      <c r="DS71" s="189">
        <f t="shared" si="124"/>
        <v>0</v>
      </c>
      <c r="DT71" s="189">
        <f t="shared" si="124"/>
        <v>0</v>
      </c>
      <c r="DU71" s="189">
        <f t="shared" si="124"/>
        <v>0</v>
      </c>
      <c r="DV71" s="189">
        <f t="shared" si="124"/>
        <v>0</v>
      </c>
      <c r="DW71" s="189">
        <f t="shared" si="124"/>
        <v>0</v>
      </c>
      <c r="DX71" s="189">
        <f t="shared" si="124"/>
        <v>0</v>
      </c>
      <c r="DY71" s="189">
        <f t="shared" si="124"/>
        <v>0</v>
      </c>
      <c r="DZ71" s="189">
        <f t="shared" si="124"/>
        <v>0</v>
      </c>
      <c r="EA71" s="189">
        <f t="shared" si="124"/>
        <v>0</v>
      </c>
      <c r="EB71" s="189">
        <f t="shared" si="124"/>
        <v>0</v>
      </c>
      <c r="EC71" s="189">
        <f t="shared" ref="EC71:GN71" si="125">IF(SUM(EC65:EC70)&lt;0.00000001,ROUND(SUM(EC65:EC70),7),SUM(EC65:EC70))</f>
        <v>0</v>
      </c>
      <c r="ED71" s="189">
        <f t="shared" si="125"/>
        <v>0</v>
      </c>
      <c r="EE71" s="189">
        <f t="shared" si="125"/>
        <v>0</v>
      </c>
      <c r="EF71" s="189">
        <f t="shared" si="125"/>
        <v>0</v>
      </c>
      <c r="EG71" s="189">
        <f t="shared" si="125"/>
        <v>0</v>
      </c>
      <c r="EH71" s="189">
        <f t="shared" si="125"/>
        <v>0</v>
      </c>
      <c r="EI71" s="189">
        <f t="shared" si="125"/>
        <v>0</v>
      </c>
      <c r="EJ71" s="189">
        <f t="shared" si="125"/>
        <v>0</v>
      </c>
      <c r="EK71" s="189">
        <f t="shared" si="125"/>
        <v>0</v>
      </c>
      <c r="EL71" s="189">
        <f t="shared" si="125"/>
        <v>0</v>
      </c>
      <c r="EM71" s="189">
        <f t="shared" si="125"/>
        <v>0</v>
      </c>
      <c r="EN71" s="189">
        <f t="shared" si="125"/>
        <v>0</v>
      </c>
      <c r="EO71" s="189">
        <f t="shared" si="125"/>
        <v>0</v>
      </c>
      <c r="EP71" s="189">
        <f t="shared" si="125"/>
        <v>0</v>
      </c>
      <c r="EQ71" s="189">
        <f t="shared" si="125"/>
        <v>0</v>
      </c>
      <c r="ER71" s="189">
        <f t="shared" si="125"/>
        <v>0</v>
      </c>
      <c r="ES71" s="189">
        <f t="shared" si="125"/>
        <v>0</v>
      </c>
      <c r="ET71" s="189">
        <f t="shared" si="125"/>
        <v>0</v>
      </c>
      <c r="EU71" s="189">
        <f t="shared" si="125"/>
        <v>0</v>
      </c>
      <c r="EV71" s="189">
        <f t="shared" si="125"/>
        <v>0</v>
      </c>
      <c r="EW71" s="189">
        <f t="shared" si="125"/>
        <v>0</v>
      </c>
      <c r="EX71" s="189">
        <f t="shared" si="125"/>
        <v>0</v>
      </c>
      <c r="EY71" s="189">
        <f t="shared" si="125"/>
        <v>0</v>
      </c>
      <c r="EZ71" s="189">
        <f t="shared" si="125"/>
        <v>0</v>
      </c>
      <c r="FA71" s="189">
        <f t="shared" si="125"/>
        <v>0</v>
      </c>
      <c r="FB71" s="189">
        <f t="shared" si="125"/>
        <v>0</v>
      </c>
      <c r="FC71" s="189">
        <f t="shared" si="125"/>
        <v>0</v>
      </c>
      <c r="FD71" s="189">
        <f t="shared" si="125"/>
        <v>0</v>
      </c>
      <c r="FE71" s="189">
        <f t="shared" si="125"/>
        <v>0</v>
      </c>
      <c r="FF71" s="189">
        <f t="shared" si="125"/>
        <v>0</v>
      </c>
      <c r="FG71" s="189">
        <f t="shared" si="125"/>
        <v>0</v>
      </c>
      <c r="FH71" s="189">
        <f t="shared" si="125"/>
        <v>0</v>
      </c>
      <c r="FI71" s="189">
        <f t="shared" si="125"/>
        <v>0</v>
      </c>
      <c r="FJ71" s="189">
        <f t="shared" si="125"/>
        <v>0</v>
      </c>
      <c r="FK71" s="189">
        <f t="shared" si="125"/>
        <v>0</v>
      </c>
      <c r="FL71" s="189">
        <f t="shared" si="125"/>
        <v>0</v>
      </c>
      <c r="FM71" s="189">
        <f t="shared" si="125"/>
        <v>0</v>
      </c>
      <c r="FN71" s="189">
        <f t="shared" si="125"/>
        <v>0</v>
      </c>
      <c r="FO71" s="189">
        <f t="shared" si="125"/>
        <v>0</v>
      </c>
      <c r="FP71" s="189">
        <f t="shared" si="125"/>
        <v>0</v>
      </c>
      <c r="FQ71" s="189">
        <f t="shared" si="125"/>
        <v>0</v>
      </c>
      <c r="FR71" s="189">
        <f t="shared" si="125"/>
        <v>0</v>
      </c>
      <c r="FS71" s="189">
        <f t="shared" si="125"/>
        <v>0</v>
      </c>
      <c r="FT71" s="189">
        <f t="shared" si="125"/>
        <v>0</v>
      </c>
      <c r="FU71" s="189">
        <f t="shared" si="125"/>
        <v>0</v>
      </c>
      <c r="FV71" s="189">
        <f t="shared" si="125"/>
        <v>0</v>
      </c>
      <c r="FW71" s="189">
        <f t="shared" si="125"/>
        <v>0</v>
      </c>
      <c r="FX71" s="189">
        <f t="shared" si="125"/>
        <v>0</v>
      </c>
      <c r="FY71" s="189">
        <f t="shared" si="125"/>
        <v>0</v>
      </c>
      <c r="FZ71" s="189">
        <f t="shared" si="125"/>
        <v>0</v>
      </c>
      <c r="GA71" s="189">
        <f t="shared" si="125"/>
        <v>0</v>
      </c>
      <c r="GB71" s="189">
        <f t="shared" si="125"/>
        <v>0</v>
      </c>
      <c r="GC71" s="189">
        <f t="shared" si="125"/>
        <v>0</v>
      </c>
      <c r="GD71" s="189">
        <f t="shared" si="125"/>
        <v>0</v>
      </c>
      <c r="GE71" s="189">
        <f t="shared" si="125"/>
        <v>0</v>
      </c>
      <c r="GF71" s="189">
        <f t="shared" si="125"/>
        <v>0</v>
      </c>
      <c r="GG71" s="189">
        <f t="shared" si="125"/>
        <v>0</v>
      </c>
      <c r="GH71" s="189">
        <f t="shared" si="125"/>
        <v>0</v>
      </c>
      <c r="GI71" s="189">
        <f t="shared" si="125"/>
        <v>0</v>
      </c>
      <c r="GJ71" s="189">
        <f t="shared" si="125"/>
        <v>0</v>
      </c>
      <c r="GK71" s="189">
        <f t="shared" si="125"/>
        <v>0</v>
      </c>
      <c r="GL71" s="189">
        <f t="shared" si="125"/>
        <v>0</v>
      </c>
      <c r="GM71" s="189">
        <f t="shared" si="125"/>
        <v>0</v>
      </c>
      <c r="GN71" s="189">
        <f t="shared" si="125"/>
        <v>0</v>
      </c>
      <c r="GO71" s="189">
        <f t="shared" ref="GO71:GQ71" si="126">IF(SUM(GO65:GO70)&lt;0.00000001,ROUND(SUM(GO65:GO70),7),SUM(GO65:GO70))</f>
        <v>0</v>
      </c>
      <c r="GP71" s="189">
        <f t="shared" si="126"/>
        <v>0</v>
      </c>
      <c r="GQ71" s="189">
        <f t="shared" si="126"/>
        <v>0</v>
      </c>
    </row>
    <row r="72" spans="2:199" hidden="1" outlineLevel="1">
      <c r="B72" s="196" t="s">
        <v>396</v>
      </c>
      <c r="C72" s="197"/>
      <c r="D72" s="198"/>
      <c r="E72" s="210">
        <f>(E68+D72+E69)*IF(AND(E51=$C56,$C62),0,1)</f>
        <v>0</v>
      </c>
      <c r="F72" s="210">
        <f>(F68+E72+F69)*IF(AND(F51=$C56,$C62),0,1)</f>
        <v>1254.7220000000002</v>
      </c>
      <c r="G72" s="210">
        <f t="shared" ref="G72:BR72" si="127">(G68+F72+G69)*IF(AND(G51=$C56,$C62),0,1)</f>
        <v>2308.3731359360004</v>
      </c>
      <c r="H72" s="210">
        <f t="shared" si="127"/>
        <v>3471.252697025212</v>
      </c>
      <c r="I72" s="210">
        <f t="shared" si="127"/>
        <v>4485.3273181698896</v>
      </c>
      <c r="J72" s="210">
        <f t="shared" si="127"/>
        <v>5565.0651337360669</v>
      </c>
      <c r="K72" s="210">
        <f t="shared" si="127"/>
        <v>6501.8833802691515</v>
      </c>
      <c r="L72" s="210">
        <f t="shared" si="127"/>
        <v>7528.7482734809828</v>
      </c>
      <c r="M72" s="210">
        <f t="shared" si="127"/>
        <v>8592.5065295418517</v>
      </c>
      <c r="N72" s="210">
        <f t="shared" si="127"/>
        <v>9475.9570596036556</v>
      </c>
      <c r="O72" s="210">
        <f t="shared" si="127"/>
        <v>10507.712507534639</v>
      </c>
      <c r="P72" s="210">
        <f t="shared" si="127"/>
        <v>11451.593329392508</v>
      </c>
      <c r="Q72" s="210">
        <f t="shared" si="127"/>
        <v>12402.006584793422</v>
      </c>
      <c r="R72" s="210">
        <f t="shared" si="127"/>
        <v>13456.06677000972</v>
      </c>
      <c r="S72" s="210">
        <f t="shared" si="127"/>
        <v>14322.60429265198</v>
      </c>
      <c r="T72" s="210">
        <f t="shared" si="127"/>
        <v>15292.887311146325</v>
      </c>
      <c r="U72" s="210">
        <f t="shared" si="127"/>
        <v>0</v>
      </c>
      <c r="V72" s="210">
        <f t="shared" si="127"/>
        <v>0</v>
      </c>
      <c r="W72" s="210">
        <f t="shared" si="127"/>
        <v>0</v>
      </c>
      <c r="X72" s="210">
        <f t="shared" si="127"/>
        <v>0</v>
      </c>
      <c r="Y72" s="210">
        <f t="shared" si="127"/>
        <v>0</v>
      </c>
      <c r="Z72" s="210">
        <f t="shared" si="127"/>
        <v>0</v>
      </c>
      <c r="AA72" s="210">
        <f t="shared" si="127"/>
        <v>0</v>
      </c>
      <c r="AB72" s="210">
        <f t="shared" si="127"/>
        <v>0</v>
      </c>
      <c r="AC72" s="210">
        <f t="shared" si="127"/>
        <v>0</v>
      </c>
      <c r="AD72" s="210">
        <f t="shared" si="127"/>
        <v>0</v>
      </c>
      <c r="AE72" s="210">
        <f t="shared" si="127"/>
        <v>0</v>
      </c>
      <c r="AF72" s="210">
        <f t="shared" si="127"/>
        <v>0</v>
      </c>
      <c r="AG72" s="210">
        <f t="shared" si="127"/>
        <v>0</v>
      </c>
      <c r="AH72" s="210">
        <f t="shared" si="127"/>
        <v>0</v>
      </c>
      <c r="AI72" s="210">
        <f t="shared" si="127"/>
        <v>0</v>
      </c>
      <c r="AJ72" s="210">
        <f t="shared" si="127"/>
        <v>0</v>
      </c>
      <c r="AK72" s="210">
        <f t="shared" si="127"/>
        <v>0</v>
      </c>
      <c r="AL72" s="210">
        <f t="shared" si="127"/>
        <v>0</v>
      </c>
      <c r="AM72" s="210">
        <f t="shared" si="127"/>
        <v>0</v>
      </c>
      <c r="AN72" s="210">
        <f t="shared" si="127"/>
        <v>0</v>
      </c>
      <c r="AO72" s="210">
        <f t="shared" si="127"/>
        <v>0</v>
      </c>
      <c r="AP72" s="210">
        <f t="shared" si="127"/>
        <v>0</v>
      </c>
      <c r="AQ72" s="210">
        <f t="shared" si="127"/>
        <v>0</v>
      </c>
      <c r="AR72" s="210">
        <f t="shared" si="127"/>
        <v>0</v>
      </c>
      <c r="AS72" s="210">
        <f t="shared" si="127"/>
        <v>0</v>
      </c>
      <c r="AT72" s="210">
        <f t="shared" si="127"/>
        <v>0</v>
      </c>
      <c r="AU72" s="210">
        <f t="shared" si="127"/>
        <v>0</v>
      </c>
      <c r="AV72" s="210">
        <f t="shared" si="127"/>
        <v>0</v>
      </c>
      <c r="AW72" s="210">
        <f t="shared" si="127"/>
        <v>0</v>
      </c>
      <c r="AX72" s="210">
        <f t="shared" si="127"/>
        <v>0</v>
      </c>
      <c r="AY72" s="210">
        <f t="shared" si="127"/>
        <v>0</v>
      </c>
      <c r="AZ72" s="210">
        <f t="shared" si="127"/>
        <v>0</v>
      </c>
      <c r="BA72" s="210">
        <f t="shared" si="127"/>
        <v>0</v>
      </c>
      <c r="BB72" s="210">
        <f t="shared" si="127"/>
        <v>0</v>
      </c>
      <c r="BC72" s="210">
        <f t="shared" si="127"/>
        <v>0</v>
      </c>
      <c r="BD72" s="210">
        <f t="shared" si="127"/>
        <v>0</v>
      </c>
      <c r="BE72" s="210">
        <f t="shared" si="127"/>
        <v>0</v>
      </c>
      <c r="BF72" s="210">
        <f t="shared" si="127"/>
        <v>0</v>
      </c>
      <c r="BG72" s="210">
        <f t="shared" si="127"/>
        <v>0</v>
      </c>
      <c r="BH72" s="210">
        <f t="shared" si="127"/>
        <v>0</v>
      </c>
      <c r="BI72" s="210">
        <f t="shared" si="127"/>
        <v>0</v>
      </c>
      <c r="BJ72" s="210">
        <f t="shared" si="127"/>
        <v>0</v>
      </c>
      <c r="BK72" s="210">
        <f t="shared" si="127"/>
        <v>0</v>
      </c>
      <c r="BL72" s="210">
        <f t="shared" si="127"/>
        <v>0</v>
      </c>
      <c r="BM72" s="210">
        <f t="shared" si="127"/>
        <v>0</v>
      </c>
      <c r="BN72" s="210">
        <f t="shared" si="127"/>
        <v>0</v>
      </c>
      <c r="BO72" s="210">
        <f t="shared" si="127"/>
        <v>0</v>
      </c>
      <c r="BP72" s="210">
        <f t="shared" si="127"/>
        <v>0</v>
      </c>
      <c r="BQ72" s="210">
        <f t="shared" si="127"/>
        <v>0</v>
      </c>
      <c r="BR72" s="210">
        <f t="shared" si="127"/>
        <v>0</v>
      </c>
      <c r="BS72" s="210">
        <f t="shared" ref="BS72:ED72" si="128">(BS68+BR72+BS69)*IF(AND(BS51=$C56,$C62),0,1)</f>
        <v>0</v>
      </c>
      <c r="BT72" s="210">
        <f t="shared" si="128"/>
        <v>0</v>
      </c>
      <c r="BU72" s="210">
        <f t="shared" si="128"/>
        <v>0</v>
      </c>
      <c r="BV72" s="210">
        <f t="shared" si="128"/>
        <v>0</v>
      </c>
      <c r="BW72" s="210">
        <f t="shared" si="128"/>
        <v>0</v>
      </c>
      <c r="BX72" s="210">
        <f t="shared" si="128"/>
        <v>0</v>
      </c>
      <c r="BY72" s="210">
        <f t="shared" si="128"/>
        <v>0</v>
      </c>
      <c r="BZ72" s="210">
        <f t="shared" si="128"/>
        <v>0</v>
      </c>
      <c r="CA72" s="210">
        <f t="shared" si="128"/>
        <v>0</v>
      </c>
      <c r="CB72" s="210">
        <f t="shared" si="128"/>
        <v>0</v>
      </c>
      <c r="CC72" s="210">
        <f t="shared" si="128"/>
        <v>0</v>
      </c>
      <c r="CD72" s="210">
        <f t="shared" si="128"/>
        <v>0</v>
      </c>
      <c r="CE72" s="210">
        <f t="shared" si="128"/>
        <v>0</v>
      </c>
      <c r="CF72" s="210">
        <f t="shared" si="128"/>
        <v>0</v>
      </c>
      <c r="CG72" s="210">
        <f t="shared" si="128"/>
        <v>0</v>
      </c>
      <c r="CH72" s="210">
        <f t="shared" si="128"/>
        <v>0</v>
      </c>
      <c r="CI72" s="210">
        <f t="shared" si="128"/>
        <v>0</v>
      </c>
      <c r="CJ72" s="210">
        <f t="shared" si="128"/>
        <v>0</v>
      </c>
      <c r="CK72" s="210">
        <f t="shared" si="128"/>
        <v>0</v>
      </c>
      <c r="CL72" s="210">
        <f t="shared" si="128"/>
        <v>0</v>
      </c>
      <c r="CM72" s="210">
        <f t="shared" si="128"/>
        <v>0</v>
      </c>
      <c r="CN72" s="210">
        <f t="shared" si="128"/>
        <v>0</v>
      </c>
      <c r="CO72" s="210">
        <f t="shared" si="128"/>
        <v>0</v>
      </c>
      <c r="CP72" s="210">
        <f t="shared" si="128"/>
        <v>0</v>
      </c>
      <c r="CQ72" s="210">
        <f t="shared" si="128"/>
        <v>0</v>
      </c>
      <c r="CR72" s="210">
        <f t="shared" si="128"/>
        <v>0</v>
      </c>
      <c r="CS72" s="210">
        <f t="shared" si="128"/>
        <v>0</v>
      </c>
      <c r="CT72" s="210">
        <f t="shared" si="128"/>
        <v>0</v>
      </c>
      <c r="CU72" s="210">
        <f t="shared" si="128"/>
        <v>0</v>
      </c>
      <c r="CV72" s="210">
        <f t="shared" si="128"/>
        <v>0</v>
      </c>
      <c r="CW72" s="210">
        <f t="shared" si="128"/>
        <v>0</v>
      </c>
      <c r="CX72" s="210">
        <f t="shared" si="128"/>
        <v>0</v>
      </c>
      <c r="CY72" s="210">
        <f t="shared" si="128"/>
        <v>0</v>
      </c>
      <c r="CZ72" s="210">
        <f t="shared" si="128"/>
        <v>0</v>
      </c>
      <c r="DA72" s="210">
        <f t="shared" si="128"/>
        <v>0</v>
      </c>
      <c r="DB72" s="210">
        <f t="shared" si="128"/>
        <v>0</v>
      </c>
      <c r="DC72" s="210">
        <f t="shared" si="128"/>
        <v>0</v>
      </c>
      <c r="DD72" s="210">
        <f t="shared" si="128"/>
        <v>0</v>
      </c>
      <c r="DE72" s="210">
        <f t="shared" si="128"/>
        <v>0</v>
      </c>
      <c r="DF72" s="210">
        <f t="shared" si="128"/>
        <v>0</v>
      </c>
      <c r="DG72" s="210">
        <f t="shared" si="128"/>
        <v>0</v>
      </c>
      <c r="DH72" s="210">
        <f t="shared" si="128"/>
        <v>0</v>
      </c>
      <c r="DI72" s="210">
        <f t="shared" si="128"/>
        <v>0</v>
      </c>
      <c r="DJ72" s="210">
        <f t="shared" si="128"/>
        <v>0</v>
      </c>
      <c r="DK72" s="210">
        <f t="shared" si="128"/>
        <v>0</v>
      </c>
      <c r="DL72" s="210">
        <f t="shared" si="128"/>
        <v>0</v>
      </c>
      <c r="DM72" s="210">
        <f t="shared" si="128"/>
        <v>0</v>
      </c>
      <c r="DN72" s="210">
        <f t="shared" si="128"/>
        <v>0</v>
      </c>
      <c r="DO72" s="210">
        <f t="shared" si="128"/>
        <v>0</v>
      </c>
      <c r="DP72" s="210">
        <f t="shared" si="128"/>
        <v>0</v>
      </c>
      <c r="DQ72" s="210">
        <f t="shared" si="128"/>
        <v>0</v>
      </c>
      <c r="DR72" s="210">
        <f t="shared" si="128"/>
        <v>0</v>
      </c>
      <c r="DS72" s="210">
        <f t="shared" si="128"/>
        <v>0</v>
      </c>
      <c r="DT72" s="210">
        <f t="shared" si="128"/>
        <v>0</v>
      </c>
      <c r="DU72" s="210">
        <f t="shared" si="128"/>
        <v>0</v>
      </c>
      <c r="DV72" s="210">
        <f t="shared" si="128"/>
        <v>0</v>
      </c>
      <c r="DW72" s="210">
        <f t="shared" si="128"/>
        <v>0</v>
      </c>
      <c r="DX72" s="210">
        <f t="shared" si="128"/>
        <v>0</v>
      </c>
      <c r="DY72" s="210">
        <f t="shared" si="128"/>
        <v>0</v>
      </c>
      <c r="DZ72" s="210">
        <f t="shared" si="128"/>
        <v>0</v>
      </c>
      <c r="EA72" s="210">
        <f t="shared" si="128"/>
        <v>0</v>
      </c>
      <c r="EB72" s="210">
        <f t="shared" si="128"/>
        <v>0</v>
      </c>
      <c r="EC72" s="210">
        <f t="shared" si="128"/>
        <v>0</v>
      </c>
      <c r="ED72" s="210">
        <f t="shared" si="128"/>
        <v>0</v>
      </c>
      <c r="EE72" s="210">
        <f t="shared" ref="EE72:GP72" si="129">(EE68+ED72+EE69)*IF(AND(EE51=$C56,$C62),0,1)</f>
        <v>0</v>
      </c>
      <c r="EF72" s="210">
        <f t="shared" si="129"/>
        <v>0</v>
      </c>
      <c r="EG72" s="210">
        <f t="shared" si="129"/>
        <v>0</v>
      </c>
      <c r="EH72" s="210">
        <f t="shared" si="129"/>
        <v>0</v>
      </c>
      <c r="EI72" s="210">
        <f t="shared" si="129"/>
        <v>0</v>
      </c>
      <c r="EJ72" s="210">
        <f t="shared" si="129"/>
        <v>0</v>
      </c>
      <c r="EK72" s="210">
        <f t="shared" si="129"/>
        <v>0</v>
      </c>
      <c r="EL72" s="210">
        <f t="shared" si="129"/>
        <v>0</v>
      </c>
      <c r="EM72" s="210">
        <f t="shared" si="129"/>
        <v>0</v>
      </c>
      <c r="EN72" s="210">
        <f t="shared" si="129"/>
        <v>0</v>
      </c>
      <c r="EO72" s="210">
        <f t="shared" si="129"/>
        <v>0</v>
      </c>
      <c r="EP72" s="210">
        <f t="shared" si="129"/>
        <v>0</v>
      </c>
      <c r="EQ72" s="210">
        <f t="shared" si="129"/>
        <v>0</v>
      </c>
      <c r="ER72" s="210">
        <f t="shared" si="129"/>
        <v>0</v>
      </c>
      <c r="ES72" s="210">
        <f t="shared" si="129"/>
        <v>0</v>
      </c>
      <c r="ET72" s="210">
        <f t="shared" si="129"/>
        <v>0</v>
      </c>
      <c r="EU72" s="210">
        <f t="shared" si="129"/>
        <v>0</v>
      </c>
      <c r="EV72" s="210">
        <f t="shared" si="129"/>
        <v>0</v>
      </c>
      <c r="EW72" s="210">
        <f t="shared" si="129"/>
        <v>0</v>
      </c>
      <c r="EX72" s="210">
        <f t="shared" si="129"/>
        <v>0</v>
      </c>
      <c r="EY72" s="210">
        <f t="shared" si="129"/>
        <v>0</v>
      </c>
      <c r="EZ72" s="210">
        <f t="shared" si="129"/>
        <v>0</v>
      </c>
      <c r="FA72" s="210">
        <f t="shared" si="129"/>
        <v>0</v>
      </c>
      <c r="FB72" s="210">
        <f t="shared" si="129"/>
        <v>0</v>
      </c>
      <c r="FC72" s="210">
        <f t="shared" si="129"/>
        <v>0</v>
      </c>
      <c r="FD72" s="210">
        <f t="shared" si="129"/>
        <v>0</v>
      </c>
      <c r="FE72" s="210">
        <f t="shared" si="129"/>
        <v>0</v>
      </c>
      <c r="FF72" s="210">
        <f t="shared" si="129"/>
        <v>0</v>
      </c>
      <c r="FG72" s="210">
        <f t="shared" si="129"/>
        <v>0</v>
      </c>
      <c r="FH72" s="210">
        <f t="shared" si="129"/>
        <v>0</v>
      </c>
      <c r="FI72" s="210">
        <f t="shared" si="129"/>
        <v>0</v>
      </c>
      <c r="FJ72" s="210">
        <f t="shared" si="129"/>
        <v>0</v>
      </c>
      <c r="FK72" s="210">
        <f t="shared" si="129"/>
        <v>0</v>
      </c>
      <c r="FL72" s="210">
        <f t="shared" si="129"/>
        <v>0</v>
      </c>
      <c r="FM72" s="210">
        <f t="shared" si="129"/>
        <v>0</v>
      </c>
      <c r="FN72" s="210">
        <f t="shared" si="129"/>
        <v>0</v>
      </c>
      <c r="FO72" s="210">
        <f t="shared" si="129"/>
        <v>0</v>
      </c>
      <c r="FP72" s="210">
        <f t="shared" si="129"/>
        <v>0</v>
      </c>
      <c r="FQ72" s="210">
        <f t="shared" si="129"/>
        <v>0</v>
      </c>
      <c r="FR72" s="210">
        <f t="shared" si="129"/>
        <v>0</v>
      </c>
      <c r="FS72" s="210">
        <f t="shared" si="129"/>
        <v>0</v>
      </c>
      <c r="FT72" s="210">
        <f t="shared" si="129"/>
        <v>0</v>
      </c>
      <c r="FU72" s="210">
        <f t="shared" si="129"/>
        <v>0</v>
      </c>
      <c r="FV72" s="210">
        <f t="shared" si="129"/>
        <v>0</v>
      </c>
      <c r="FW72" s="210">
        <f t="shared" si="129"/>
        <v>0</v>
      </c>
      <c r="FX72" s="210">
        <f t="shared" si="129"/>
        <v>0</v>
      </c>
      <c r="FY72" s="210">
        <f t="shared" si="129"/>
        <v>0</v>
      </c>
      <c r="FZ72" s="210">
        <f t="shared" si="129"/>
        <v>0</v>
      </c>
      <c r="GA72" s="210">
        <f t="shared" si="129"/>
        <v>0</v>
      </c>
      <c r="GB72" s="210">
        <f t="shared" si="129"/>
        <v>0</v>
      </c>
      <c r="GC72" s="210">
        <f t="shared" si="129"/>
        <v>0</v>
      </c>
      <c r="GD72" s="210">
        <f t="shared" si="129"/>
        <v>0</v>
      </c>
      <c r="GE72" s="210">
        <f t="shared" si="129"/>
        <v>0</v>
      </c>
      <c r="GF72" s="210">
        <f t="shared" si="129"/>
        <v>0</v>
      </c>
      <c r="GG72" s="210">
        <f t="shared" si="129"/>
        <v>0</v>
      </c>
      <c r="GH72" s="210">
        <f t="shared" si="129"/>
        <v>0</v>
      </c>
      <c r="GI72" s="210">
        <f t="shared" si="129"/>
        <v>0</v>
      </c>
      <c r="GJ72" s="210">
        <f t="shared" si="129"/>
        <v>0</v>
      </c>
      <c r="GK72" s="210">
        <f t="shared" si="129"/>
        <v>0</v>
      </c>
      <c r="GL72" s="210">
        <f t="shared" si="129"/>
        <v>0</v>
      </c>
      <c r="GM72" s="210">
        <f t="shared" si="129"/>
        <v>0</v>
      </c>
      <c r="GN72" s="210">
        <f t="shared" si="129"/>
        <v>0</v>
      </c>
      <c r="GO72" s="210">
        <f t="shared" si="129"/>
        <v>0</v>
      </c>
      <c r="GP72" s="210">
        <f t="shared" si="129"/>
        <v>0</v>
      </c>
      <c r="GQ72" s="210">
        <f t="shared" ref="GQ72" si="130">(GQ68+GP72+GQ69)*IF(AND(GQ51=$C56,$C62),0,1)</f>
        <v>0</v>
      </c>
    </row>
    <row r="73" spans="2:199" hidden="1" outlineLevel="1">
      <c r="B73" s="183"/>
      <c r="C73" s="169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  <c r="BE73" s="171"/>
      <c r="BF73" s="171"/>
      <c r="BG73" s="171"/>
      <c r="BH73" s="171"/>
      <c r="BI73" s="171"/>
      <c r="BJ73" s="171"/>
      <c r="BK73" s="171"/>
      <c r="BL73" s="171"/>
      <c r="BM73" s="171"/>
      <c r="BN73" s="171"/>
      <c r="BO73" s="171"/>
      <c r="BP73" s="171"/>
      <c r="BQ73" s="171"/>
      <c r="BR73" s="171"/>
      <c r="BS73" s="171"/>
      <c r="BT73" s="171"/>
      <c r="BU73" s="171"/>
      <c r="BV73" s="171"/>
      <c r="BW73" s="171"/>
      <c r="BX73" s="171"/>
      <c r="BY73" s="171"/>
      <c r="BZ73" s="171"/>
      <c r="CA73" s="171"/>
      <c r="CB73" s="171"/>
      <c r="CC73" s="171"/>
      <c r="CD73" s="171"/>
      <c r="CE73" s="171"/>
      <c r="CF73" s="171"/>
      <c r="CG73" s="171"/>
      <c r="CH73" s="171"/>
      <c r="CI73" s="171"/>
      <c r="CJ73" s="171"/>
      <c r="CK73" s="171"/>
      <c r="CL73" s="171"/>
      <c r="CM73" s="171"/>
      <c r="CN73" s="171"/>
      <c r="CO73" s="171"/>
      <c r="CP73" s="171"/>
      <c r="CQ73" s="171"/>
      <c r="CR73" s="171"/>
      <c r="CS73" s="171"/>
      <c r="CT73" s="171"/>
      <c r="CU73" s="171"/>
      <c r="CV73" s="171"/>
      <c r="CW73" s="171"/>
      <c r="CX73" s="171"/>
      <c r="CY73" s="171"/>
      <c r="CZ73" s="171"/>
      <c r="DA73" s="171"/>
      <c r="DB73" s="171"/>
      <c r="DC73" s="171"/>
      <c r="DD73" s="171"/>
      <c r="DE73" s="171"/>
      <c r="DF73" s="171"/>
      <c r="DG73" s="171"/>
      <c r="DH73" s="171"/>
      <c r="DI73" s="171"/>
      <c r="DJ73" s="171"/>
      <c r="DK73" s="171"/>
      <c r="DL73" s="171"/>
      <c r="DM73" s="171"/>
      <c r="DN73" s="171"/>
      <c r="DO73" s="171"/>
      <c r="DP73" s="171"/>
      <c r="DQ73" s="171"/>
      <c r="DR73" s="171"/>
      <c r="DS73" s="171"/>
      <c r="DT73" s="171"/>
      <c r="DU73" s="171"/>
      <c r="DV73" s="171"/>
      <c r="DW73" s="171"/>
      <c r="DX73" s="171"/>
      <c r="DY73" s="171"/>
      <c r="DZ73" s="171"/>
      <c r="EA73" s="171"/>
      <c r="EB73" s="171"/>
      <c r="EC73" s="171"/>
      <c r="ED73" s="171"/>
      <c r="EE73" s="171"/>
      <c r="EF73" s="171"/>
      <c r="EG73" s="171"/>
      <c r="EH73" s="171"/>
      <c r="EI73" s="171"/>
      <c r="EJ73" s="171"/>
      <c r="EK73" s="171"/>
      <c r="EL73" s="171"/>
      <c r="EM73" s="171"/>
      <c r="EN73" s="171"/>
      <c r="EO73" s="171"/>
      <c r="EP73" s="171"/>
      <c r="EQ73" s="171"/>
      <c r="ER73" s="171"/>
      <c r="ES73" s="171"/>
      <c r="ET73" s="171"/>
      <c r="EU73" s="171"/>
      <c r="EV73" s="171"/>
      <c r="EW73" s="171"/>
      <c r="EX73" s="171"/>
      <c r="EY73" s="171"/>
      <c r="EZ73" s="171"/>
      <c r="FA73" s="171"/>
      <c r="FB73" s="171"/>
      <c r="FC73" s="171"/>
      <c r="FD73" s="171"/>
      <c r="FE73" s="171"/>
      <c r="FF73" s="171"/>
      <c r="FG73" s="171"/>
      <c r="FH73" s="171"/>
      <c r="FI73" s="171"/>
      <c r="FJ73" s="171"/>
      <c r="FK73" s="171"/>
      <c r="FL73" s="171"/>
      <c r="FM73" s="171"/>
      <c r="FN73" s="171"/>
      <c r="FO73" s="171"/>
      <c r="FP73" s="171"/>
      <c r="FQ73" s="171"/>
      <c r="FR73" s="171"/>
      <c r="FS73" s="171"/>
      <c r="FT73" s="171"/>
      <c r="FU73" s="171"/>
      <c r="FV73" s="171"/>
      <c r="FW73" s="171"/>
      <c r="FX73" s="171"/>
      <c r="FY73" s="171"/>
      <c r="FZ73" s="171"/>
      <c r="GA73" s="171"/>
      <c r="GB73" s="171"/>
      <c r="GC73" s="171"/>
      <c r="GD73" s="171"/>
      <c r="GE73" s="171"/>
      <c r="GF73" s="171"/>
      <c r="GG73" s="171"/>
      <c r="GH73" s="171"/>
      <c r="GI73" s="171"/>
      <c r="GJ73" s="171"/>
      <c r="GK73" s="171"/>
      <c r="GL73" s="171"/>
      <c r="GM73" s="171"/>
      <c r="GN73" s="171"/>
      <c r="GO73" s="171"/>
      <c r="GP73" s="171"/>
      <c r="GQ73" s="171"/>
    </row>
    <row r="74" spans="2:199" hidden="1" outlineLevel="1">
      <c r="B74" s="182" t="s">
        <v>397</v>
      </c>
      <c r="C74" s="158"/>
      <c r="D74" s="171"/>
      <c r="E74" s="172">
        <f t="shared" ref="E74:BP74" si="131">E70+E69</f>
        <v>0</v>
      </c>
      <c r="F74" s="172">
        <f t="shared" si="131"/>
        <v>0</v>
      </c>
      <c r="G74" s="172">
        <f t="shared" si="131"/>
        <v>0</v>
      </c>
      <c r="H74" s="172">
        <f t="shared" si="131"/>
        <v>0</v>
      </c>
      <c r="I74" s="172">
        <f t="shared" si="131"/>
        <v>0</v>
      </c>
      <c r="J74" s="172">
        <f t="shared" si="131"/>
        <v>0</v>
      </c>
      <c r="K74" s="172">
        <f t="shared" si="131"/>
        <v>0</v>
      </c>
      <c r="L74" s="172">
        <f t="shared" si="131"/>
        <v>0</v>
      </c>
      <c r="M74" s="172">
        <f t="shared" si="131"/>
        <v>0</v>
      </c>
      <c r="N74" s="172">
        <f t="shared" si="131"/>
        <v>0</v>
      </c>
      <c r="O74" s="172">
        <f t="shared" si="131"/>
        <v>0</v>
      </c>
      <c r="P74" s="172">
        <f t="shared" si="131"/>
        <v>0</v>
      </c>
      <c r="Q74" s="172">
        <f t="shared" si="131"/>
        <v>0</v>
      </c>
      <c r="R74" s="172">
        <f t="shared" si="131"/>
        <v>0</v>
      </c>
      <c r="S74" s="172">
        <f t="shared" si="131"/>
        <v>0</v>
      </c>
      <c r="T74" s="172">
        <f t="shared" si="131"/>
        <v>0</v>
      </c>
      <c r="U74" s="172">
        <f t="shared" si="131"/>
        <v>-142243.9841483637</v>
      </c>
      <c r="V74" s="172">
        <f t="shared" si="131"/>
        <v>0</v>
      </c>
      <c r="W74" s="172">
        <f t="shared" si="131"/>
        <v>0</v>
      </c>
      <c r="X74" s="172">
        <f t="shared" si="131"/>
        <v>0</v>
      </c>
      <c r="Y74" s="172">
        <f t="shared" si="131"/>
        <v>0</v>
      </c>
      <c r="Z74" s="172">
        <f t="shared" si="131"/>
        <v>0</v>
      </c>
      <c r="AA74" s="172">
        <f t="shared" si="131"/>
        <v>0</v>
      </c>
      <c r="AB74" s="172">
        <f t="shared" si="131"/>
        <v>0</v>
      </c>
      <c r="AC74" s="172">
        <f t="shared" si="131"/>
        <v>0</v>
      </c>
      <c r="AD74" s="172">
        <f t="shared" si="131"/>
        <v>0</v>
      </c>
      <c r="AE74" s="172">
        <f t="shared" si="131"/>
        <v>0</v>
      </c>
      <c r="AF74" s="172">
        <f t="shared" si="131"/>
        <v>0</v>
      </c>
      <c r="AG74" s="172">
        <f t="shared" si="131"/>
        <v>0</v>
      </c>
      <c r="AH74" s="172">
        <f t="shared" si="131"/>
        <v>0</v>
      </c>
      <c r="AI74" s="172">
        <f t="shared" si="131"/>
        <v>0</v>
      </c>
      <c r="AJ74" s="172">
        <f t="shared" si="131"/>
        <v>0</v>
      </c>
      <c r="AK74" s="172">
        <f t="shared" si="131"/>
        <v>0</v>
      </c>
      <c r="AL74" s="172">
        <f t="shared" si="131"/>
        <v>0</v>
      </c>
      <c r="AM74" s="172">
        <f t="shared" si="131"/>
        <v>0</v>
      </c>
      <c r="AN74" s="172">
        <f t="shared" si="131"/>
        <v>0</v>
      </c>
      <c r="AO74" s="172">
        <f t="shared" si="131"/>
        <v>0</v>
      </c>
      <c r="AP74" s="172">
        <f t="shared" si="131"/>
        <v>0</v>
      </c>
      <c r="AQ74" s="172">
        <f t="shared" si="131"/>
        <v>0</v>
      </c>
      <c r="AR74" s="172">
        <f t="shared" si="131"/>
        <v>0</v>
      </c>
      <c r="AS74" s="172">
        <f t="shared" si="131"/>
        <v>0</v>
      </c>
      <c r="AT74" s="172">
        <f t="shared" si="131"/>
        <v>0</v>
      </c>
      <c r="AU74" s="172">
        <f t="shared" si="131"/>
        <v>0</v>
      </c>
      <c r="AV74" s="172">
        <f t="shared" si="131"/>
        <v>0</v>
      </c>
      <c r="AW74" s="172">
        <f t="shared" si="131"/>
        <v>0</v>
      </c>
      <c r="AX74" s="172">
        <f t="shared" si="131"/>
        <v>0</v>
      </c>
      <c r="AY74" s="172">
        <f t="shared" si="131"/>
        <v>0</v>
      </c>
      <c r="AZ74" s="172">
        <f t="shared" si="131"/>
        <v>0</v>
      </c>
      <c r="BA74" s="172">
        <f t="shared" si="131"/>
        <v>0</v>
      </c>
      <c r="BB74" s="172">
        <f t="shared" si="131"/>
        <v>0</v>
      </c>
      <c r="BC74" s="172">
        <f t="shared" si="131"/>
        <v>0</v>
      </c>
      <c r="BD74" s="172">
        <f t="shared" si="131"/>
        <v>0</v>
      </c>
      <c r="BE74" s="172">
        <f t="shared" si="131"/>
        <v>0</v>
      </c>
      <c r="BF74" s="172">
        <f t="shared" si="131"/>
        <v>0</v>
      </c>
      <c r="BG74" s="172">
        <f t="shared" si="131"/>
        <v>0</v>
      </c>
      <c r="BH74" s="172">
        <f t="shared" si="131"/>
        <v>0</v>
      </c>
      <c r="BI74" s="172">
        <f t="shared" si="131"/>
        <v>0</v>
      </c>
      <c r="BJ74" s="172">
        <f t="shared" si="131"/>
        <v>0</v>
      </c>
      <c r="BK74" s="172">
        <f t="shared" si="131"/>
        <v>0</v>
      </c>
      <c r="BL74" s="172">
        <f t="shared" si="131"/>
        <v>0</v>
      </c>
      <c r="BM74" s="172">
        <f t="shared" si="131"/>
        <v>0</v>
      </c>
      <c r="BN74" s="172">
        <f t="shared" si="131"/>
        <v>0</v>
      </c>
      <c r="BO74" s="172">
        <f t="shared" si="131"/>
        <v>0</v>
      </c>
      <c r="BP74" s="172">
        <f t="shared" si="131"/>
        <v>0</v>
      </c>
      <c r="BQ74" s="172">
        <f t="shared" ref="BQ74:EB74" si="132">BQ70+BQ69</f>
        <v>0</v>
      </c>
      <c r="BR74" s="172">
        <f t="shared" si="132"/>
        <v>0</v>
      </c>
      <c r="BS74" s="172">
        <f t="shared" si="132"/>
        <v>0</v>
      </c>
      <c r="BT74" s="172">
        <f t="shared" si="132"/>
        <v>0</v>
      </c>
      <c r="BU74" s="172">
        <f t="shared" si="132"/>
        <v>0</v>
      </c>
      <c r="BV74" s="172">
        <f t="shared" si="132"/>
        <v>0</v>
      </c>
      <c r="BW74" s="172">
        <f t="shared" si="132"/>
        <v>0</v>
      </c>
      <c r="BX74" s="172">
        <f t="shared" si="132"/>
        <v>0</v>
      </c>
      <c r="BY74" s="172">
        <f t="shared" si="132"/>
        <v>0</v>
      </c>
      <c r="BZ74" s="172">
        <f t="shared" si="132"/>
        <v>0</v>
      </c>
      <c r="CA74" s="172">
        <f t="shared" si="132"/>
        <v>0</v>
      </c>
      <c r="CB74" s="172">
        <f t="shared" si="132"/>
        <v>0</v>
      </c>
      <c r="CC74" s="172">
        <f t="shared" si="132"/>
        <v>0</v>
      </c>
      <c r="CD74" s="172">
        <f t="shared" si="132"/>
        <v>0</v>
      </c>
      <c r="CE74" s="172">
        <f t="shared" si="132"/>
        <v>0</v>
      </c>
      <c r="CF74" s="172">
        <f t="shared" si="132"/>
        <v>0</v>
      </c>
      <c r="CG74" s="172">
        <f t="shared" si="132"/>
        <v>0</v>
      </c>
      <c r="CH74" s="172">
        <f t="shared" si="132"/>
        <v>0</v>
      </c>
      <c r="CI74" s="172">
        <f t="shared" si="132"/>
        <v>0</v>
      </c>
      <c r="CJ74" s="172">
        <f t="shared" si="132"/>
        <v>0</v>
      </c>
      <c r="CK74" s="172">
        <f t="shared" si="132"/>
        <v>0</v>
      </c>
      <c r="CL74" s="172">
        <f t="shared" si="132"/>
        <v>0</v>
      </c>
      <c r="CM74" s="172">
        <f t="shared" si="132"/>
        <v>0</v>
      </c>
      <c r="CN74" s="172">
        <f t="shared" si="132"/>
        <v>0</v>
      </c>
      <c r="CO74" s="172">
        <f t="shared" si="132"/>
        <v>0</v>
      </c>
      <c r="CP74" s="172">
        <f t="shared" si="132"/>
        <v>0</v>
      </c>
      <c r="CQ74" s="172">
        <f t="shared" si="132"/>
        <v>0</v>
      </c>
      <c r="CR74" s="172">
        <f t="shared" si="132"/>
        <v>0</v>
      </c>
      <c r="CS74" s="172">
        <f t="shared" si="132"/>
        <v>0</v>
      </c>
      <c r="CT74" s="172">
        <f t="shared" si="132"/>
        <v>0</v>
      </c>
      <c r="CU74" s="172">
        <f t="shared" si="132"/>
        <v>0</v>
      </c>
      <c r="CV74" s="172">
        <f t="shared" si="132"/>
        <v>0</v>
      </c>
      <c r="CW74" s="172">
        <f t="shared" si="132"/>
        <v>0</v>
      </c>
      <c r="CX74" s="172">
        <f t="shared" si="132"/>
        <v>0</v>
      </c>
      <c r="CY74" s="172">
        <f t="shared" si="132"/>
        <v>0</v>
      </c>
      <c r="CZ74" s="172">
        <f t="shared" si="132"/>
        <v>0</v>
      </c>
      <c r="DA74" s="172">
        <f t="shared" si="132"/>
        <v>0</v>
      </c>
      <c r="DB74" s="172">
        <f t="shared" si="132"/>
        <v>0</v>
      </c>
      <c r="DC74" s="172">
        <f t="shared" si="132"/>
        <v>0</v>
      </c>
      <c r="DD74" s="172">
        <f t="shared" si="132"/>
        <v>0</v>
      </c>
      <c r="DE74" s="172">
        <f t="shared" si="132"/>
        <v>0</v>
      </c>
      <c r="DF74" s="172">
        <f t="shared" si="132"/>
        <v>0</v>
      </c>
      <c r="DG74" s="172">
        <f t="shared" si="132"/>
        <v>0</v>
      </c>
      <c r="DH74" s="172">
        <f t="shared" si="132"/>
        <v>0</v>
      </c>
      <c r="DI74" s="172">
        <f t="shared" si="132"/>
        <v>0</v>
      </c>
      <c r="DJ74" s="172">
        <f t="shared" si="132"/>
        <v>0</v>
      </c>
      <c r="DK74" s="172">
        <f t="shared" si="132"/>
        <v>0</v>
      </c>
      <c r="DL74" s="172">
        <f t="shared" si="132"/>
        <v>0</v>
      </c>
      <c r="DM74" s="172">
        <f t="shared" si="132"/>
        <v>0</v>
      </c>
      <c r="DN74" s="172">
        <f t="shared" si="132"/>
        <v>0</v>
      </c>
      <c r="DO74" s="172">
        <f t="shared" si="132"/>
        <v>0</v>
      </c>
      <c r="DP74" s="172">
        <f t="shared" si="132"/>
        <v>0</v>
      </c>
      <c r="DQ74" s="172">
        <f t="shared" si="132"/>
        <v>0</v>
      </c>
      <c r="DR74" s="172">
        <f t="shared" si="132"/>
        <v>0</v>
      </c>
      <c r="DS74" s="172">
        <f t="shared" si="132"/>
        <v>0</v>
      </c>
      <c r="DT74" s="172">
        <f t="shared" si="132"/>
        <v>0</v>
      </c>
      <c r="DU74" s="172">
        <f t="shared" si="132"/>
        <v>0</v>
      </c>
      <c r="DV74" s="172">
        <f t="shared" si="132"/>
        <v>0</v>
      </c>
      <c r="DW74" s="172">
        <f t="shared" si="132"/>
        <v>0</v>
      </c>
      <c r="DX74" s="172">
        <f t="shared" si="132"/>
        <v>0</v>
      </c>
      <c r="DY74" s="172">
        <f t="shared" si="132"/>
        <v>0</v>
      </c>
      <c r="DZ74" s="172">
        <f t="shared" si="132"/>
        <v>0</v>
      </c>
      <c r="EA74" s="172">
        <f t="shared" si="132"/>
        <v>0</v>
      </c>
      <c r="EB74" s="172">
        <f t="shared" si="132"/>
        <v>0</v>
      </c>
      <c r="EC74" s="172">
        <f t="shared" ref="EC74:GN74" si="133">EC70+EC69</f>
        <v>0</v>
      </c>
      <c r="ED74" s="172">
        <f t="shared" si="133"/>
        <v>0</v>
      </c>
      <c r="EE74" s="172">
        <f t="shared" si="133"/>
        <v>0</v>
      </c>
      <c r="EF74" s="172">
        <f t="shared" si="133"/>
        <v>0</v>
      </c>
      <c r="EG74" s="172">
        <f t="shared" si="133"/>
        <v>0</v>
      </c>
      <c r="EH74" s="172">
        <f t="shared" si="133"/>
        <v>0</v>
      </c>
      <c r="EI74" s="172">
        <f t="shared" si="133"/>
        <v>0</v>
      </c>
      <c r="EJ74" s="172">
        <f t="shared" si="133"/>
        <v>0</v>
      </c>
      <c r="EK74" s="172">
        <f t="shared" si="133"/>
        <v>0</v>
      </c>
      <c r="EL74" s="172">
        <f t="shared" si="133"/>
        <v>0</v>
      </c>
      <c r="EM74" s="172">
        <f t="shared" si="133"/>
        <v>0</v>
      </c>
      <c r="EN74" s="172">
        <f t="shared" si="133"/>
        <v>0</v>
      </c>
      <c r="EO74" s="172">
        <f t="shared" si="133"/>
        <v>0</v>
      </c>
      <c r="EP74" s="172">
        <f t="shared" si="133"/>
        <v>0</v>
      </c>
      <c r="EQ74" s="172">
        <f t="shared" si="133"/>
        <v>0</v>
      </c>
      <c r="ER74" s="172">
        <f t="shared" si="133"/>
        <v>0</v>
      </c>
      <c r="ES74" s="172">
        <f t="shared" si="133"/>
        <v>0</v>
      </c>
      <c r="ET74" s="172">
        <f t="shared" si="133"/>
        <v>0</v>
      </c>
      <c r="EU74" s="172">
        <f t="shared" si="133"/>
        <v>0</v>
      </c>
      <c r="EV74" s="172">
        <f t="shared" si="133"/>
        <v>0</v>
      </c>
      <c r="EW74" s="172">
        <f t="shared" si="133"/>
        <v>0</v>
      </c>
      <c r="EX74" s="172">
        <f t="shared" si="133"/>
        <v>0</v>
      </c>
      <c r="EY74" s="172">
        <f t="shared" si="133"/>
        <v>0</v>
      </c>
      <c r="EZ74" s="172">
        <f t="shared" si="133"/>
        <v>0</v>
      </c>
      <c r="FA74" s="172">
        <f t="shared" si="133"/>
        <v>0</v>
      </c>
      <c r="FB74" s="172">
        <f t="shared" si="133"/>
        <v>0</v>
      </c>
      <c r="FC74" s="172">
        <f t="shared" si="133"/>
        <v>0</v>
      </c>
      <c r="FD74" s="172">
        <f t="shared" si="133"/>
        <v>0</v>
      </c>
      <c r="FE74" s="172">
        <f t="shared" si="133"/>
        <v>0</v>
      </c>
      <c r="FF74" s="172">
        <f t="shared" si="133"/>
        <v>0</v>
      </c>
      <c r="FG74" s="172">
        <f t="shared" si="133"/>
        <v>0</v>
      </c>
      <c r="FH74" s="172">
        <f t="shared" si="133"/>
        <v>0</v>
      </c>
      <c r="FI74" s="172">
        <f t="shared" si="133"/>
        <v>0</v>
      </c>
      <c r="FJ74" s="172">
        <f t="shared" si="133"/>
        <v>0</v>
      </c>
      <c r="FK74" s="172">
        <f t="shared" si="133"/>
        <v>0</v>
      </c>
      <c r="FL74" s="172">
        <f t="shared" si="133"/>
        <v>0</v>
      </c>
      <c r="FM74" s="172">
        <f t="shared" si="133"/>
        <v>0</v>
      </c>
      <c r="FN74" s="172">
        <f t="shared" si="133"/>
        <v>0</v>
      </c>
      <c r="FO74" s="172">
        <f t="shared" si="133"/>
        <v>0</v>
      </c>
      <c r="FP74" s="172">
        <f t="shared" si="133"/>
        <v>0</v>
      </c>
      <c r="FQ74" s="172">
        <f t="shared" si="133"/>
        <v>0</v>
      </c>
      <c r="FR74" s="172">
        <f t="shared" si="133"/>
        <v>0</v>
      </c>
      <c r="FS74" s="172">
        <f t="shared" si="133"/>
        <v>0</v>
      </c>
      <c r="FT74" s="172">
        <f t="shared" si="133"/>
        <v>0</v>
      </c>
      <c r="FU74" s="172">
        <f t="shared" si="133"/>
        <v>0</v>
      </c>
      <c r="FV74" s="172">
        <f t="shared" si="133"/>
        <v>0</v>
      </c>
      <c r="FW74" s="172">
        <f t="shared" si="133"/>
        <v>0</v>
      </c>
      <c r="FX74" s="172">
        <f t="shared" si="133"/>
        <v>0</v>
      </c>
      <c r="FY74" s="172">
        <f t="shared" si="133"/>
        <v>0</v>
      </c>
      <c r="FZ74" s="172">
        <f t="shared" si="133"/>
        <v>0</v>
      </c>
      <c r="GA74" s="172">
        <f t="shared" si="133"/>
        <v>0</v>
      </c>
      <c r="GB74" s="172">
        <f t="shared" si="133"/>
        <v>0</v>
      </c>
      <c r="GC74" s="172">
        <f t="shared" si="133"/>
        <v>0</v>
      </c>
      <c r="GD74" s="172">
        <f t="shared" si="133"/>
        <v>0</v>
      </c>
      <c r="GE74" s="172">
        <f t="shared" si="133"/>
        <v>0</v>
      </c>
      <c r="GF74" s="172">
        <f t="shared" si="133"/>
        <v>0</v>
      </c>
      <c r="GG74" s="172">
        <f t="shared" si="133"/>
        <v>0</v>
      </c>
      <c r="GH74" s="172">
        <f t="shared" si="133"/>
        <v>0</v>
      </c>
      <c r="GI74" s="172">
        <f t="shared" si="133"/>
        <v>0</v>
      </c>
      <c r="GJ74" s="172">
        <f t="shared" si="133"/>
        <v>0</v>
      </c>
      <c r="GK74" s="172">
        <f t="shared" si="133"/>
        <v>0</v>
      </c>
      <c r="GL74" s="172">
        <f t="shared" si="133"/>
        <v>0</v>
      </c>
      <c r="GM74" s="172">
        <f t="shared" si="133"/>
        <v>0</v>
      </c>
      <c r="GN74" s="172">
        <f t="shared" si="133"/>
        <v>0</v>
      </c>
      <c r="GO74" s="172">
        <f t="shared" ref="GO74:GQ74" si="134">GO70+GO69</f>
        <v>0</v>
      </c>
      <c r="GP74" s="172">
        <f t="shared" si="134"/>
        <v>0</v>
      </c>
      <c r="GQ74" s="172">
        <f t="shared" si="134"/>
        <v>0</v>
      </c>
    </row>
    <row r="75" spans="2:199" hidden="1" outlineLevel="1">
      <c r="B75" s="182" t="s">
        <v>417</v>
      </c>
      <c r="C75" s="154">
        <v>1</v>
      </c>
      <c r="D75" s="168"/>
      <c r="E75" s="213">
        <f>IF(E51&gt;=$C53,1+E58,1)</f>
        <v>1</v>
      </c>
      <c r="F75" s="213">
        <f t="shared" ref="F75:BQ75" si="135">IF(F51&gt;=$C53,1+F58,1)</f>
        <v>1</v>
      </c>
      <c r="G75" s="213">
        <f t="shared" si="135"/>
        <v>1</v>
      </c>
      <c r="H75" s="213">
        <f t="shared" si="135"/>
        <v>1</v>
      </c>
      <c r="I75" s="213">
        <f t="shared" si="135"/>
        <v>1</v>
      </c>
      <c r="J75" s="213">
        <f t="shared" si="135"/>
        <v>1</v>
      </c>
      <c r="K75" s="213">
        <f t="shared" si="135"/>
        <v>1</v>
      </c>
      <c r="L75" s="213">
        <f t="shared" si="135"/>
        <v>1</v>
      </c>
      <c r="M75" s="213">
        <f t="shared" si="135"/>
        <v>1</v>
      </c>
      <c r="N75" s="213">
        <f t="shared" si="135"/>
        <v>1</v>
      </c>
      <c r="O75" s="213">
        <f t="shared" si="135"/>
        <v>1</v>
      </c>
      <c r="P75" s="213">
        <f t="shared" si="135"/>
        <v>1</v>
      </c>
      <c r="Q75" s="213">
        <f t="shared" si="135"/>
        <v>1</v>
      </c>
      <c r="R75" s="213">
        <f t="shared" si="135"/>
        <v>1</v>
      </c>
      <c r="S75" s="213">
        <f t="shared" si="135"/>
        <v>1</v>
      </c>
      <c r="T75" s="213">
        <f t="shared" si="135"/>
        <v>1</v>
      </c>
      <c r="U75" s="213">
        <f t="shared" si="135"/>
        <v>1</v>
      </c>
      <c r="V75" s="213">
        <f t="shared" si="135"/>
        <v>1</v>
      </c>
      <c r="W75" s="213">
        <f t="shared" si="135"/>
        <v>1</v>
      </c>
      <c r="X75" s="213">
        <f t="shared" si="135"/>
        <v>1</v>
      </c>
      <c r="Y75" s="213">
        <f t="shared" si="135"/>
        <v>1</v>
      </c>
      <c r="Z75" s="213">
        <f t="shared" si="135"/>
        <v>1</v>
      </c>
      <c r="AA75" s="213">
        <f t="shared" si="135"/>
        <v>1</v>
      </c>
      <c r="AB75" s="213">
        <f t="shared" si="135"/>
        <v>1</v>
      </c>
      <c r="AC75" s="213">
        <f t="shared" si="135"/>
        <v>1</v>
      </c>
      <c r="AD75" s="213">
        <f t="shared" si="135"/>
        <v>1</v>
      </c>
      <c r="AE75" s="213">
        <f t="shared" si="135"/>
        <v>1</v>
      </c>
      <c r="AF75" s="213">
        <f t="shared" si="135"/>
        <v>1</v>
      </c>
      <c r="AG75" s="213">
        <f t="shared" si="135"/>
        <v>1</v>
      </c>
      <c r="AH75" s="213">
        <f t="shared" si="135"/>
        <v>1</v>
      </c>
      <c r="AI75" s="213">
        <f t="shared" si="135"/>
        <v>1</v>
      </c>
      <c r="AJ75" s="213">
        <f t="shared" si="135"/>
        <v>1</v>
      </c>
      <c r="AK75" s="213">
        <f t="shared" si="135"/>
        <v>1</v>
      </c>
      <c r="AL75" s="213">
        <f t="shared" si="135"/>
        <v>1</v>
      </c>
      <c r="AM75" s="213">
        <f t="shared" si="135"/>
        <v>1</v>
      </c>
      <c r="AN75" s="213">
        <f t="shared" si="135"/>
        <v>1</v>
      </c>
      <c r="AO75" s="213">
        <f t="shared" si="135"/>
        <v>1</v>
      </c>
      <c r="AP75" s="213">
        <f t="shared" si="135"/>
        <v>1</v>
      </c>
      <c r="AQ75" s="213">
        <f t="shared" si="135"/>
        <v>1</v>
      </c>
      <c r="AR75" s="213">
        <f t="shared" si="135"/>
        <v>1</v>
      </c>
      <c r="AS75" s="213">
        <f t="shared" si="135"/>
        <v>1</v>
      </c>
      <c r="AT75" s="213">
        <f t="shared" si="135"/>
        <v>1</v>
      </c>
      <c r="AU75" s="213">
        <f t="shared" si="135"/>
        <v>1</v>
      </c>
      <c r="AV75" s="213">
        <f t="shared" si="135"/>
        <v>1</v>
      </c>
      <c r="AW75" s="213">
        <f t="shared" si="135"/>
        <v>1</v>
      </c>
      <c r="AX75" s="213">
        <f t="shared" si="135"/>
        <v>1</v>
      </c>
      <c r="AY75" s="213">
        <f t="shared" si="135"/>
        <v>1</v>
      </c>
      <c r="AZ75" s="213">
        <f t="shared" si="135"/>
        <v>1</v>
      </c>
      <c r="BA75" s="213">
        <f t="shared" si="135"/>
        <v>1</v>
      </c>
      <c r="BB75" s="213">
        <f t="shared" si="135"/>
        <v>1</v>
      </c>
      <c r="BC75" s="213">
        <f t="shared" si="135"/>
        <v>1</v>
      </c>
      <c r="BD75" s="213">
        <f t="shared" si="135"/>
        <v>1</v>
      </c>
      <c r="BE75" s="213">
        <f t="shared" si="135"/>
        <v>1</v>
      </c>
      <c r="BF75" s="213">
        <f t="shared" si="135"/>
        <v>1</v>
      </c>
      <c r="BG75" s="213">
        <f t="shared" si="135"/>
        <v>1</v>
      </c>
      <c r="BH75" s="213">
        <f t="shared" si="135"/>
        <v>1</v>
      </c>
      <c r="BI75" s="213">
        <f t="shared" si="135"/>
        <v>1</v>
      </c>
      <c r="BJ75" s="213">
        <f t="shared" si="135"/>
        <v>1</v>
      </c>
      <c r="BK75" s="213">
        <f t="shared" si="135"/>
        <v>1</v>
      </c>
      <c r="BL75" s="213">
        <f t="shared" si="135"/>
        <v>1</v>
      </c>
      <c r="BM75" s="213">
        <f t="shared" si="135"/>
        <v>1</v>
      </c>
      <c r="BN75" s="213">
        <f t="shared" si="135"/>
        <v>1</v>
      </c>
      <c r="BO75" s="213">
        <f t="shared" si="135"/>
        <v>1</v>
      </c>
      <c r="BP75" s="213">
        <f t="shared" si="135"/>
        <v>1</v>
      </c>
      <c r="BQ75" s="213">
        <f t="shared" si="135"/>
        <v>1</v>
      </c>
      <c r="BR75" s="213">
        <f t="shared" ref="BR75:EC75" si="136">IF(BR51&gt;=$C53,1+BR58,1)</f>
        <v>1</v>
      </c>
      <c r="BS75" s="213">
        <f t="shared" si="136"/>
        <v>1</v>
      </c>
      <c r="BT75" s="213">
        <f t="shared" si="136"/>
        <v>1</v>
      </c>
      <c r="BU75" s="213">
        <f t="shared" si="136"/>
        <v>1</v>
      </c>
      <c r="BV75" s="213">
        <f t="shared" si="136"/>
        <v>1</v>
      </c>
      <c r="BW75" s="213">
        <f t="shared" si="136"/>
        <v>1</v>
      </c>
      <c r="BX75" s="213">
        <f t="shared" si="136"/>
        <v>1</v>
      </c>
      <c r="BY75" s="213">
        <f t="shared" si="136"/>
        <v>1</v>
      </c>
      <c r="BZ75" s="213">
        <f t="shared" si="136"/>
        <v>1</v>
      </c>
      <c r="CA75" s="213">
        <f t="shared" si="136"/>
        <v>1</v>
      </c>
      <c r="CB75" s="213">
        <f t="shared" si="136"/>
        <v>1</v>
      </c>
      <c r="CC75" s="213">
        <f t="shared" si="136"/>
        <v>1</v>
      </c>
      <c r="CD75" s="213">
        <f t="shared" si="136"/>
        <v>1</v>
      </c>
      <c r="CE75" s="213">
        <f t="shared" si="136"/>
        <v>1</v>
      </c>
      <c r="CF75" s="213">
        <f t="shared" si="136"/>
        <v>1</v>
      </c>
      <c r="CG75" s="213">
        <f t="shared" si="136"/>
        <v>1</v>
      </c>
      <c r="CH75" s="213">
        <f t="shared" si="136"/>
        <v>1</v>
      </c>
      <c r="CI75" s="213">
        <f t="shared" si="136"/>
        <v>1</v>
      </c>
      <c r="CJ75" s="213">
        <f t="shared" si="136"/>
        <v>1</v>
      </c>
      <c r="CK75" s="213">
        <f t="shared" si="136"/>
        <v>1</v>
      </c>
      <c r="CL75" s="213">
        <f t="shared" si="136"/>
        <v>1</v>
      </c>
      <c r="CM75" s="213">
        <f t="shared" si="136"/>
        <v>1</v>
      </c>
      <c r="CN75" s="213">
        <f t="shared" si="136"/>
        <v>1</v>
      </c>
      <c r="CO75" s="213">
        <f t="shared" si="136"/>
        <v>1</v>
      </c>
      <c r="CP75" s="213">
        <f t="shared" si="136"/>
        <v>1</v>
      </c>
      <c r="CQ75" s="213">
        <f t="shared" si="136"/>
        <v>1</v>
      </c>
      <c r="CR75" s="213">
        <f t="shared" si="136"/>
        <v>1</v>
      </c>
      <c r="CS75" s="213">
        <f t="shared" si="136"/>
        <v>1</v>
      </c>
      <c r="CT75" s="213">
        <f t="shared" si="136"/>
        <v>1</v>
      </c>
      <c r="CU75" s="213">
        <f t="shared" si="136"/>
        <v>1</v>
      </c>
      <c r="CV75" s="213">
        <f t="shared" si="136"/>
        <v>1</v>
      </c>
      <c r="CW75" s="213">
        <f t="shared" si="136"/>
        <v>1</v>
      </c>
      <c r="CX75" s="213">
        <f t="shared" si="136"/>
        <v>1</v>
      </c>
      <c r="CY75" s="213">
        <f t="shared" si="136"/>
        <v>1</v>
      </c>
      <c r="CZ75" s="213">
        <f t="shared" si="136"/>
        <v>1</v>
      </c>
      <c r="DA75" s="213">
        <f t="shared" si="136"/>
        <v>1</v>
      </c>
      <c r="DB75" s="213">
        <f t="shared" si="136"/>
        <v>1</v>
      </c>
      <c r="DC75" s="213">
        <f t="shared" si="136"/>
        <v>1</v>
      </c>
      <c r="DD75" s="213">
        <f t="shared" si="136"/>
        <v>1</v>
      </c>
      <c r="DE75" s="213">
        <f t="shared" si="136"/>
        <v>1</v>
      </c>
      <c r="DF75" s="213">
        <f t="shared" si="136"/>
        <v>1</v>
      </c>
      <c r="DG75" s="213">
        <f t="shared" si="136"/>
        <v>1</v>
      </c>
      <c r="DH75" s="213">
        <f t="shared" si="136"/>
        <v>1</v>
      </c>
      <c r="DI75" s="213">
        <f t="shared" si="136"/>
        <v>1</v>
      </c>
      <c r="DJ75" s="213">
        <f t="shared" si="136"/>
        <v>1</v>
      </c>
      <c r="DK75" s="213">
        <f t="shared" si="136"/>
        <v>1</v>
      </c>
      <c r="DL75" s="213">
        <f t="shared" si="136"/>
        <v>1</v>
      </c>
      <c r="DM75" s="213">
        <f t="shared" si="136"/>
        <v>1</v>
      </c>
      <c r="DN75" s="213">
        <f t="shared" si="136"/>
        <v>1</v>
      </c>
      <c r="DO75" s="213">
        <f t="shared" si="136"/>
        <v>1</v>
      </c>
      <c r="DP75" s="213">
        <f t="shared" si="136"/>
        <v>1</v>
      </c>
      <c r="DQ75" s="213">
        <f t="shared" si="136"/>
        <v>1</v>
      </c>
      <c r="DR75" s="213">
        <f t="shared" si="136"/>
        <v>1</v>
      </c>
      <c r="DS75" s="213">
        <f t="shared" si="136"/>
        <v>1</v>
      </c>
      <c r="DT75" s="213">
        <f t="shared" si="136"/>
        <v>1</v>
      </c>
      <c r="DU75" s="213">
        <f t="shared" si="136"/>
        <v>1</v>
      </c>
      <c r="DV75" s="213">
        <f t="shared" si="136"/>
        <v>1</v>
      </c>
      <c r="DW75" s="213">
        <f t="shared" si="136"/>
        <v>1</v>
      </c>
      <c r="DX75" s="213">
        <f t="shared" si="136"/>
        <v>1</v>
      </c>
      <c r="DY75" s="213">
        <f t="shared" si="136"/>
        <v>1</v>
      </c>
      <c r="DZ75" s="213">
        <f t="shared" si="136"/>
        <v>1</v>
      </c>
      <c r="EA75" s="213">
        <f t="shared" si="136"/>
        <v>1</v>
      </c>
      <c r="EB75" s="213">
        <f t="shared" si="136"/>
        <v>1</v>
      </c>
      <c r="EC75" s="213">
        <f t="shared" si="136"/>
        <v>1</v>
      </c>
      <c r="ED75" s="213">
        <f t="shared" ref="ED75:GO75" si="137">IF(ED51&gt;=$C53,1+ED58,1)</f>
        <v>1</v>
      </c>
      <c r="EE75" s="213">
        <f t="shared" si="137"/>
        <v>1</v>
      </c>
      <c r="EF75" s="213">
        <f t="shared" si="137"/>
        <v>1</v>
      </c>
      <c r="EG75" s="213">
        <f t="shared" si="137"/>
        <v>1</v>
      </c>
      <c r="EH75" s="213">
        <f t="shared" si="137"/>
        <v>1</v>
      </c>
      <c r="EI75" s="213">
        <f t="shared" si="137"/>
        <v>1</v>
      </c>
      <c r="EJ75" s="213">
        <f t="shared" si="137"/>
        <v>1</v>
      </c>
      <c r="EK75" s="213">
        <f t="shared" si="137"/>
        <v>1</v>
      </c>
      <c r="EL75" s="213">
        <f t="shared" si="137"/>
        <v>1</v>
      </c>
      <c r="EM75" s="213">
        <f t="shared" si="137"/>
        <v>1</v>
      </c>
      <c r="EN75" s="213">
        <f t="shared" si="137"/>
        <v>1</v>
      </c>
      <c r="EO75" s="213">
        <f t="shared" si="137"/>
        <v>1</v>
      </c>
      <c r="EP75" s="213">
        <f t="shared" si="137"/>
        <v>1</v>
      </c>
      <c r="EQ75" s="213">
        <f t="shared" si="137"/>
        <v>1</v>
      </c>
      <c r="ER75" s="213">
        <f t="shared" si="137"/>
        <v>1</v>
      </c>
      <c r="ES75" s="213">
        <f t="shared" si="137"/>
        <v>1</v>
      </c>
      <c r="ET75" s="213">
        <f t="shared" si="137"/>
        <v>1</v>
      </c>
      <c r="EU75" s="213">
        <f t="shared" si="137"/>
        <v>1</v>
      </c>
      <c r="EV75" s="213">
        <f t="shared" si="137"/>
        <v>1</v>
      </c>
      <c r="EW75" s="213">
        <f t="shared" si="137"/>
        <v>1</v>
      </c>
      <c r="EX75" s="213">
        <f t="shared" si="137"/>
        <v>1</v>
      </c>
      <c r="EY75" s="213">
        <f t="shared" si="137"/>
        <v>1</v>
      </c>
      <c r="EZ75" s="213">
        <f t="shared" si="137"/>
        <v>1</v>
      </c>
      <c r="FA75" s="213">
        <f t="shared" si="137"/>
        <v>1</v>
      </c>
      <c r="FB75" s="213">
        <f t="shared" si="137"/>
        <v>1</v>
      </c>
      <c r="FC75" s="213">
        <f t="shared" si="137"/>
        <v>1</v>
      </c>
      <c r="FD75" s="213">
        <f t="shared" si="137"/>
        <v>1</v>
      </c>
      <c r="FE75" s="213">
        <f t="shared" si="137"/>
        <v>1</v>
      </c>
      <c r="FF75" s="213">
        <f t="shared" si="137"/>
        <v>1</v>
      </c>
      <c r="FG75" s="213">
        <f t="shared" si="137"/>
        <v>1</v>
      </c>
      <c r="FH75" s="213">
        <f t="shared" si="137"/>
        <v>1</v>
      </c>
      <c r="FI75" s="213">
        <f t="shared" si="137"/>
        <v>1</v>
      </c>
      <c r="FJ75" s="213">
        <f t="shared" si="137"/>
        <v>1</v>
      </c>
      <c r="FK75" s="213">
        <f t="shared" si="137"/>
        <v>1</v>
      </c>
      <c r="FL75" s="213">
        <f t="shared" si="137"/>
        <v>1</v>
      </c>
      <c r="FM75" s="213">
        <f t="shared" si="137"/>
        <v>1</v>
      </c>
      <c r="FN75" s="213">
        <f t="shared" si="137"/>
        <v>1</v>
      </c>
      <c r="FO75" s="213">
        <f t="shared" si="137"/>
        <v>1</v>
      </c>
      <c r="FP75" s="213">
        <f t="shared" si="137"/>
        <v>1</v>
      </c>
      <c r="FQ75" s="213">
        <f t="shared" si="137"/>
        <v>1</v>
      </c>
      <c r="FR75" s="213">
        <f t="shared" si="137"/>
        <v>1</v>
      </c>
      <c r="FS75" s="213">
        <f t="shared" si="137"/>
        <v>1</v>
      </c>
      <c r="FT75" s="213">
        <f t="shared" si="137"/>
        <v>1</v>
      </c>
      <c r="FU75" s="213">
        <f t="shared" si="137"/>
        <v>1</v>
      </c>
      <c r="FV75" s="213">
        <f t="shared" si="137"/>
        <v>1</v>
      </c>
      <c r="FW75" s="213">
        <f t="shared" si="137"/>
        <v>1</v>
      </c>
      <c r="FX75" s="213">
        <f t="shared" si="137"/>
        <v>1</v>
      </c>
      <c r="FY75" s="213">
        <f t="shared" si="137"/>
        <v>1</v>
      </c>
      <c r="FZ75" s="213">
        <f t="shared" si="137"/>
        <v>1</v>
      </c>
      <c r="GA75" s="213">
        <f t="shared" si="137"/>
        <v>1</v>
      </c>
      <c r="GB75" s="213">
        <f t="shared" si="137"/>
        <v>1</v>
      </c>
      <c r="GC75" s="213">
        <f t="shared" si="137"/>
        <v>1</v>
      </c>
      <c r="GD75" s="213">
        <f t="shared" si="137"/>
        <v>1</v>
      </c>
      <c r="GE75" s="213">
        <f t="shared" si="137"/>
        <v>1</v>
      </c>
      <c r="GF75" s="213">
        <f t="shared" si="137"/>
        <v>1</v>
      </c>
      <c r="GG75" s="213">
        <f t="shared" si="137"/>
        <v>1</v>
      </c>
      <c r="GH75" s="213">
        <f t="shared" si="137"/>
        <v>1</v>
      </c>
      <c r="GI75" s="213">
        <f t="shared" si="137"/>
        <v>1</v>
      </c>
      <c r="GJ75" s="213">
        <f t="shared" si="137"/>
        <v>1</v>
      </c>
      <c r="GK75" s="213">
        <f t="shared" si="137"/>
        <v>1</v>
      </c>
      <c r="GL75" s="213">
        <f t="shared" si="137"/>
        <v>1</v>
      </c>
      <c r="GM75" s="213">
        <f t="shared" si="137"/>
        <v>1</v>
      </c>
      <c r="GN75" s="213">
        <f t="shared" si="137"/>
        <v>1</v>
      </c>
      <c r="GO75" s="213">
        <f t="shared" si="137"/>
        <v>1</v>
      </c>
      <c r="GP75" s="213">
        <f t="shared" ref="GP75:GQ75" si="138">IF(GP51&gt;=$C53,1+GP58,1)</f>
        <v>1</v>
      </c>
      <c r="GQ75" s="213">
        <f t="shared" si="138"/>
        <v>1</v>
      </c>
    </row>
    <row r="76" spans="2:199" hidden="1" outlineLevel="1">
      <c r="B76" s="182" t="s">
        <v>416</v>
      </c>
      <c r="C76" s="315">
        <v>1</v>
      </c>
      <c r="D76" s="168"/>
      <c r="E76" s="213">
        <f>C76*E75</f>
        <v>1</v>
      </c>
      <c r="F76" s="213">
        <f>E76*F75</f>
        <v>1</v>
      </c>
      <c r="G76" s="213">
        <f t="shared" ref="G76:BR76" si="139">F76*G75</f>
        <v>1</v>
      </c>
      <c r="H76" s="213">
        <f t="shared" si="139"/>
        <v>1</v>
      </c>
      <c r="I76" s="213">
        <f t="shared" si="139"/>
        <v>1</v>
      </c>
      <c r="J76" s="213">
        <f t="shared" si="139"/>
        <v>1</v>
      </c>
      <c r="K76" s="213">
        <f t="shared" si="139"/>
        <v>1</v>
      </c>
      <c r="L76" s="213">
        <f t="shared" si="139"/>
        <v>1</v>
      </c>
      <c r="M76" s="213">
        <f t="shared" si="139"/>
        <v>1</v>
      </c>
      <c r="N76" s="213">
        <f t="shared" si="139"/>
        <v>1</v>
      </c>
      <c r="O76" s="213">
        <f t="shared" si="139"/>
        <v>1</v>
      </c>
      <c r="P76" s="213">
        <f t="shared" si="139"/>
        <v>1</v>
      </c>
      <c r="Q76" s="213">
        <f t="shared" si="139"/>
        <v>1</v>
      </c>
      <c r="R76" s="213">
        <f t="shared" si="139"/>
        <v>1</v>
      </c>
      <c r="S76" s="213">
        <f t="shared" si="139"/>
        <v>1</v>
      </c>
      <c r="T76" s="213">
        <f t="shared" si="139"/>
        <v>1</v>
      </c>
      <c r="U76" s="213">
        <f t="shared" si="139"/>
        <v>1</v>
      </c>
      <c r="V76" s="213">
        <f t="shared" si="139"/>
        <v>1</v>
      </c>
      <c r="W76" s="213">
        <f t="shared" si="139"/>
        <v>1</v>
      </c>
      <c r="X76" s="213">
        <f t="shared" si="139"/>
        <v>1</v>
      </c>
      <c r="Y76" s="213">
        <f t="shared" si="139"/>
        <v>1</v>
      </c>
      <c r="Z76" s="213">
        <f t="shared" si="139"/>
        <v>1</v>
      </c>
      <c r="AA76" s="213">
        <f t="shared" si="139"/>
        <v>1</v>
      </c>
      <c r="AB76" s="213">
        <f t="shared" si="139"/>
        <v>1</v>
      </c>
      <c r="AC76" s="213">
        <f t="shared" si="139"/>
        <v>1</v>
      </c>
      <c r="AD76" s="213">
        <f t="shared" si="139"/>
        <v>1</v>
      </c>
      <c r="AE76" s="213">
        <f t="shared" si="139"/>
        <v>1</v>
      </c>
      <c r="AF76" s="213">
        <f t="shared" si="139"/>
        <v>1</v>
      </c>
      <c r="AG76" s="213">
        <f t="shared" si="139"/>
        <v>1</v>
      </c>
      <c r="AH76" s="213">
        <f t="shared" si="139"/>
        <v>1</v>
      </c>
      <c r="AI76" s="213">
        <f t="shared" si="139"/>
        <v>1</v>
      </c>
      <c r="AJ76" s="213">
        <f t="shared" si="139"/>
        <v>1</v>
      </c>
      <c r="AK76" s="213">
        <f t="shared" si="139"/>
        <v>1</v>
      </c>
      <c r="AL76" s="213">
        <f t="shared" si="139"/>
        <v>1</v>
      </c>
      <c r="AM76" s="213">
        <f t="shared" si="139"/>
        <v>1</v>
      </c>
      <c r="AN76" s="213">
        <f t="shared" si="139"/>
        <v>1</v>
      </c>
      <c r="AO76" s="213">
        <f t="shared" si="139"/>
        <v>1</v>
      </c>
      <c r="AP76" s="213">
        <f t="shared" si="139"/>
        <v>1</v>
      </c>
      <c r="AQ76" s="213">
        <f t="shared" si="139"/>
        <v>1</v>
      </c>
      <c r="AR76" s="213">
        <f t="shared" si="139"/>
        <v>1</v>
      </c>
      <c r="AS76" s="213">
        <f t="shared" si="139"/>
        <v>1</v>
      </c>
      <c r="AT76" s="213">
        <f t="shared" si="139"/>
        <v>1</v>
      </c>
      <c r="AU76" s="213">
        <f t="shared" si="139"/>
        <v>1</v>
      </c>
      <c r="AV76" s="213">
        <f t="shared" si="139"/>
        <v>1</v>
      </c>
      <c r="AW76" s="213">
        <f t="shared" si="139"/>
        <v>1</v>
      </c>
      <c r="AX76" s="213">
        <f t="shared" si="139"/>
        <v>1</v>
      </c>
      <c r="AY76" s="213">
        <f t="shared" si="139"/>
        <v>1</v>
      </c>
      <c r="AZ76" s="213">
        <f t="shared" si="139"/>
        <v>1</v>
      </c>
      <c r="BA76" s="213">
        <f t="shared" si="139"/>
        <v>1</v>
      </c>
      <c r="BB76" s="213">
        <f t="shared" si="139"/>
        <v>1</v>
      </c>
      <c r="BC76" s="213">
        <f t="shared" si="139"/>
        <v>1</v>
      </c>
      <c r="BD76" s="213">
        <f t="shared" si="139"/>
        <v>1</v>
      </c>
      <c r="BE76" s="213">
        <f t="shared" si="139"/>
        <v>1</v>
      </c>
      <c r="BF76" s="213">
        <f t="shared" si="139"/>
        <v>1</v>
      </c>
      <c r="BG76" s="213">
        <f t="shared" si="139"/>
        <v>1</v>
      </c>
      <c r="BH76" s="213">
        <f t="shared" si="139"/>
        <v>1</v>
      </c>
      <c r="BI76" s="213">
        <f t="shared" si="139"/>
        <v>1</v>
      </c>
      <c r="BJ76" s="213">
        <f t="shared" si="139"/>
        <v>1</v>
      </c>
      <c r="BK76" s="213">
        <f t="shared" si="139"/>
        <v>1</v>
      </c>
      <c r="BL76" s="213">
        <f t="shared" si="139"/>
        <v>1</v>
      </c>
      <c r="BM76" s="213">
        <f t="shared" si="139"/>
        <v>1</v>
      </c>
      <c r="BN76" s="213">
        <f t="shared" si="139"/>
        <v>1</v>
      </c>
      <c r="BO76" s="213">
        <f t="shared" si="139"/>
        <v>1</v>
      </c>
      <c r="BP76" s="213">
        <f t="shared" si="139"/>
        <v>1</v>
      </c>
      <c r="BQ76" s="213">
        <f t="shared" si="139"/>
        <v>1</v>
      </c>
      <c r="BR76" s="213">
        <f t="shared" si="139"/>
        <v>1</v>
      </c>
      <c r="BS76" s="213">
        <f t="shared" ref="BS76:ED76" si="140">BR76*BS75</f>
        <v>1</v>
      </c>
      <c r="BT76" s="213">
        <f t="shared" si="140"/>
        <v>1</v>
      </c>
      <c r="BU76" s="213">
        <f t="shared" si="140"/>
        <v>1</v>
      </c>
      <c r="BV76" s="213">
        <f t="shared" si="140"/>
        <v>1</v>
      </c>
      <c r="BW76" s="213">
        <f t="shared" si="140"/>
        <v>1</v>
      </c>
      <c r="BX76" s="213">
        <f t="shared" si="140"/>
        <v>1</v>
      </c>
      <c r="BY76" s="213">
        <f t="shared" si="140"/>
        <v>1</v>
      </c>
      <c r="BZ76" s="213">
        <f t="shared" si="140"/>
        <v>1</v>
      </c>
      <c r="CA76" s="213">
        <f t="shared" si="140"/>
        <v>1</v>
      </c>
      <c r="CB76" s="213">
        <f t="shared" si="140"/>
        <v>1</v>
      </c>
      <c r="CC76" s="213">
        <f t="shared" si="140"/>
        <v>1</v>
      </c>
      <c r="CD76" s="213">
        <f t="shared" si="140"/>
        <v>1</v>
      </c>
      <c r="CE76" s="213">
        <f t="shared" si="140"/>
        <v>1</v>
      </c>
      <c r="CF76" s="213">
        <f t="shared" si="140"/>
        <v>1</v>
      </c>
      <c r="CG76" s="213">
        <f t="shared" si="140"/>
        <v>1</v>
      </c>
      <c r="CH76" s="213">
        <f t="shared" si="140"/>
        <v>1</v>
      </c>
      <c r="CI76" s="213">
        <f t="shared" si="140"/>
        <v>1</v>
      </c>
      <c r="CJ76" s="213">
        <f t="shared" si="140"/>
        <v>1</v>
      </c>
      <c r="CK76" s="213">
        <f t="shared" si="140"/>
        <v>1</v>
      </c>
      <c r="CL76" s="213">
        <f t="shared" si="140"/>
        <v>1</v>
      </c>
      <c r="CM76" s="213">
        <f t="shared" si="140"/>
        <v>1</v>
      </c>
      <c r="CN76" s="213">
        <f t="shared" si="140"/>
        <v>1</v>
      </c>
      <c r="CO76" s="213">
        <f t="shared" si="140"/>
        <v>1</v>
      </c>
      <c r="CP76" s="213">
        <f t="shared" si="140"/>
        <v>1</v>
      </c>
      <c r="CQ76" s="213">
        <f t="shared" si="140"/>
        <v>1</v>
      </c>
      <c r="CR76" s="213">
        <f t="shared" si="140"/>
        <v>1</v>
      </c>
      <c r="CS76" s="213">
        <f t="shared" si="140"/>
        <v>1</v>
      </c>
      <c r="CT76" s="213">
        <f t="shared" si="140"/>
        <v>1</v>
      </c>
      <c r="CU76" s="213">
        <f t="shared" si="140"/>
        <v>1</v>
      </c>
      <c r="CV76" s="213">
        <f t="shared" si="140"/>
        <v>1</v>
      </c>
      <c r="CW76" s="213">
        <f t="shared" si="140"/>
        <v>1</v>
      </c>
      <c r="CX76" s="213">
        <f t="shared" si="140"/>
        <v>1</v>
      </c>
      <c r="CY76" s="213">
        <f t="shared" si="140"/>
        <v>1</v>
      </c>
      <c r="CZ76" s="213">
        <f t="shared" si="140"/>
        <v>1</v>
      </c>
      <c r="DA76" s="213">
        <f t="shared" si="140"/>
        <v>1</v>
      </c>
      <c r="DB76" s="213">
        <f t="shared" si="140"/>
        <v>1</v>
      </c>
      <c r="DC76" s="213">
        <f t="shared" si="140"/>
        <v>1</v>
      </c>
      <c r="DD76" s="213">
        <f t="shared" si="140"/>
        <v>1</v>
      </c>
      <c r="DE76" s="213">
        <f t="shared" si="140"/>
        <v>1</v>
      </c>
      <c r="DF76" s="213">
        <f t="shared" si="140"/>
        <v>1</v>
      </c>
      <c r="DG76" s="213">
        <f t="shared" si="140"/>
        <v>1</v>
      </c>
      <c r="DH76" s="213">
        <f t="shared" si="140"/>
        <v>1</v>
      </c>
      <c r="DI76" s="213">
        <f t="shared" si="140"/>
        <v>1</v>
      </c>
      <c r="DJ76" s="213">
        <f t="shared" si="140"/>
        <v>1</v>
      </c>
      <c r="DK76" s="213">
        <f t="shared" si="140"/>
        <v>1</v>
      </c>
      <c r="DL76" s="213">
        <f t="shared" si="140"/>
        <v>1</v>
      </c>
      <c r="DM76" s="213">
        <f t="shared" si="140"/>
        <v>1</v>
      </c>
      <c r="DN76" s="213">
        <f t="shared" si="140"/>
        <v>1</v>
      </c>
      <c r="DO76" s="213">
        <f t="shared" si="140"/>
        <v>1</v>
      </c>
      <c r="DP76" s="213">
        <f t="shared" si="140"/>
        <v>1</v>
      </c>
      <c r="DQ76" s="213">
        <f t="shared" si="140"/>
        <v>1</v>
      </c>
      <c r="DR76" s="213">
        <f t="shared" si="140"/>
        <v>1</v>
      </c>
      <c r="DS76" s="213">
        <f t="shared" si="140"/>
        <v>1</v>
      </c>
      <c r="DT76" s="213">
        <f t="shared" si="140"/>
        <v>1</v>
      </c>
      <c r="DU76" s="213">
        <f t="shared" si="140"/>
        <v>1</v>
      </c>
      <c r="DV76" s="213">
        <f t="shared" si="140"/>
        <v>1</v>
      </c>
      <c r="DW76" s="213">
        <f t="shared" si="140"/>
        <v>1</v>
      </c>
      <c r="DX76" s="213">
        <f t="shared" si="140"/>
        <v>1</v>
      </c>
      <c r="DY76" s="213">
        <f t="shared" si="140"/>
        <v>1</v>
      </c>
      <c r="DZ76" s="213">
        <f t="shared" si="140"/>
        <v>1</v>
      </c>
      <c r="EA76" s="213">
        <f t="shared" si="140"/>
        <v>1</v>
      </c>
      <c r="EB76" s="213">
        <f t="shared" si="140"/>
        <v>1</v>
      </c>
      <c r="EC76" s="213">
        <f t="shared" si="140"/>
        <v>1</v>
      </c>
      <c r="ED76" s="213">
        <f t="shared" si="140"/>
        <v>1</v>
      </c>
      <c r="EE76" s="213">
        <f t="shared" ref="EE76:GP76" si="141">ED76*EE75</f>
        <v>1</v>
      </c>
      <c r="EF76" s="213">
        <f t="shared" si="141"/>
        <v>1</v>
      </c>
      <c r="EG76" s="213">
        <f t="shared" si="141"/>
        <v>1</v>
      </c>
      <c r="EH76" s="213">
        <f t="shared" si="141"/>
        <v>1</v>
      </c>
      <c r="EI76" s="213">
        <f t="shared" si="141"/>
        <v>1</v>
      </c>
      <c r="EJ76" s="213">
        <f t="shared" si="141"/>
        <v>1</v>
      </c>
      <c r="EK76" s="213">
        <f t="shared" si="141"/>
        <v>1</v>
      </c>
      <c r="EL76" s="213">
        <f t="shared" si="141"/>
        <v>1</v>
      </c>
      <c r="EM76" s="213">
        <f t="shared" si="141"/>
        <v>1</v>
      </c>
      <c r="EN76" s="213">
        <f t="shared" si="141"/>
        <v>1</v>
      </c>
      <c r="EO76" s="213">
        <f t="shared" si="141"/>
        <v>1</v>
      </c>
      <c r="EP76" s="213">
        <f t="shared" si="141"/>
        <v>1</v>
      </c>
      <c r="EQ76" s="213">
        <f t="shared" si="141"/>
        <v>1</v>
      </c>
      <c r="ER76" s="213">
        <f t="shared" si="141"/>
        <v>1</v>
      </c>
      <c r="ES76" s="213">
        <f t="shared" si="141"/>
        <v>1</v>
      </c>
      <c r="ET76" s="213">
        <f t="shared" si="141"/>
        <v>1</v>
      </c>
      <c r="EU76" s="213">
        <f t="shared" si="141"/>
        <v>1</v>
      </c>
      <c r="EV76" s="213">
        <f t="shared" si="141"/>
        <v>1</v>
      </c>
      <c r="EW76" s="213">
        <f t="shared" si="141"/>
        <v>1</v>
      </c>
      <c r="EX76" s="213">
        <f t="shared" si="141"/>
        <v>1</v>
      </c>
      <c r="EY76" s="213">
        <f t="shared" si="141"/>
        <v>1</v>
      </c>
      <c r="EZ76" s="213">
        <f t="shared" si="141"/>
        <v>1</v>
      </c>
      <c r="FA76" s="213">
        <f t="shared" si="141"/>
        <v>1</v>
      </c>
      <c r="FB76" s="213">
        <f t="shared" si="141"/>
        <v>1</v>
      </c>
      <c r="FC76" s="213">
        <f t="shared" si="141"/>
        <v>1</v>
      </c>
      <c r="FD76" s="213">
        <f t="shared" si="141"/>
        <v>1</v>
      </c>
      <c r="FE76" s="213">
        <f t="shared" si="141"/>
        <v>1</v>
      </c>
      <c r="FF76" s="213">
        <f t="shared" si="141"/>
        <v>1</v>
      </c>
      <c r="FG76" s="213">
        <f t="shared" si="141"/>
        <v>1</v>
      </c>
      <c r="FH76" s="213">
        <f t="shared" si="141"/>
        <v>1</v>
      </c>
      <c r="FI76" s="213">
        <f t="shared" si="141"/>
        <v>1</v>
      </c>
      <c r="FJ76" s="213">
        <f t="shared" si="141"/>
        <v>1</v>
      </c>
      <c r="FK76" s="213">
        <f t="shared" si="141"/>
        <v>1</v>
      </c>
      <c r="FL76" s="213">
        <f t="shared" si="141"/>
        <v>1</v>
      </c>
      <c r="FM76" s="213">
        <f t="shared" si="141"/>
        <v>1</v>
      </c>
      <c r="FN76" s="213">
        <f t="shared" si="141"/>
        <v>1</v>
      </c>
      <c r="FO76" s="213">
        <f t="shared" si="141"/>
        <v>1</v>
      </c>
      <c r="FP76" s="213">
        <f t="shared" si="141"/>
        <v>1</v>
      </c>
      <c r="FQ76" s="213">
        <f t="shared" si="141"/>
        <v>1</v>
      </c>
      <c r="FR76" s="213">
        <f t="shared" si="141"/>
        <v>1</v>
      </c>
      <c r="FS76" s="213">
        <f t="shared" si="141"/>
        <v>1</v>
      </c>
      <c r="FT76" s="213">
        <f t="shared" si="141"/>
        <v>1</v>
      </c>
      <c r="FU76" s="213">
        <f t="shared" si="141"/>
        <v>1</v>
      </c>
      <c r="FV76" s="213">
        <f t="shared" si="141"/>
        <v>1</v>
      </c>
      <c r="FW76" s="213">
        <f t="shared" si="141"/>
        <v>1</v>
      </c>
      <c r="FX76" s="213">
        <f t="shared" si="141"/>
        <v>1</v>
      </c>
      <c r="FY76" s="213">
        <f t="shared" si="141"/>
        <v>1</v>
      </c>
      <c r="FZ76" s="213">
        <f t="shared" si="141"/>
        <v>1</v>
      </c>
      <c r="GA76" s="213">
        <f t="shared" si="141"/>
        <v>1</v>
      </c>
      <c r="GB76" s="213">
        <f t="shared" si="141"/>
        <v>1</v>
      </c>
      <c r="GC76" s="213">
        <f t="shared" si="141"/>
        <v>1</v>
      </c>
      <c r="GD76" s="213">
        <f t="shared" si="141"/>
        <v>1</v>
      </c>
      <c r="GE76" s="213">
        <f t="shared" si="141"/>
        <v>1</v>
      </c>
      <c r="GF76" s="213">
        <f t="shared" si="141"/>
        <v>1</v>
      </c>
      <c r="GG76" s="213">
        <f t="shared" si="141"/>
        <v>1</v>
      </c>
      <c r="GH76" s="213">
        <f t="shared" si="141"/>
        <v>1</v>
      </c>
      <c r="GI76" s="213">
        <f t="shared" si="141"/>
        <v>1</v>
      </c>
      <c r="GJ76" s="213">
        <f t="shared" si="141"/>
        <v>1</v>
      </c>
      <c r="GK76" s="213">
        <f t="shared" si="141"/>
        <v>1</v>
      </c>
      <c r="GL76" s="213">
        <f t="shared" si="141"/>
        <v>1</v>
      </c>
      <c r="GM76" s="213">
        <f t="shared" si="141"/>
        <v>1</v>
      </c>
      <c r="GN76" s="213">
        <f t="shared" si="141"/>
        <v>1</v>
      </c>
      <c r="GO76" s="213">
        <f t="shared" si="141"/>
        <v>1</v>
      </c>
      <c r="GP76" s="213">
        <f t="shared" si="141"/>
        <v>1</v>
      </c>
      <c r="GQ76" s="213">
        <f t="shared" ref="GQ76" si="142">GP76*GQ75</f>
        <v>1</v>
      </c>
    </row>
    <row r="77" spans="2:199" hidden="1" outlineLevel="1">
      <c r="B77" s="182" t="s">
        <v>415</v>
      </c>
      <c r="C77" s="315">
        <v>1</v>
      </c>
      <c r="D77" s="168"/>
      <c r="E77" s="213">
        <f>IF(E51&gt;$C56,(1+E58)*C77,1)</f>
        <v>1</v>
      </c>
      <c r="F77" s="213">
        <f t="shared" ref="F77:BQ77" si="143">IF(F51&gt;$C56,(1+F58)*D77,1)</f>
        <v>1</v>
      </c>
      <c r="G77" s="213">
        <f t="shared" si="143"/>
        <v>1</v>
      </c>
      <c r="H77" s="213">
        <f t="shared" si="143"/>
        <v>1</v>
      </c>
      <c r="I77" s="213">
        <f t="shared" si="143"/>
        <v>1</v>
      </c>
      <c r="J77" s="213">
        <f t="shared" si="143"/>
        <v>1</v>
      </c>
      <c r="K77" s="213">
        <f t="shared" si="143"/>
        <v>1</v>
      </c>
      <c r="L77" s="213">
        <f t="shared" si="143"/>
        <v>1</v>
      </c>
      <c r="M77" s="213">
        <f t="shared" si="143"/>
        <v>1</v>
      </c>
      <c r="N77" s="213">
        <f t="shared" si="143"/>
        <v>1</v>
      </c>
      <c r="O77" s="213">
        <f t="shared" si="143"/>
        <v>1</v>
      </c>
      <c r="P77" s="213">
        <f t="shared" si="143"/>
        <v>1</v>
      </c>
      <c r="Q77" s="213">
        <f t="shared" si="143"/>
        <v>1</v>
      </c>
      <c r="R77" s="213">
        <f t="shared" si="143"/>
        <v>1</v>
      </c>
      <c r="S77" s="213">
        <f t="shared" si="143"/>
        <v>1</v>
      </c>
      <c r="T77" s="213">
        <f t="shared" si="143"/>
        <v>1</v>
      </c>
      <c r="U77" s="213">
        <f t="shared" si="143"/>
        <v>1</v>
      </c>
      <c r="V77" s="213">
        <f t="shared" si="143"/>
        <v>1</v>
      </c>
      <c r="W77" s="213">
        <f t="shared" si="143"/>
        <v>1</v>
      </c>
      <c r="X77" s="213">
        <f t="shared" si="143"/>
        <v>1</v>
      </c>
      <c r="Y77" s="213">
        <f t="shared" si="143"/>
        <v>1</v>
      </c>
      <c r="Z77" s="213">
        <f t="shared" si="143"/>
        <v>1</v>
      </c>
      <c r="AA77" s="213">
        <f t="shared" si="143"/>
        <v>1</v>
      </c>
      <c r="AB77" s="213">
        <f t="shared" si="143"/>
        <v>1</v>
      </c>
      <c r="AC77" s="213">
        <f t="shared" si="143"/>
        <v>1</v>
      </c>
      <c r="AD77" s="213">
        <f t="shared" si="143"/>
        <v>1</v>
      </c>
      <c r="AE77" s="213">
        <f t="shared" si="143"/>
        <v>1</v>
      </c>
      <c r="AF77" s="213">
        <f t="shared" si="143"/>
        <v>1</v>
      </c>
      <c r="AG77" s="213">
        <f t="shared" si="143"/>
        <v>1</v>
      </c>
      <c r="AH77" s="213">
        <f t="shared" si="143"/>
        <v>1</v>
      </c>
      <c r="AI77" s="213">
        <f t="shared" si="143"/>
        <v>1</v>
      </c>
      <c r="AJ77" s="213">
        <f t="shared" si="143"/>
        <v>1</v>
      </c>
      <c r="AK77" s="213">
        <f t="shared" si="143"/>
        <v>1</v>
      </c>
      <c r="AL77" s="213">
        <f t="shared" si="143"/>
        <v>1</v>
      </c>
      <c r="AM77" s="213">
        <f t="shared" si="143"/>
        <v>1</v>
      </c>
      <c r="AN77" s="213">
        <f t="shared" si="143"/>
        <v>1</v>
      </c>
      <c r="AO77" s="213">
        <f t="shared" si="143"/>
        <v>1</v>
      </c>
      <c r="AP77" s="213">
        <f t="shared" si="143"/>
        <v>1</v>
      </c>
      <c r="AQ77" s="213">
        <f t="shared" si="143"/>
        <v>1</v>
      </c>
      <c r="AR77" s="213">
        <f t="shared" si="143"/>
        <v>1</v>
      </c>
      <c r="AS77" s="213">
        <f t="shared" si="143"/>
        <v>1</v>
      </c>
      <c r="AT77" s="213">
        <f t="shared" si="143"/>
        <v>1</v>
      </c>
      <c r="AU77" s="213">
        <f t="shared" si="143"/>
        <v>1</v>
      </c>
      <c r="AV77" s="213">
        <f t="shared" si="143"/>
        <v>1</v>
      </c>
      <c r="AW77" s="213">
        <f t="shared" si="143"/>
        <v>1</v>
      </c>
      <c r="AX77" s="213">
        <f t="shared" si="143"/>
        <v>1</v>
      </c>
      <c r="AY77" s="213">
        <f t="shared" si="143"/>
        <v>1</v>
      </c>
      <c r="AZ77" s="213">
        <f t="shared" si="143"/>
        <v>1</v>
      </c>
      <c r="BA77" s="213">
        <f t="shared" si="143"/>
        <v>1</v>
      </c>
      <c r="BB77" s="213">
        <f t="shared" si="143"/>
        <v>1</v>
      </c>
      <c r="BC77" s="213">
        <f t="shared" si="143"/>
        <v>1</v>
      </c>
      <c r="BD77" s="213">
        <f t="shared" si="143"/>
        <v>1</v>
      </c>
      <c r="BE77" s="213">
        <f t="shared" si="143"/>
        <v>1</v>
      </c>
      <c r="BF77" s="213">
        <f t="shared" si="143"/>
        <v>1</v>
      </c>
      <c r="BG77" s="213">
        <f t="shared" si="143"/>
        <v>1</v>
      </c>
      <c r="BH77" s="213">
        <f t="shared" si="143"/>
        <v>1</v>
      </c>
      <c r="BI77" s="213">
        <f t="shared" si="143"/>
        <v>1</v>
      </c>
      <c r="BJ77" s="213">
        <f t="shared" si="143"/>
        <v>1</v>
      </c>
      <c r="BK77" s="213">
        <f t="shared" si="143"/>
        <v>1</v>
      </c>
      <c r="BL77" s="213">
        <f t="shared" si="143"/>
        <v>1</v>
      </c>
      <c r="BM77" s="213">
        <f t="shared" si="143"/>
        <v>1</v>
      </c>
      <c r="BN77" s="213">
        <f t="shared" si="143"/>
        <v>1</v>
      </c>
      <c r="BO77" s="213">
        <f t="shared" si="143"/>
        <v>1</v>
      </c>
      <c r="BP77" s="213">
        <f t="shared" si="143"/>
        <v>1</v>
      </c>
      <c r="BQ77" s="213">
        <f t="shared" si="143"/>
        <v>1</v>
      </c>
      <c r="BR77" s="213">
        <f t="shared" ref="BR77:EC77" si="144">IF(BR51&gt;$C56,(1+BR58)*BP77,1)</f>
        <v>1</v>
      </c>
      <c r="BS77" s="213">
        <f t="shared" si="144"/>
        <v>1</v>
      </c>
      <c r="BT77" s="213">
        <f t="shared" si="144"/>
        <v>1</v>
      </c>
      <c r="BU77" s="213">
        <f t="shared" si="144"/>
        <v>1</v>
      </c>
      <c r="BV77" s="213">
        <f t="shared" si="144"/>
        <v>1</v>
      </c>
      <c r="BW77" s="213">
        <f t="shared" si="144"/>
        <v>1</v>
      </c>
      <c r="BX77" s="213">
        <f t="shared" si="144"/>
        <v>1</v>
      </c>
      <c r="BY77" s="213">
        <f t="shared" si="144"/>
        <v>1</v>
      </c>
      <c r="BZ77" s="213">
        <f t="shared" si="144"/>
        <v>1</v>
      </c>
      <c r="CA77" s="213">
        <f t="shared" si="144"/>
        <v>1</v>
      </c>
      <c r="CB77" s="213">
        <f t="shared" si="144"/>
        <v>1</v>
      </c>
      <c r="CC77" s="213">
        <f t="shared" si="144"/>
        <v>1</v>
      </c>
      <c r="CD77" s="213">
        <f t="shared" si="144"/>
        <v>1</v>
      </c>
      <c r="CE77" s="213">
        <f t="shared" si="144"/>
        <v>1</v>
      </c>
      <c r="CF77" s="213">
        <f t="shared" si="144"/>
        <v>1</v>
      </c>
      <c r="CG77" s="213">
        <f t="shared" si="144"/>
        <v>1</v>
      </c>
      <c r="CH77" s="213">
        <f t="shared" si="144"/>
        <v>1</v>
      </c>
      <c r="CI77" s="213">
        <f t="shared" si="144"/>
        <v>1</v>
      </c>
      <c r="CJ77" s="213">
        <f t="shared" si="144"/>
        <v>1</v>
      </c>
      <c r="CK77" s="213">
        <f t="shared" si="144"/>
        <v>1</v>
      </c>
      <c r="CL77" s="213">
        <f t="shared" si="144"/>
        <v>1</v>
      </c>
      <c r="CM77" s="213">
        <f t="shared" si="144"/>
        <v>1</v>
      </c>
      <c r="CN77" s="213">
        <f t="shared" si="144"/>
        <v>1</v>
      </c>
      <c r="CO77" s="213">
        <f t="shared" si="144"/>
        <v>1</v>
      </c>
      <c r="CP77" s="213">
        <f t="shared" si="144"/>
        <v>1</v>
      </c>
      <c r="CQ77" s="213">
        <f t="shared" si="144"/>
        <v>1</v>
      </c>
      <c r="CR77" s="213">
        <f t="shared" si="144"/>
        <v>1</v>
      </c>
      <c r="CS77" s="213">
        <f t="shared" si="144"/>
        <v>1</v>
      </c>
      <c r="CT77" s="213">
        <f t="shared" si="144"/>
        <v>1</v>
      </c>
      <c r="CU77" s="213">
        <f t="shared" si="144"/>
        <v>1</v>
      </c>
      <c r="CV77" s="213">
        <f t="shared" si="144"/>
        <v>1</v>
      </c>
      <c r="CW77" s="213">
        <f t="shared" si="144"/>
        <v>1</v>
      </c>
      <c r="CX77" s="213">
        <f t="shared" si="144"/>
        <v>1</v>
      </c>
      <c r="CY77" s="213">
        <f t="shared" si="144"/>
        <v>1</v>
      </c>
      <c r="CZ77" s="213">
        <f t="shared" si="144"/>
        <v>1</v>
      </c>
      <c r="DA77" s="213">
        <f t="shared" si="144"/>
        <v>1</v>
      </c>
      <c r="DB77" s="213">
        <f t="shared" si="144"/>
        <v>1</v>
      </c>
      <c r="DC77" s="213">
        <f t="shared" si="144"/>
        <v>1</v>
      </c>
      <c r="DD77" s="213">
        <f t="shared" si="144"/>
        <v>1</v>
      </c>
      <c r="DE77" s="213">
        <f t="shared" si="144"/>
        <v>1</v>
      </c>
      <c r="DF77" s="213">
        <f t="shared" si="144"/>
        <v>1</v>
      </c>
      <c r="DG77" s="213">
        <f t="shared" si="144"/>
        <v>1</v>
      </c>
      <c r="DH77" s="213">
        <f t="shared" si="144"/>
        <v>1</v>
      </c>
      <c r="DI77" s="213">
        <f t="shared" si="144"/>
        <v>1</v>
      </c>
      <c r="DJ77" s="213">
        <f t="shared" si="144"/>
        <v>1</v>
      </c>
      <c r="DK77" s="213">
        <f t="shared" si="144"/>
        <v>1</v>
      </c>
      <c r="DL77" s="213">
        <f t="shared" si="144"/>
        <v>1</v>
      </c>
      <c r="DM77" s="213">
        <f t="shared" si="144"/>
        <v>1</v>
      </c>
      <c r="DN77" s="213">
        <f t="shared" si="144"/>
        <v>1</v>
      </c>
      <c r="DO77" s="213">
        <f t="shared" si="144"/>
        <v>1</v>
      </c>
      <c r="DP77" s="213">
        <f t="shared" si="144"/>
        <v>1</v>
      </c>
      <c r="DQ77" s="213">
        <f t="shared" si="144"/>
        <v>1</v>
      </c>
      <c r="DR77" s="213">
        <f t="shared" si="144"/>
        <v>1</v>
      </c>
      <c r="DS77" s="213">
        <f t="shared" si="144"/>
        <v>1</v>
      </c>
      <c r="DT77" s="213">
        <f t="shared" si="144"/>
        <v>1</v>
      </c>
      <c r="DU77" s="213">
        <f t="shared" si="144"/>
        <v>1</v>
      </c>
      <c r="DV77" s="213">
        <f t="shared" si="144"/>
        <v>1</v>
      </c>
      <c r="DW77" s="213">
        <f t="shared" si="144"/>
        <v>1</v>
      </c>
      <c r="DX77" s="213">
        <f t="shared" si="144"/>
        <v>1</v>
      </c>
      <c r="DY77" s="213">
        <f t="shared" si="144"/>
        <v>1</v>
      </c>
      <c r="DZ77" s="213">
        <f t="shared" si="144"/>
        <v>1</v>
      </c>
      <c r="EA77" s="213">
        <f t="shared" si="144"/>
        <v>1</v>
      </c>
      <c r="EB77" s="213">
        <f t="shared" si="144"/>
        <v>1</v>
      </c>
      <c r="EC77" s="213">
        <f t="shared" si="144"/>
        <v>1</v>
      </c>
      <c r="ED77" s="213">
        <f t="shared" ref="ED77:GO77" si="145">IF(ED51&gt;$C56,(1+ED58)*EB77,1)</f>
        <v>1</v>
      </c>
      <c r="EE77" s="213">
        <f t="shared" si="145"/>
        <v>1</v>
      </c>
      <c r="EF77" s="213">
        <f t="shared" si="145"/>
        <v>1</v>
      </c>
      <c r="EG77" s="213">
        <f t="shared" si="145"/>
        <v>1</v>
      </c>
      <c r="EH77" s="213">
        <f t="shared" si="145"/>
        <v>1</v>
      </c>
      <c r="EI77" s="213">
        <f t="shared" si="145"/>
        <v>1</v>
      </c>
      <c r="EJ77" s="213">
        <f t="shared" si="145"/>
        <v>1</v>
      </c>
      <c r="EK77" s="213">
        <f t="shared" si="145"/>
        <v>1</v>
      </c>
      <c r="EL77" s="213">
        <f t="shared" si="145"/>
        <v>1</v>
      </c>
      <c r="EM77" s="213">
        <f t="shared" si="145"/>
        <v>1</v>
      </c>
      <c r="EN77" s="213">
        <f t="shared" si="145"/>
        <v>1</v>
      </c>
      <c r="EO77" s="213">
        <f t="shared" si="145"/>
        <v>1</v>
      </c>
      <c r="EP77" s="213">
        <f t="shared" si="145"/>
        <v>1</v>
      </c>
      <c r="EQ77" s="213">
        <f t="shared" si="145"/>
        <v>1</v>
      </c>
      <c r="ER77" s="213">
        <f t="shared" si="145"/>
        <v>1</v>
      </c>
      <c r="ES77" s="213">
        <f t="shared" si="145"/>
        <v>1</v>
      </c>
      <c r="ET77" s="213">
        <f t="shared" si="145"/>
        <v>1</v>
      </c>
      <c r="EU77" s="213">
        <f t="shared" si="145"/>
        <v>1</v>
      </c>
      <c r="EV77" s="213">
        <f t="shared" si="145"/>
        <v>1</v>
      </c>
      <c r="EW77" s="213">
        <f t="shared" si="145"/>
        <v>1</v>
      </c>
      <c r="EX77" s="213">
        <f t="shared" si="145"/>
        <v>1</v>
      </c>
      <c r="EY77" s="213">
        <f t="shared" si="145"/>
        <v>1</v>
      </c>
      <c r="EZ77" s="213">
        <f t="shared" si="145"/>
        <v>1</v>
      </c>
      <c r="FA77" s="213">
        <f t="shared" si="145"/>
        <v>1</v>
      </c>
      <c r="FB77" s="213">
        <f t="shared" si="145"/>
        <v>1</v>
      </c>
      <c r="FC77" s="213">
        <f t="shared" si="145"/>
        <v>1</v>
      </c>
      <c r="FD77" s="213">
        <f t="shared" si="145"/>
        <v>1</v>
      </c>
      <c r="FE77" s="213">
        <f t="shared" si="145"/>
        <v>1</v>
      </c>
      <c r="FF77" s="213">
        <f t="shared" si="145"/>
        <v>1</v>
      </c>
      <c r="FG77" s="213">
        <f t="shared" si="145"/>
        <v>1</v>
      </c>
      <c r="FH77" s="213">
        <f t="shared" si="145"/>
        <v>1</v>
      </c>
      <c r="FI77" s="213">
        <f t="shared" si="145"/>
        <v>1</v>
      </c>
      <c r="FJ77" s="213">
        <f t="shared" si="145"/>
        <v>1</v>
      </c>
      <c r="FK77" s="213">
        <f t="shared" si="145"/>
        <v>1</v>
      </c>
      <c r="FL77" s="213">
        <f t="shared" si="145"/>
        <v>1</v>
      </c>
      <c r="FM77" s="213">
        <f t="shared" si="145"/>
        <v>1</v>
      </c>
      <c r="FN77" s="213">
        <f t="shared" si="145"/>
        <v>1</v>
      </c>
      <c r="FO77" s="213">
        <f t="shared" si="145"/>
        <v>1</v>
      </c>
      <c r="FP77" s="213">
        <f t="shared" si="145"/>
        <v>1</v>
      </c>
      <c r="FQ77" s="213">
        <f t="shared" si="145"/>
        <v>1</v>
      </c>
      <c r="FR77" s="213">
        <f t="shared" si="145"/>
        <v>1</v>
      </c>
      <c r="FS77" s="213">
        <f t="shared" si="145"/>
        <v>1</v>
      </c>
      <c r="FT77" s="213">
        <f t="shared" si="145"/>
        <v>1</v>
      </c>
      <c r="FU77" s="213">
        <f t="shared" si="145"/>
        <v>1</v>
      </c>
      <c r="FV77" s="213">
        <f t="shared" si="145"/>
        <v>1</v>
      </c>
      <c r="FW77" s="213">
        <f t="shared" si="145"/>
        <v>1</v>
      </c>
      <c r="FX77" s="213">
        <f t="shared" si="145"/>
        <v>1</v>
      </c>
      <c r="FY77" s="213">
        <f t="shared" si="145"/>
        <v>1</v>
      </c>
      <c r="FZ77" s="213">
        <f t="shared" si="145"/>
        <v>1</v>
      </c>
      <c r="GA77" s="213">
        <f t="shared" si="145"/>
        <v>1</v>
      </c>
      <c r="GB77" s="213">
        <f t="shared" si="145"/>
        <v>1</v>
      </c>
      <c r="GC77" s="213">
        <f t="shared" si="145"/>
        <v>1</v>
      </c>
      <c r="GD77" s="213">
        <f t="shared" si="145"/>
        <v>1</v>
      </c>
      <c r="GE77" s="213">
        <f t="shared" si="145"/>
        <v>1</v>
      </c>
      <c r="GF77" s="213">
        <f t="shared" si="145"/>
        <v>1</v>
      </c>
      <c r="GG77" s="213">
        <f t="shared" si="145"/>
        <v>1</v>
      </c>
      <c r="GH77" s="213">
        <f t="shared" si="145"/>
        <v>1</v>
      </c>
      <c r="GI77" s="213">
        <f t="shared" si="145"/>
        <v>1</v>
      </c>
      <c r="GJ77" s="213">
        <f t="shared" si="145"/>
        <v>1</v>
      </c>
      <c r="GK77" s="213">
        <f t="shared" si="145"/>
        <v>1</v>
      </c>
      <c r="GL77" s="213">
        <f t="shared" si="145"/>
        <v>1</v>
      </c>
      <c r="GM77" s="213">
        <f t="shared" si="145"/>
        <v>1</v>
      </c>
      <c r="GN77" s="213">
        <f t="shared" si="145"/>
        <v>1</v>
      </c>
      <c r="GO77" s="213">
        <f t="shared" si="145"/>
        <v>1</v>
      </c>
      <c r="GP77" s="213">
        <f t="shared" ref="GP77:GQ77" si="146">IF(GP51&gt;$C56,(1+GP58)*GN77,1)</f>
        <v>1</v>
      </c>
      <c r="GQ77" s="213">
        <f t="shared" si="146"/>
        <v>1</v>
      </c>
    </row>
    <row r="78" spans="2:199" hidden="1" outlineLevel="1">
      <c r="B78" s="182" t="s">
        <v>414</v>
      </c>
      <c r="D78" s="167"/>
      <c r="E78" s="162">
        <f>SUM(E65:E69)</f>
        <v>125875</v>
      </c>
      <c r="F78" s="162">
        <f t="shared" ref="F78:BQ78" si="147">SUM(F65:F69)</f>
        <v>127129.72199999999</v>
      </c>
      <c r="G78" s="162">
        <f t="shared" si="147"/>
        <v>128183.373135936</v>
      </c>
      <c r="H78" s="162">
        <f t="shared" si="147"/>
        <v>129346.25269702521</v>
      </c>
      <c r="I78" s="162">
        <f t="shared" si="147"/>
        <v>130360.32731816989</v>
      </c>
      <c r="J78" s="162">
        <f t="shared" si="147"/>
        <v>131440.06513373606</v>
      </c>
      <c r="K78" s="162">
        <f t="shared" si="147"/>
        <v>132376.88338026914</v>
      </c>
      <c r="L78" s="162">
        <f t="shared" si="147"/>
        <v>133403.74827348097</v>
      </c>
      <c r="M78" s="162">
        <f t="shared" si="147"/>
        <v>134467.50652954183</v>
      </c>
      <c r="N78" s="162">
        <f t="shared" si="147"/>
        <v>135350.95705960365</v>
      </c>
      <c r="O78" s="162">
        <f t="shared" si="147"/>
        <v>136382.71250753463</v>
      </c>
      <c r="P78" s="162">
        <f t="shared" si="147"/>
        <v>137326.59332939249</v>
      </c>
      <c r="Q78" s="162">
        <f t="shared" si="147"/>
        <v>138277.00658479342</v>
      </c>
      <c r="R78" s="162">
        <f t="shared" si="147"/>
        <v>139331.06677000973</v>
      </c>
      <c r="S78" s="162">
        <f t="shared" si="147"/>
        <v>140197.60429265199</v>
      </c>
      <c r="T78" s="162">
        <f t="shared" si="147"/>
        <v>141167.88731114633</v>
      </c>
      <c r="U78" s="162">
        <f t="shared" si="147"/>
        <v>125875.00000000001</v>
      </c>
      <c r="V78" s="162">
        <f t="shared" si="147"/>
        <v>0</v>
      </c>
      <c r="W78" s="162">
        <f t="shared" si="147"/>
        <v>0</v>
      </c>
      <c r="X78" s="162">
        <f t="shared" si="147"/>
        <v>0</v>
      </c>
      <c r="Y78" s="162">
        <f t="shared" si="147"/>
        <v>0</v>
      </c>
      <c r="Z78" s="162">
        <f t="shared" si="147"/>
        <v>0</v>
      </c>
      <c r="AA78" s="162">
        <f t="shared" si="147"/>
        <v>0</v>
      </c>
      <c r="AB78" s="162">
        <f t="shared" si="147"/>
        <v>0</v>
      </c>
      <c r="AC78" s="162">
        <f t="shared" si="147"/>
        <v>0</v>
      </c>
      <c r="AD78" s="162">
        <f t="shared" si="147"/>
        <v>0</v>
      </c>
      <c r="AE78" s="162">
        <f t="shared" si="147"/>
        <v>0</v>
      </c>
      <c r="AF78" s="162">
        <f t="shared" si="147"/>
        <v>0</v>
      </c>
      <c r="AG78" s="162">
        <f t="shared" si="147"/>
        <v>0</v>
      </c>
      <c r="AH78" s="162">
        <f t="shared" si="147"/>
        <v>0</v>
      </c>
      <c r="AI78" s="162">
        <f t="shared" si="147"/>
        <v>0</v>
      </c>
      <c r="AJ78" s="162">
        <f t="shared" si="147"/>
        <v>0</v>
      </c>
      <c r="AK78" s="162">
        <f t="shared" si="147"/>
        <v>0</v>
      </c>
      <c r="AL78" s="162">
        <f t="shared" si="147"/>
        <v>0</v>
      </c>
      <c r="AM78" s="162">
        <f t="shared" si="147"/>
        <v>0</v>
      </c>
      <c r="AN78" s="162">
        <f t="shared" si="147"/>
        <v>0</v>
      </c>
      <c r="AO78" s="162">
        <f t="shared" si="147"/>
        <v>0</v>
      </c>
      <c r="AP78" s="162">
        <f t="shared" si="147"/>
        <v>0</v>
      </c>
      <c r="AQ78" s="162">
        <f t="shared" si="147"/>
        <v>0</v>
      </c>
      <c r="AR78" s="162">
        <f t="shared" si="147"/>
        <v>0</v>
      </c>
      <c r="AS78" s="162">
        <f t="shared" si="147"/>
        <v>0</v>
      </c>
      <c r="AT78" s="162">
        <f t="shared" si="147"/>
        <v>0</v>
      </c>
      <c r="AU78" s="162">
        <f t="shared" si="147"/>
        <v>0</v>
      </c>
      <c r="AV78" s="162">
        <f t="shared" si="147"/>
        <v>0</v>
      </c>
      <c r="AW78" s="162">
        <f t="shared" si="147"/>
        <v>0</v>
      </c>
      <c r="AX78" s="162">
        <f t="shared" si="147"/>
        <v>0</v>
      </c>
      <c r="AY78" s="162">
        <f t="shared" si="147"/>
        <v>0</v>
      </c>
      <c r="AZ78" s="162">
        <f t="shared" si="147"/>
        <v>0</v>
      </c>
      <c r="BA78" s="162">
        <f t="shared" si="147"/>
        <v>0</v>
      </c>
      <c r="BB78" s="162">
        <f t="shared" si="147"/>
        <v>0</v>
      </c>
      <c r="BC78" s="162">
        <f t="shared" si="147"/>
        <v>0</v>
      </c>
      <c r="BD78" s="162">
        <f t="shared" si="147"/>
        <v>0</v>
      </c>
      <c r="BE78" s="162">
        <f t="shared" si="147"/>
        <v>0</v>
      </c>
      <c r="BF78" s="162">
        <f t="shared" si="147"/>
        <v>0</v>
      </c>
      <c r="BG78" s="162">
        <f t="shared" si="147"/>
        <v>0</v>
      </c>
      <c r="BH78" s="162">
        <f t="shared" si="147"/>
        <v>0</v>
      </c>
      <c r="BI78" s="162">
        <f t="shared" si="147"/>
        <v>0</v>
      </c>
      <c r="BJ78" s="162">
        <f t="shared" si="147"/>
        <v>0</v>
      </c>
      <c r="BK78" s="162">
        <f t="shared" si="147"/>
        <v>0</v>
      </c>
      <c r="BL78" s="162">
        <f t="shared" si="147"/>
        <v>0</v>
      </c>
      <c r="BM78" s="162">
        <f t="shared" si="147"/>
        <v>0</v>
      </c>
      <c r="BN78" s="162">
        <f t="shared" si="147"/>
        <v>0</v>
      </c>
      <c r="BO78" s="162">
        <f t="shared" si="147"/>
        <v>0</v>
      </c>
      <c r="BP78" s="162">
        <f t="shared" si="147"/>
        <v>0</v>
      </c>
      <c r="BQ78" s="162">
        <f t="shared" si="147"/>
        <v>0</v>
      </c>
      <c r="BR78" s="162">
        <f t="shared" ref="BR78:EC78" si="148">SUM(BR65:BR69)</f>
        <v>0</v>
      </c>
      <c r="BS78" s="162">
        <f t="shared" si="148"/>
        <v>0</v>
      </c>
      <c r="BT78" s="162">
        <f t="shared" si="148"/>
        <v>0</v>
      </c>
      <c r="BU78" s="162">
        <f t="shared" si="148"/>
        <v>0</v>
      </c>
      <c r="BV78" s="162">
        <f t="shared" si="148"/>
        <v>0</v>
      </c>
      <c r="BW78" s="162">
        <f t="shared" si="148"/>
        <v>0</v>
      </c>
      <c r="BX78" s="162">
        <f t="shared" si="148"/>
        <v>0</v>
      </c>
      <c r="BY78" s="162">
        <f t="shared" si="148"/>
        <v>0</v>
      </c>
      <c r="BZ78" s="162">
        <f t="shared" si="148"/>
        <v>0</v>
      </c>
      <c r="CA78" s="162">
        <f t="shared" si="148"/>
        <v>0</v>
      </c>
      <c r="CB78" s="162">
        <f t="shared" si="148"/>
        <v>0</v>
      </c>
      <c r="CC78" s="162">
        <f t="shared" si="148"/>
        <v>0</v>
      </c>
      <c r="CD78" s="162">
        <f t="shared" si="148"/>
        <v>0</v>
      </c>
      <c r="CE78" s="162">
        <f t="shared" si="148"/>
        <v>0</v>
      </c>
      <c r="CF78" s="162">
        <f t="shared" si="148"/>
        <v>0</v>
      </c>
      <c r="CG78" s="162">
        <f t="shared" si="148"/>
        <v>0</v>
      </c>
      <c r="CH78" s="162">
        <f t="shared" si="148"/>
        <v>0</v>
      </c>
      <c r="CI78" s="162">
        <f t="shared" si="148"/>
        <v>0</v>
      </c>
      <c r="CJ78" s="162">
        <f t="shared" si="148"/>
        <v>0</v>
      </c>
      <c r="CK78" s="162">
        <f t="shared" si="148"/>
        <v>0</v>
      </c>
      <c r="CL78" s="162">
        <f t="shared" si="148"/>
        <v>0</v>
      </c>
      <c r="CM78" s="162">
        <f t="shared" si="148"/>
        <v>0</v>
      </c>
      <c r="CN78" s="162">
        <f t="shared" si="148"/>
        <v>0</v>
      </c>
      <c r="CO78" s="162">
        <f t="shared" si="148"/>
        <v>0</v>
      </c>
      <c r="CP78" s="162">
        <f t="shared" si="148"/>
        <v>0</v>
      </c>
      <c r="CQ78" s="162">
        <f t="shared" si="148"/>
        <v>0</v>
      </c>
      <c r="CR78" s="162">
        <f t="shared" si="148"/>
        <v>0</v>
      </c>
      <c r="CS78" s="162">
        <f t="shared" si="148"/>
        <v>0</v>
      </c>
      <c r="CT78" s="162">
        <f t="shared" si="148"/>
        <v>0</v>
      </c>
      <c r="CU78" s="162">
        <f t="shared" si="148"/>
        <v>0</v>
      </c>
      <c r="CV78" s="162">
        <f t="shared" si="148"/>
        <v>0</v>
      </c>
      <c r="CW78" s="162">
        <f t="shared" si="148"/>
        <v>0</v>
      </c>
      <c r="CX78" s="162">
        <f t="shared" si="148"/>
        <v>0</v>
      </c>
      <c r="CY78" s="162">
        <f t="shared" si="148"/>
        <v>0</v>
      </c>
      <c r="CZ78" s="162">
        <f t="shared" si="148"/>
        <v>0</v>
      </c>
      <c r="DA78" s="162">
        <f t="shared" si="148"/>
        <v>0</v>
      </c>
      <c r="DB78" s="162">
        <f t="shared" si="148"/>
        <v>0</v>
      </c>
      <c r="DC78" s="162">
        <f t="shared" si="148"/>
        <v>0</v>
      </c>
      <c r="DD78" s="162">
        <f t="shared" si="148"/>
        <v>0</v>
      </c>
      <c r="DE78" s="162">
        <f t="shared" si="148"/>
        <v>0</v>
      </c>
      <c r="DF78" s="162">
        <f t="shared" si="148"/>
        <v>0</v>
      </c>
      <c r="DG78" s="162">
        <f t="shared" si="148"/>
        <v>0</v>
      </c>
      <c r="DH78" s="162">
        <f t="shared" si="148"/>
        <v>0</v>
      </c>
      <c r="DI78" s="162">
        <f t="shared" si="148"/>
        <v>0</v>
      </c>
      <c r="DJ78" s="162">
        <f t="shared" si="148"/>
        <v>0</v>
      </c>
      <c r="DK78" s="162">
        <f t="shared" si="148"/>
        <v>0</v>
      </c>
      <c r="DL78" s="162">
        <f t="shared" si="148"/>
        <v>0</v>
      </c>
      <c r="DM78" s="162">
        <f t="shared" si="148"/>
        <v>0</v>
      </c>
      <c r="DN78" s="162">
        <f t="shared" si="148"/>
        <v>0</v>
      </c>
      <c r="DO78" s="162">
        <f t="shared" si="148"/>
        <v>0</v>
      </c>
      <c r="DP78" s="162">
        <f t="shared" si="148"/>
        <v>0</v>
      </c>
      <c r="DQ78" s="162">
        <f t="shared" si="148"/>
        <v>0</v>
      </c>
      <c r="DR78" s="162">
        <f t="shared" si="148"/>
        <v>0</v>
      </c>
      <c r="DS78" s="162">
        <f t="shared" si="148"/>
        <v>0</v>
      </c>
      <c r="DT78" s="162">
        <f t="shared" si="148"/>
        <v>0</v>
      </c>
      <c r="DU78" s="162">
        <f t="shared" si="148"/>
        <v>0</v>
      </c>
      <c r="DV78" s="162">
        <f t="shared" si="148"/>
        <v>0</v>
      </c>
      <c r="DW78" s="162">
        <f t="shared" si="148"/>
        <v>0</v>
      </c>
      <c r="DX78" s="162">
        <f t="shared" si="148"/>
        <v>0</v>
      </c>
      <c r="DY78" s="162">
        <f t="shared" si="148"/>
        <v>0</v>
      </c>
      <c r="DZ78" s="162">
        <f t="shared" si="148"/>
        <v>0</v>
      </c>
      <c r="EA78" s="162">
        <f t="shared" si="148"/>
        <v>0</v>
      </c>
      <c r="EB78" s="162">
        <f t="shared" si="148"/>
        <v>0</v>
      </c>
      <c r="EC78" s="162">
        <f t="shared" si="148"/>
        <v>0</v>
      </c>
      <c r="ED78" s="162">
        <f t="shared" ref="ED78:GO78" si="149">SUM(ED65:ED69)</f>
        <v>0</v>
      </c>
      <c r="EE78" s="162">
        <f t="shared" si="149"/>
        <v>0</v>
      </c>
      <c r="EF78" s="162">
        <f t="shared" si="149"/>
        <v>0</v>
      </c>
      <c r="EG78" s="162">
        <f t="shared" si="149"/>
        <v>0</v>
      </c>
      <c r="EH78" s="162">
        <f t="shared" si="149"/>
        <v>0</v>
      </c>
      <c r="EI78" s="162">
        <f t="shared" si="149"/>
        <v>0</v>
      </c>
      <c r="EJ78" s="162">
        <f t="shared" si="149"/>
        <v>0</v>
      </c>
      <c r="EK78" s="162">
        <f t="shared" si="149"/>
        <v>0</v>
      </c>
      <c r="EL78" s="162">
        <f t="shared" si="149"/>
        <v>0</v>
      </c>
      <c r="EM78" s="162">
        <f t="shared" si="149"/>
        <v>0</v>
      </c>
      <c r="EN78" s="162">
        <f t="shared" si="149"/>
        <v>0</v>
      </c>
      <c r="EO78" s="162">
        <f t="shared" si="149"/>
        <v>0</v>
      </c>
      <c r="EP78" s="162">
        <f t="shared" si="149"/>
        <v>0</v>
      </c>
      <c r="EQ78" s="162">
        <f t="shared" si="149"/>
        <v>0</v>
      </c>
      <c r="ER78" s="162">
        <f t="shared" si="149"/>
        <v>0</v>
      </c>
      <c r="ES78" s="162">
        <f t="shared" si="149"/>
        <v>0</v>
      </c>
      <c r="ET78" s="162">
        <f t="shared" si="149"/>
        <v>0</v>
      </c>
      <c r="EU78" s="162">
        <f t="shared" si="149"/>
        <v>0</v>
      </c>
      <c r="EV78" s="162">
        <f t="shared" si="149"/>
        <v>0</v>
      </c>
      <c r="EW78" s="162">
        <f t="shared" si="149"/>
        <v>0</v>
      </c>
      <c r="EX78" s="162">
        <f t="shared" si="149"/>
        <v>0</v>
      </c>
      <c r="EY78" s="162">
        <f t="shared" si="149"/>
        <v>0</v>
      </c>
      <c r="EZ78" s="162">
        <f t="shared" si="149"/>
        <v>0</v>
      </c>
      <c r="FA78" s="162">
        <f t="shared" si="149"/>
        <v>0</v>
      </c>
      <c r="FB78" s="162">
        <f t="shared" si="149"/>
        <v>0</v>
      </c>
      <c r="FC78" s="162">
        <f t="shared" si="149"/>
        <v>0</v>
      </c>
      <c r="FD78" s="162">
        <f t="shared" si="149"/>
        <v>0</v>
      </c>
      <c r="FE78" s="162">
        <f t="shared" si="149"/>
        <v>0</v>
      </c>
      <c r="FF78" s="162">
        <f t="shared" si="149"/>
        <v>0</v>
      </c>
      <c r="FG78" s="162">
        <f t="shared" si="149"/>
        <v>0</v>
      </c>
      <c r="FH78" s="162">
        <f t="shared" si="149"/>
        <v>0</v>
      </c>
      <c r="FI78" s="162">
        <f t="shared" si="149"/>
        <v>0</v>
      </c>
      <c r="FJ78" s="162">
        <f t="shared" si="149"/>
        <v>0</v>
      </c>
      <c r="FK78" s="162">
        <f t="shared" si="149"/>
        <v>0</v>
      </c>
      <c r="FL78" s="162">
        <f t="shared" si="149"/>
        <v>0</v>
      </c>
      <c r="FM78" s="162">
        <f t="shared" si="149"/>
        <v>0</v>
      </c>
      <c r="FN78" s="162">
        <f t="shared" si="149"/>
        <v>0</v>
      </c>
      <c r="FO78" s="162">
        <f t="shared" si="149"/>
        <v>0</v>
      </c>
      <c r="FP78" s="162">
        <f t="shared" si="149"/>
        <v>0</v>
      </c>
      <c r="FQ78" s="162">
        <f t="shared" si="149"/>
        <v>0</v>
      </c>
      <c r="FR78" s="162">
        <f t="shared" si="149"/>
        <v>0</v>
      </c>
      <c r="FS78" s="162">
        <f t="shared" si="149"/>
        <v>0</v>
      </c>
      <c r="FT78" s="162">
        <f t="shared" si="149"/>
        <v>0</v>
      </c>
      <c r="FU78" s="162">
        <f t="shared" si="149"/>
        <v>0</v>
      </c>
      <c r="FV78" s="162">
        <f t="shared" si="149"/>
        <v>0</v>
      </c>
      <c r="FW78" s="162">
        <f t="shared" si="149"/>
        <v>0</v>
      </c>
      <c r="FX78" s="162">
        <f t="shared" si="149"/>
        <v>0</v>
      </c>
      <c r="FY78" s="162">
        <f t="shared" si="149"/>
        <v>0</v>
      </c>
      <c r="FZ78" s="162">
        <f t="shared" si="149"/>
        <v>0</v>
      </c>
      <c r="GA78" s="162">
        <f t="shared" si="149"/>
        <v>0</v>
      </c>
      <c r="GB78" s="162">
        <f t="shared" si="149"/>
        <v>0</v>
      </c>
      <c r="GC78" s="162">
        <f t="shared" si="149"/>
        <v>0</v>
      </c>
      <c r="GD78" s="162">
        <f t="shared" si="149"/>
        <v>0</v>
      </c>
      <c r="GE78" s="162">
        <f t="shared" si="149"/>
        <v>0</v>
      </c>
      <c r="GF78" s="162">
        <f t="shared" si="149"/>
        <v>0</v>
      </c>
      <c r="GG78" s="162">
        <f t="shared" si="149"/>
        <v>0</v>
      </c>
      <c r="GH78" s="162">
        <f t="shared" si="149"/>
        <v>0</v>
      </c>
      <c r="GI78" s="162">
        <f t="shared" si="149"/>
        <v>0</v>
      </c>
      <c r="GJ78" s="162">
        <f t="shared" si="149"/>
        <v>0</v>
      </c>
      <c r="GK78" s="162">
        <f t="shared" si="149"/>
        <v>0</v>
      </c>
      <c r="GL78" s="162">
        <f t="shared" si="149"/>
        <v>0</v>
      </c>
      <c r="GM78" s="162">
        <f t="shared" si="149"/>
        <v>0</v>
      </c>
      <c r="GN78" s="162">
        <f t="shared" si="149"/>
        <v>0</v>
      </c>
      <c r="GO78" s="162">
        <f t="shared" si="149"/>
        <v>0</v>
      </c>
      <c r="GP78" s="162">
        <f t="shared" ref="GP78:GQ78" si="150">SUM(GP65:GP69)</f>
        <v>0</v>
      </c>
      <c r="GQ78" s="162">
        <f t="shared" si="150"/>
        <v>0</v>
      </c>
    </row>
    <row r="79" spans="2:199" hidden="1" outlineLevel="1" collapsed="1"/>
    <row r="80" spans="2:199" collapsed="1"/>
    <row r="81" spans="2:199">
      <c r="B81" s="302" t="s">
        <v>621</v>
      </c>
      <c r="C81" s="302"/>
      <c r="D81" s="302"/>
      <c r="E81" s="318">
        <f>C83</f>
        <v>40878</v>
      </c>
      <c r="F81" s="318">
        <f>EDATE(E81,1)</f>
        <v>40909</v>
      </c>
      <c r="G81" s="318">
        <f t="shared" ref="G81" si="151">EDATE(F81,1)</f>
        <v>40940</v>
      </c>
      <c r="H81" s="318">
        <f t="shared" ref="H81" si="152">EDATE(G81,1)</f>
        <v>40969</v>
      </c>
      <c r="I81" s="318">
        <f t="shared" ref="I81" si="153">EDATE(H81,1)</f>
        <v>41000</v>
      </c>
      <c r="J81" s="318">
        <f t="shared" ref="J81" si="154">EDATE(I81,1)</f>
        <v>41030</v>
      </c>
      <c r="K81" s="318">
        <f t="shared" ref="K81" si="155">EDATE(J81,1)</f>
        <v>41061</v>
      </c>
      <c r="L81" s="318">
        <f t="shared" ref="L81" si="156">EDATE(K81,1)</f>
        <v>41091</v>
      </c>
      <c r="M81" s="318">
        <f t="shared" ref="M81" si="157">EDATE(L81,1)</f>
        <v>41122</v>
      </c>
      <c r="N81" s="318">
        <f t="shared" ref="N81" si="158">EDATE(M81,1)</f>
        <v>41153</v>
      </c>
      <c r="O81" s="318">
        <f t="shared" ref="O81" si="159">EDATE(N81,1)</f>
        <v>41183</v>
      </c>
      <c r="P81" s="318">
        <f t="shared" ref="P81" si="160">EDATE(O81,1)</f>
        <v>41214</v>
      </c>
      <c r="Q81" s="318">
        <f t="shared" ref="Q81" si="161">EDATE(P81,1)</f>
        <v>41244</v>
      </c>
      <c r="R81" s="318">
        <f t="shared" ref="R81" si="162">EDATE(Q81,1)</f>
        <v>41275</v>
      </c>
      <c r="S81" s="318">
        <f t="shared" ref="S81" si="163">EDATE(R81,1)</f>
        <v>41306</v>
      </c>
      <c r="T81" s="318">
        <f t="shared" ref="T81" si="164">EDATE(S81,1)</f>
        <v>41334</v>
      </c>
      <c r="U81" s="318">
        <f t="shared" ref="U81" si="165">EDATE(T81,1)</f>
        <v>41365</v>
      </c>
      <c r="V81" s="318">
        <f t="shared" ref="V81" si="166">EDATE(U81,1)</f>
        <v>41395</v>
      </c>
      <c r="W81" s="318">
        <f t="shared" ref="W81" si="167">EDATE(V81,1)</f>
        <v>41426</v>
      </c>
      <c r="X81" s="318">
        <f t="shared" ref="X81" si="168">EDATE(W81,1)</f>
        <v>41456</v>
      </c>
      <c r="Y81" s="318">
        <f t="shared" ref="Y81" si="169">EDATE(X81,1)</f>
        <v>41487</v>
      </c>
      <c r="Z81" s="318">
        <f t="shared" ref="Z81" si="170">EDATE(Y81,1)</f>
        <v>41518</v>
      </c>
      <c r="AA81" s="318">
        <f t="shared" ref="AA81" si="171">EDATE(Z81,1)</f>
        <v>41548</v>
      </c>
      <c r="AB81" s="318">
        <f t="shared" ref="AB81" si="172">EDATE(AA81,1)</f>
        <v>41579</v>
      </c>
      <c r="AC81" s="318">
        <f t="shared" ref="AC81" si="173">EDATE(AB81,1)</f>
        <v>41609</v>
      </c>
      <c r="AD81" s="318">
        <f t="shared" ref="AD81" si="174">EDATE(AC81,1)</f>
        <v>41640</v>
      </c>
      <c r="AE81" s="318">
        <f t="shared" ref="AE81" si="175">EDATE(AD81,1)</f>
        <v>41671</v>
      </c>
      <c r="AF81" s="318">
        <f t="shared" ref="AF81" si="176">EDATE(AE81,1)</f>
        <v>41699</v>
      </c>
      <c r="AG81" s="318">
        <f t="shared" ref="AG81" si="177">EDATE(AF81,1)</f>
        <v>41730</v>
      </c>
      <c r="AH81" s="318">
        <f t="shared" ref="AH81" si="178">EDATE(AG81,1)</f>
        <v>41760</v>
      </c>
      <c r="AI81" s="318">
        <f t="shared" ref="AI81" si="179">EDATE(AH81,1)</f>
        <v>41791</v>
      </c>
      <c r="AJ81" s="318">
        <f t="shared" ref="AJ81" si="180">EDATE(AI81,1)</f>
        <v>41821</v>
      </c>
      <c r="AK81" s="318">
        <f t="shared" ref="AK81" si="181">EDATE(AJ81,1)</f>
        <v>41852</v>
      </c>
      <c r="AL81" s="318">
        <f t="shared" ref="AL81" si="182">EDATE(AK81,1)</f>
        <v>41883</v>
      </c>
      <c r="AM81" s="318">
        <f t="shared" ref="AM81" si="183">EDATE(AL81,1)</f>
        <v>41913</v>
      </c>
      <c r="AN81" s="318">
        <f t="shared" ref="AN81" si="184">EDATE(AM81,1)</f>
        <v>41944</v>
      </c>
      <c r="AO81" s="318">
        <f t="shared" ref="AO81" si="185">EDATE(AN81,1)</f>
        <v>41974</v>
      </c>
      <c r="AP81" s="318">
        <f t="shared" ref="AP81" si="186">EDATE(AO81,1)</f>
        <v>42005</v>
      </c>
      <c r="AQ81" s="318">
        <f t="shared" ref="AQ81" si="187">EDATE(AP81,1)</f>
        <v>42036</v>
      </c>
      <c r="AR81" s="318">
        <f t="shared" ref="AR81" si="188">EDATE(AQ81,1)</f>
        <v>42064</v>
      </c>
      <c r="AS81" s="318">
        <f t="shared" ref="AS81" si="189">EDATE(AR81,1)</f>
        <v>42095</v>
      </c>
      <c r="AT81" s="318">
        <f t="shared" ref="AT81" si="190">EDATE(AS81,1)</f>
        <v>42125</v>
      </c>
      <c r="AU81" s="318">
        <f t="shared" ref="AU81" si="191">EDATE(AT81,1)</f>
        <v>42156</v>
      </c>
      <c r="AV81" s="318">
        <f t="shared" ref="AV81" si="192">EDATE(AU81,1)</f>
        <v>42186</v>
      </c>
      <c r="AW81" s="318">
        <f t="shared" ref="AW81" si="193">EDATE(AV81,1)</f>
        <v>42217</v>
      </c>
      <c r="AX81" s="318">
        <f t="shared" ref="AX81" si="194">EDATE(AW81,1)</f>
        <v>42248</v>
      </c>
      <c r="AY81" s="318">
        <f t="shared" ref="AY81" si="195">EDATE(AX81,1)</f>
        <v>42278</v>
      </c>
      <c r="AZ81" s="318">
        <f t="shared" ref="AZ81" si="196">EDATE(AY81,1)</f>
        <v>42309</v>
      </c>
      <c r="BA81" s="318">
        <f t="shared" ref="BA81" si="197">EDATE(AZ81,1)</f>
        <v>42339</v>
      </c>
      <c r="BB81" s="318">
        <f t="shared" ref="BB81" si="198">EDATE(BA81,1)</f>
        <v>42370</v>
      </c>
      <c r="BC81" s="318">
        <f t="shared" ref="BC81" si="199">EDATE(BB81,1)</f>
        <v>42401</v>
      </c>
      <c r="BD81" s="318">
        <f t="shared" ref="BD81" si="200">EDATE(BC81,1)</f>
        <v>42430</v>
      </c>
      <c r="BE81" s="318">
        <f t="shared" ref="BE81" si="201">EDATE(BD81,1)</f>
        <v>42461</v>
      </c>
      <c r="BF81" s="318">
        <f t="shared" ref="BF81" si="202">EDATE(BE81,1)</f>
        <v>42491</v>
      </c>
      <c r="BG81" s="318">
        <f t="shared" ref="BG81" si="203">EDATE(BF81,1)</f>
        <v>42522</v>
      </c>
      <c r="BH81" s="318">
        <f t="shared" ref="BH81" si="204">EDATE(BG81,1)</f>
        <v>42552</v>
      </c>
      <c r="BI81" s="318">
        <f t="shared" ref="BI81" si="205">EDATE(BH81,1)</f>
        <v>42583</v>
      </c>
      <c r="BJ81" s="318">
        <f t="shared" ref="BJ81" si="206">EDATE(BI81,1)</f>
        <v>42614</v>
      </c>
      <c r="BK81" s="318">
        <f t="shared" ref="BK81" si="207">EDATE(BJ81,1)</f>
        <v>42644</v>
      </c>
      <c r="BL81" s="318">
        <f t="shared" ref="BL81" si="208">EDATE(BK81,1)</f>
        <v>42675</v>
      </c>
      <c r="BM81" s="318">
        <f t="shared" ref="BM81" si="209">EDATE(BL81,1)</f>
        <v>42705</v>
      </c>
      <c r="BN81" s="318">
        <f t="shared" ref="BN81" si="210">EDATE(BM81,1)</f>
        <v>42736</v>
      </c>
      <c r="BO81" s="318">
        <f t="shared" ref="BO81" si="211">EDATE(BN81,1)</f>
        <v>42767</v>
      </c>
      <c r="BP81" s="318">
        <f t="shared" ref="BP81" si="212">EDATE(BO81,1)</f>
        <v>42795</v>
      </c>
      <c r="BQ81" s="318">
        <f t="shared" ref="BQ81" si="213">EDATE(BP81,1)</f>
        <v>42826</v>
      </c>
      <c r="BR81" s="318">
        <f t="shared" ref="BR81" si="214">EDATE(BQ81,1)</f>
        <v>42856</v>
      </c>
      <c r="BS81" s="318">
        <f t="shared" ref="BS81" si="215">EDATE(BR81,1)</f>
        <v>42887</v>
      </c>
      <c r="BT81" s="318">
        <f t="shared" ref="BT81" si="216">EDATE(BS81,1)</f>
        <v>42917</v>
      </c>
      <c r="BU81" s="318">
        <f t="shared" ref="BU81" si="217">EDATE(BT81,1)</f>
        <v>42948</v>
      </c>
      <c r="BV81" s="318">
        <f t="shared" ref="BV81" si="218">EDATE(BU81,1)</f>
        <v>42979</v>
      </c>
      <c r="BW81" s="318">
        <f t="shared" ref="BW81" si="219">EDATE(BV81,1)</f>
        <v>43009</v>
      </c>
      <c r="BX81" s="318">
        <f t="shared" ref="BX81" si="220">EDATE(BW81,1)</f>
        <v>43040</v>
      </c>
      <c r="BY81" s="318">
        <f t="shared" ref="BY81" si="221">EDATE(BX81,1)</f>
        <v>43070</v>
      </c>
      <c r="BZ81" s="318">
        <f t="shared" ref="BZ81" si="222">EDATE(BY81,1)</f>
        <v>43101</v>
      </c>
      <c r="CA81" s="318">
        <f t="shared" ref="CA81" si="223">EDATE(BZ81,1)</f>
        <v>43132</v>
      </c>
      <c r="CB81" s="318">
        <f t="shared" ref="CB81" si="224">EDATE(CA81,1)</f>
        <v>43160</v>
      </c>
      <c r="CC81" s="318">
        <f t="shared" ref="CC81" si="225">EDATE(CB81,1)</f>
        <v>43191</v>
      </c>
      <c r="CD81" s="318">
        <f t="shared" ref="CD81" si="226">EDATE(CC81,1)</f>
        <v>43221</v>
      </c>
      <c r="CE81" s="318">
        <f t="shared" ref="CE81" si="227">EDATE(CD81,1)</f>
        <v>43252</v>
      </c>
      <c r="CF81" s="318">
        <f t="shared" ref="CF81" si="228">EDATE(CE81,1)</f>
        <v>43282</v>
      </c>
      <c r="CG81" s="318">
        <f t="shared" ref="CG81" si="229">EDATE(CF81,1)</f>
        <v>43313</v>
      </c>
      <c r="CH81" s="318">
        <f t="shared" ref="CH81" si="230">EDATE(CG81,1)</f>
        <v>43344</v>
      </c>
      <c r="CI81" s="318">
        <f t="shared" ref="CI81" si="231">EDATE(CH81,1)</f>
        <v>43374</v>
      </c>
      <c r="CJ81" s="318">
        <f t="shared" ref="CJ81" si="232">EDATE(CI81,1)</f>
        <v>43405</v>
      </c>
      <c r="CK81" s="318">
        <f t="shared" ref="CK81" si="233">EDATE(CJ81,1)</f>
        <v>43435</v>
      </c>
      <c r="CL81" s="318">
        <f t="shared" ref="CL81" si="234">EDATE(CK81,1)</f>
        <v>43466</v>
      </c>
      <c r="CM81" s="318">
        <f t="shared" ref="CM81" si="235">EDATE(CL81,1)</f>
        <v>43497</v>
      </c>
      <c r="CN81" s="318">
        <f t="shared" ref="CN81" si="236">EDATE(CM81,1)</f>
        <v>43525</v>
      </c>
      <c r="CO81" s="318">
        <f t="shared" ref="CO81" si="237">EDATE(CN81,1)</f>
        <v>43556</v>
      </c>
      <c r="CP81" s="318">
        <f t="shared" ref="CP81" si="238">EDATE(CO81,1)</f>
        <v>43586</v>
      </c>
      <c r="CQ81" s="318">
        <f t="shared" ref="CQ81" si="239">EDATE(CP81,1)</f>
        <v>43617</v>
      </c>
      <c r="CR81" s="318">
        <f t="shared" ref="CR81" si="240">EDATE(CQ81,1)</f>
        <v>43647</v>
      </c>
      <c r="CS81" s="318">
        <f t="shared" ref="CS81" si="241">EDATE(CR81,1)</f>
        <v>43678</v>
      </c>
      <c r="CT81" s="318">
        <f t="shared" ref="CT81" si="242">EDATE(CS81,1)</f>
        <v>43709</v>
      </c>
      <c r="CU81" s="318">
        <f t="shared" ref="CU81" si="243">EDATE(CT81,1)</f>
        <v>43739</v>
      </c>
      <c r="CV81" s="318">
        <f t="shared" ref="CV81" si="244">EDATE(CU81,1)</f>
        <v>43770</v>
      </c>
      <c r="CW81" s="318">
        <f t="shared" ref="CW81" si="245">EDATE(CV81,1)</f>
        <v>43800</v>
      </c>
      <c r="CX81" s="318">
        <f t="shared" ref="CX81" si="246">EDATE(CW81,1)</f>
        <v>43831</v>
      </c>
      <c r="CY81" s="318">
        <f t="shared" ref="CY81" si="247">EDATE(CX81,1)</f>
        <v>43862</v>
      </c>
      <c r="CZ81" s="318">
        <f t="shared" ref="CZ81" si="248">EDATE(CY81,1)</f>
        <v>43891</v>
      </c>
      <c r="DA81" s="318">
        <f t="shared" ref="DA81" si="249">EDATE(CZ81,1)</f>
        <v>43922</v>
      </c>
      <c r="DB81" s="318">
        <f t="shared" ref="DB81" si="250">EDATE(DA81,1)</f>
        <v>43952</v>
      </c>
      <c r="DC81" s="318">
        <f t="shared" ref="DC81" si="251">EDATE(DB81,1)</f>
        <v>43983</v>
      </c>
      <c r="DD81" s="318">
        <f t="shared" ref="DD81" si="252">EDATE(DC81,1)</f>
        <v>44013</v>
      </c>
      <c r="DE81" s="318">
        <f t="shared" ref="DE81" si="253">EDATE(DD81,1)</f>
        <v>44044</v>
      </c>
      <c r="DF81" s="318">
        <f t="shared" ref="DF81" si="254">EDATE(DE81,1)</f>
        <v>44075</v>
      </c>
      <c r="DG81" s="318">
        <f t="shared" ref="DG81" si="255">EDATE(DF81,1)</f>
        <v>44105</v>
      </c>
      <c r="DH81" s="318">
        <f t="shared" ref="DH81" si="256">EDATE(DG81,1)</f>
        <v>44136</v>
      </c>
      <c r="DI81" s="318">
        <f t="shared" ref="DI81" si="257">EDATE(DH81,1)</f>
        <v>44166</v>
      </c>
      <c r="DJ81" s="318">
        <f t="shared" ref="DJ81" si="258">EDATE(DI81,1)</f>
        <v>44197</v>
      </c>
      <c r="DK81" s="318">
        <f t="shared" ref="DK81" si="259">EDATE(DJ81,1)</f>
        <v>44228</v>
      </c>
      <c r="DL81" s="318">
        <f t="shared" ref="DL81" si="260">EDATE(DK81,1)</f>
        <v>44256</v>
      </c>
      <c r="DM81" s="318">
        <f t="shared" ref="DM81" si="261">EDATE(DL81,1)</f>
        <v>44287</v>
      </c>
      <c r="DN81" s="318">
        <f t="shared" ref="DN81" si="262">EDATE(DM81,1)</f>
        <v>44317</v>
      </c>
      <c r="DO81" s="318">
        <f t="shared" ref="DO81" si="263">EDATE(DN81,1)</f>
        <v>44348</v>
      </c>
      <c r="DP81" s="318">
        <f t="shared" ref="DP81" si="264">EDATE(DO81,1)</f>
        <v>44378</v>
      </c>
      <c r="DQ81" s="318">
        <f t="shared" ref="DQ81" si="265">EDATE(DP81,1)</f>
        <v>44409</v>
      </c>
      <c r="DR81" s="318">
        <f t="shared" ref="DR81" si="266">EDATE(DQ81,1)</f>
        <v>44440</v>
      </c>
      <c r="DS81" s="318">
        <f t="shared" ref="DS81" si="267">EDATE(DR81,1)</f>
        <v>44470</v>
      </c>
      <c r="DT81" s="318">
        <f t="shared" ref="DT81" si="268">EDATE(DS81,1)</f>
        <v>44501</v>
      </c>
      <c r="DU81" s="318">
        <f t="shared" ref="DU81" si="269">EDATE(DT81,1)</f>
        <v>44531</v>
      </c>
      <c r="DV81" s="318">
        <f t="shared" ref="DV81" si="270">EDATE(DU81,1)</f>
        <v>44562</v>
      </c>
      <c r="DW81" s="318">
        <f t="shared" ref="DW81" si="271">EDATE(DV81,1)</f>
        <v>44593</v>
      </c>
      <c r="DX81" s="318">
        <f t="shared" ref="DX81" si="272">EDATE(DW81,1)</f>
        <v>44621</v>
      </c>
      <c r="DY81" s="318">
        <f t="shared" ref="DY81" si="273">EDATE(DX81,1)</f>
        <v>44652</v>
      </c>
      <c r="DZ81" s="318">
        <f t="shared" ref="DZ81" si="274">EDATE(DY81,1)</f>
        <v>44682</v>
      </c>
      <c r="EA81" s="318">
        <f t="shared" ref="EA81" si="275">EDATE(DZ81,1)</f>
        <v>44713</v>
      </c>
      <c r="EB81" s="318">
        <f t="shared" ref="EB81" si="276">EDATE(EA81,1)</f>
        <v>44743</v>
      </c>
      <c r="EC81" s="318">
        <f t="shared" ref="EC81" si="277">EDATE(EB81,1)</f>
        <v>44774</v>
      </c>
      <c r="ED81" s="318">
        <f t="shared" ref="ED81" si="278">EDATE(EC81,1)</f>
        <v>44805</v>
      </c>
      <c r="EE81" s="318">
        <f t="shared" ref="EE81" si="279">EDATE(ED81,1)</f>
        <v>44835</v>
      </c>
      <c r="EF81" s="318">
        <f t="shared" ref="EF81" si="280">EDATE(EE81,1)</f>
        <v>44866</v>
      </c>
      <c r="EG81" s="318">
        <f t="shared" ref="EG81" si="281">EDATE(EF81,1)</f>
        <v>44896</v>
      </c>
      <c r="EH81" s="318">
        <f t="shared" ref="EH81" si="282">EDATE(EG81,1)</f>
        <v>44927</v>
      </c>
      <c r="EI81" s="318">
        <f t="shared" ref="EI81" si="283">EDATE(EH81,1)</f>
        <v>44958</v>
      </c>
      <c r="EJ81" s="318">
        <f t="shared" ref="EJ81" si="284">EDATE(EI81,1)</f>
        <v>44986</v>
      </c>
      <c r="EK81" s="318">
        <f t="shared" ref="EK81" si="285">EDATE(EJ81,1)</f>
        <v>45017</v>
      </c>
      <c r="EL81" s="318">
        <f t="shared" ref="EL81" si="286">EDATE(EK81,1)</f>
        <v>45047</v>
      </c>
      <c r="EM81" s="318">
        <f t="shared" ref="EM81" si="287">EDATE(EL81,1)</f>
        <v>45078</v>
      </c>
      <c r="EN81" s="318">
        <f t="shared" ref="EN81" si="288">EDATE(EM81,1)</f>
        <v>45108</v>
      </c>
      <c r="EO81" s="318">
        <f t="shared" ref="EO81" si="289">EDATE(EN81,1)</f>
        <v>45139</v>
      </c>
      <c r="EP81" s="318">
        <f t="shared" ref="EP81" si="290">EDATE(EO81,1)</f>
        <v>45170</v>
      </c>
      <c r="EQ81" s="318">
        <f t="shared" ref="EQ81" si="291">EDATE(EP81,1)</f>
        <v>45200</v>
      </c>
      <c r="ER81" s="318">
        <f t="shared" ref="ER81" si="292">EDATE(EQ81,1)</f>
        <v>45231</v>
      </c>
      <c r="ES81" s="318">
        <f t="shared" ref="ES81" si="293">EDATE(ER81,1)</f>
        <v>45261</v>
      </c>
      <c r="ET81" s="318">
        <f t="shared" ref="ET81" si="294">EDATE(ES81,1)</f>
        <v>45292</v>
      </c>
      <c r="EU81" s="318">
        <f t="shared" ref="EU81" si="295">EDATE(ET81,1)</f>
        <v>45323</v>
      </c>
      <c r="EV81" s="318">
        <f t="shared" ref="EV81" si="296">EDATE(EU81,1)</f>
        <v>45352</v>
      </c>
      <c r="EW81" s="318">
        <f t="shared" ref="EW81" si="297">EDATE(EV81,1)</f>
        <v>45383</v>
      </c>
      <c r="EX81" s="318">
        <f t="shared" ref="EX81" si="298">EDATE(EW81,1)</f>
        <v>45413</v>
      </c>
      <c r="EY81" s="318">
        <f t="shared" ref="EY81" si="299">EDATE(EX81,1)</f>
        <v>45444</v>
      </c>
      <c r="EZ81" s="318">
        <f t="shared" ref="EZ81" si="300">EDATE(EY81,1)</f>
        <v>45474</v>
      </c>
      <c r="FA81" s="318">
        <f t="shared" ref="FA81" si="301">EDATE(EZ81,1)</f>
        <v>45505</v>
      </c>
      <c r="FB81" s="318">
        <f t="shared" ref="FB81" si="302">EDATE(FA81,1)</f>
        <v>45536</v>
      </c>
      <c r="FC81" s="318">
        <f t="shared" ref="FC81" si="303">EDATE(FB81,1)</f>
        <v>45566</v>
      </c>
      <c r="FD81" s="318">
        <f t="shared" ref="FD81" si="304">EDATE(FC81,1)</f>
        <v>45597</v>
      </c>
      <c r="FE81" s="318">
        <f t="shared" ref="FE81" si="305">EDATE(FD81,1)</f>
        <v>45627</v>
      </c>
      <c r="FF81" s="318">
        <f t="shared" ref="FF81" si="306">EDATE(FE81,1)</f>
        <v>45658</v>
      </c>
      <c r="FG81" s="318">
        <f t="shared" ref="FG81" si="307">EDATE(FF81,1)</f>
        <v>45689</v>
      </c>
      <c r="FH81" s="318">
        <f t="shared" ref="FH81" si="308">EDATE(FG81,1)</f>
        <v>45717</v>
      </c>
      <c r="FI81" s="318">
        <f t="shared" ref="FI81" si="309">EDATE(FH81,1)</f>
        <v>45748</v>
      </c>
      <c r="FJ81" s="318">
        <f t="shared" ref="FJ81" si="310">EDATE(FI81,1)</f>
        <v>45778</v>
      </c>
      <c r="FK81" s="318">
        <f t="shared" ref="FK81" si="311">EDATE(FJ81,1)</f>
        <v>45809</v>
      </c>
      <c r="FL81" s="318">
        <f t="shared" ref="FL81" si="312">EDATE(FK81,1)</f>
        <v>45839</v>
      </c>
      <c r="FM81" s="318">
        <f t="shared" ref="FM81" si="313">EDATE(FL81,1)</f>
        <v>45870</v>
      </c>
      <c r="FN81" s="318">
        <f t="shared" ref="FN81" si="314">EDATE(FM81,1)</f>
        <v>45901</v>
      </c>
      <c r="FO81" s="318">
        <f t="shared" ref="FO81" si="315">EDATE(FN81,1)</f>
        <v>45931</v>
      </c>
      <c r="FP81" s="318">
        <f t="shared" ref="FP81" si="316">EDATE(FO81,1)</f>
        <v>45962</v>
      </c>
      <c r="FQ81" s="318">
        <f t="shared" ref="FQ81" si="317">EDATE(FP81,1)</f>
        <v>45992</v>
      </c>
      <c r="FR81" s="318">
        <f t="shared" ref="FR81" si="318">EDATE(FQ81,1)</f>
        <v>46023</v>
      </c>
      <c r="FS81" s="318">
        <f t="shared" ref="FS81" si="319">EDATE(FR81,1)</f>
        <v>46054</v>
      </c>
      <c r="FT81" s="318">
        <f t="shared" ref="FT81" si="320">EDATE(FS81,1)</f>
        <v>46082</v>
      </c>
      <c r="FU81" s="318">
        <f t="shared" ref="FU81" si="321">EDATE(FT81,1)</f>
        <v>46113</v>
      </c>
      <c r="FV81" s="318">
        <f t="shared" ref="FV81" si="322">EDATE(FU81,1)</f>
        <v>46143</v>
      </c>
      <c r="FW81" s="318">
        <f t="shared" ref="FW81" si="323">EDATE(FV81,1)</f>
        <v>46174</v>
      </c>
      <c r="FX81" s="318">
        <f t="shared" ref="FX81" si="324">EDATE(FW81,1)</f>
        <v>46204</v>
      </c>
      <c r="FY81" s="318">
        <f t="shared" ref="FY81" si="325">EDATE(FX81,1)</f>
        <v>46235</v>
      </c>
      <c r="FZ81" s="318">
        <f t="shared" ref="FZ81" si="326">EDATE(FY81,1)</f>
        <v>46266</v>
      </c>
      <c r="GA81" s="318">
        <f t="shared" ref="GA81" si="327">EDATE(FZ81,1)</f>
        <v>46296</v>
      </c>
      <c r="GB81" s="318">
        <f t="shared" ref="GB81" si="328">EDATE(GA81,1)</f>
        <v>46327</v>
      </c>
      <c r="GC81" s="318">
        <f t="shared" ref="GC81" si="329">EDATE(GB81,1)</f>
        <v>46357</v>
      </c>
      <c r="GD81" s="318">
        <f t="shared" ref="GD81" si="330">EDATE(GC81,1)</f>
        <v>46388</v>
      </c>
      <c r="GE81" s="318">
        <f t="shared" ref="GE81" si="331">EDATE(GD81,1)</f>
        <v>46419</v>
      </c>
      <c r="GF81" s="318">
        <f t="shared" ref="GF81" si="332">EDATE(GE81,1)</f>
        <v>46447</v>
      </c>
      <c r="GG81" s="318">
        <f t="shared" ref="GG81" si="333">EDATE(GF81,1)</f>
        <v>46478</v>
      </c>
      <c r="GH81" s="318">
        <f t="shared" ref="GH81" si="334">EDATE(GG81,1)</f>
        <v>46508</v>
      </c>
      <c r="GI81" s="318">
        <f t="shared" ref="GI81" si="335">EDATE(GH81,1)</f>
        <v>46539</v>
      </c>
      <c r="GJ81" s="318">
        <f t="shared" ref="GJ81" si="336">EDATE(GI81,1)</f>
        <v>46569</v>
      </c>
      <c r="GK81" s="318">
        <f t="shared" ref="GK81" si="337">EDATE(GJ81,1)</f>
        <v>46600</v>
      </c>
      <c r="GL81" s="318">
        <f t="shared" ref="GL81" si="338">EDATE(GK81,1)</f>
        <v>46631</v>
      </c>
      <c r="GM81" s="318">
        <f t="shared" ref="GM81" si="339">EDATE(GL81,1)</f>
        <v>46661</v>
      </c>
      <c r="GN81" s="318">
        <f t="shared" ref="GN81" si="340">EDATE(GM81,1)</f>
        <v>46692</v>
      </c>
      <c r="GO81" s="318">
        <f t="shared" ref="GO81" si="341">EDATE(GN81,1)</f>
        <v>46722</v>
      </c>
      <c r="GP81" s="318">
        <f t="shared" ref="GP81" si="342">EDATE(GO81,1)</f>
        <v>46753</v>
      </c>
      <c r="GQ81" s="318">
        <f t="shared" ref="GQ81" si="343">EDATE(GP81,1)</f>
        <v>46784</v>
      </c>
    </row>
    <row r="82" spans="2:199">
      <c r="B82" s="173"/>
      <c r="C82" s="173"/>
      <c r="E82" s="425">
        <f>YEAR(E81)</f>
        <v>2011</v>
      </c>
      <c r="F82" s="425">
        <f t="shared" ref="F82:BQ82" si="344">YEAR(F81)</f>
        <v>2012</v>
      </c>
      <c r="G82" s="425">
        <f t="shared" si="344"/>
        <v>2012</v>
      </c>
      <c r="H82" s="425">
        <f t="shared" si="344"/>
        <v>2012</v>
      </c>
      <c r="I82" s="425">
        <f t="shared" si="344"/>
        <v>2012</v>
      </c>
      <c r="J82" s="425">
        <f t="shared" si="344"/>
        <v>2012</v>
      </c>
      <c r="K82" s="425">
        <f t="shared" si="344"/>
        <v>2012</v>
      </c>
      <c r="L82" s="425">
        <f t="shared" si="344"/>
        <v>2012</v>
      </c>
      <c r="M82" s="425">
        <f t="shared" si="344"/>
        <v>2012</v>
      </c>
      <c r="N82" s="425">
        <f t="shared" si="344"/>
        <v>2012</v>
      </c>
      <c r="O82" s="425">
        <f t="shared" si="344"/>
        <v>2012</v>
      </c>
      <c r="P82" s="425">
        <f t="shared" si="344"/>
        <v>2012</v>
      </c>
      <c r="Q82" s="425">
        <f t="shared" si="344"/>
        <v>2012</v>
      </c>
      <c r="R82" s="425">
        <f t="shared" si="344"/>
        <v>2013</v>
      </c>
      <c r="S82" s="425">
        <f t="shared" si="344"/>
        <v>2013</v>
      </c>
      <c r="T82" s="425">
        <f t="shared" si="344"/>
        <v>2013</v>
      </c>
      <c r="U82" s="425">
        <f t="shared" si="344"/>
        <v>2013</v>
      </c>
      <c r="V82" s="425">
        <f t="shared" si="344"/>
        <v>2013</v>
      </c>
      <c r="W82" s="425">
        <f t="shared" si="344"/>
        <v>2013</v>
      </c>
      <c r="X82" s="425">
        <f t="shared" si="344"/>
        <v>2013</v>
      </c>
      <c r="Y82" s="425">
        <f t="shared" si="344"/>
        <v>2013</v>
      </c>
      <c r="Z82" s="425">
        <f t="shared" si="344"/>
        <v>2013</v>
      </c>
      <c r="AA82" s="425">
        <f t="shared" si="344"/>
        <v>2013</v>
      </c>
      <c r="AB82" s="425">
        <f t="shared" si="344"/>
        <v>2013</v>
      </c>
      <c r="AC82" s="425">
        <f t="shared" si="344"/>
        <v>2013</v>
      </c>
      <c r="AD82" s="425">
        <f t="shared" si="344"/>
        <v>2014</v>
      </c>
      <c r="AE82" s="425">
        <f t="shared" si="344"/>
        <v>2014</v>
      </c>
      <c r="AF82" s="425">
        <f t="shared" si="344"/>
        <v>2014</v>
      </c>
      <c r="AG82" s="425">
        <f t="shared" si="344"/>
        <v>2014</v>
      </c>
      <c r="AH82" s="425">
        <f t="shared" si="344"/>
        <v>2014</v>
      </c>
      <c r="AI82" s="425">
        <f t="shared" si="344"/>
        <v>2014</v>
      </c>
      <c r="AJ82" s="425">
        <f t="shared" si="344"/>
        <v>2014</v>
      </c>
      <c r="AK82" s="425">
        <f t="shared" si="344"/>
        <v>2014</v>
      </c>
      <c r="AL82" s="425">
        <f t="shared" si="344"/>
        <v>2014</v>
      </c>
      <c r="AM82" s="425">
        <f t="shared" si="344"/>
        <v>2014</v>
      </c>
      <c r="AN82" s="425">
        <f t="shared" si="344"/>
        <v>2014</v>
      </c>
      <c r="AO82" s="425">
        <f t="shared" si="344"/>
        <v>2014</v>
      </c>
      <c r="AP82" s="425">
        <f t="shared" si="344"/>
        <v>2015</v>
      </c>
      <c r="AQ82" s="425">
        <f t="shared" si="344"/>
        <v>2015</v>
      </c>
      <c r="AR82" s="425">
        <f t="shared" si="344"/>
        <v>2015</v>
      </c>
      <c r="AS82" s="425">
        <f t="shared" si="344"/>
        <v>2015</v>
      </c>
      <c r="AT82" s="425">
        <f t="shared" si="344"/>
        <v>2015</v>
      </c>
      <c r="AU82" s="425">
        <f t="shared" si="344"/>
        <v>2015</v>
      </c>
      <c r="AV82" s="425">
        <f t="shared" si="344"/>
        <v>2015</v>
      </c>
      <c r="AW82" s="425">
        <f t="shared" si="344"/>
        <v>2015</v>
      </c>
      <c r="AX82" s="425">
        <f t="shared" si="344"/>
        <v>2015</v>
      </c>
      <c r="AY82" s="425">
        <f t="shared" si="344"/>
        <v>2015</v>
      </c>
      <c r="AZ82" s="425">
        <f t="shared" si="344"/>
        <v>2015</v>
      </c>
      <c r="BA82" s="425">
        <f t="shared" si="344"/>
        <v>2015</v>
      </c>
      <c r="BB82" s="425">
        <f t="shared" si="344"/>
        <v>2016</v>
      </c>
      <c r="BC82" s="425">
        <f t="shared" si="344"/>
        <v>2016</v>
      </c>
      <c r="BD82" s="425">
        <f t="shared" si="344"/>
        <v>2016</v>
      </c>
      <c r="BE82" s="425">
        <f t="shared" si="344"/>
        <v>2016</v>
      </c>
      <c r="BF82" s="425">
        <f t="shared" si="344"/>
        <v>2016</v>
      </c>
      <c r="BG82" s="425">
        <f t="shared" si="344"/>
        <v>2016</v>
      </c>
      <c r="BH82" s="425">
        <f t="shared" si="344"/>
        <v>2016</v>
      </c>
      <c r="BI82" s="425">
        <f t="shared" si="344"/>
        <v>2016</v>
      </c>
      <c r="BJ82" s="425">
        <f t="shared" si="344"/>
        <v>2016</v>
      </c>
      <c r="BK82" s="425">
        <f t="shared" si="344"/>
        <v>2016</v>
      </c>
      <c r="BL82" s="425">
        <f t="shared" si="344"/>
        <v>2016</v>
      </c>
      <c r="BM82" s="425">
        <f t="shared" si="344"/>
        <v>2016</v>
      </c>
      <c r="BN82" s="425">
        <f t="shared" si="344"/>
        <v>2017</v>
      </c>
      <c r="BO82" s="425">
        <f t="shared" si="344"/>
        <v>2017</v>
      </c>
      <c r="BP82" s="425">
        <f t="shared" si="344"/>
        <v>2017</v>
      </c>
      <c r="BQ82" s="425">
        <f t="shared" si="344"/>
        <v>2017</v>
      </c>
      <c r="BR82" s="425">
        <f t="shared" ref="BR82:EC82" si="345">YEAR(BR81)</f>
        <v>2017</v>
      </c>
      <c r="BS82" s="425">
        <f t="shared" si="345"/>
        <v>2017</v>
      </c>
      <c r="BT82" s="425">
        <f t="shared" si="345"/>
        <v>2017</v>
      </c>
      <c r="BU82" s="425">
        <f t="shared" si="345"/>
        <v>2017</v>
      </c>
      <c r="BV82" s="425">
        <f t="shared" si="345"/>
        <v>2017</v>
      </c>
      <c r="BW82" s="425">
        <f t="shared" si="345"/>
        <v>2017</v>
      </c>
      <c r="BX82" s="425">
        <f t="shared" si="345"/>
        <v>2017</v>
      </c>
      <c r="BY82" s="425">
        <f t="shared" si="345"/>
        <v>2017</v>
      </c>
      <c r="BZ82" s="425">
        <f t="shared" si="345"/>
        <v>2018</v>
      </c>
      <c r="CA82" s="425">
        <f t="shared" si="345"/>
        <v>2018</v>
      </c>
      <c r="CB82" s="425">
        <f t="shared" si="345"/>
        <v>2018</v>
      </c>
      <c r="CC82" s="425">
        <f t="shared" si="345"/>
        <v>2018</v>
      </c>
      <c r="CD82" s="425">
        <f t="shared" si="345"/>
        <v>2018</v>
      </c>
      <c r="CE82" s="425">
        <f t="shared" si="345"/>
        <v>2018</v>
      </c>
      <c r="CF82" s="425">
        <f t="shared" si="345"/>
        <v>2018</v>
      </c>
      <c r="CG82" s="425">
        <f t="shared" si="345"/>
        <v>2018</v>
      </c>
      <c r="CH82" s="425">
        <f t="shared" si="345"/>
        <v>2018</v>
      </c>
      <c r="CI82" s="425">
        <f t="shared" si="345"/>
        <v>2018</v>
      </c>
      <c r="CJ82" s="425">
        <f t="shared" si="345"/>
        <v>2018</v>
      </c>
      <c r="CK82" s="425">
        <f t="shared" si="345"/>
        <v>2018</v>
      </c>
      <c r="CL82" s="425">
        <f t="shared" si="345"/>
        <v>2019</v>
      </c>
      <c r="CM82" s="425">
        <f t="shared" si="345"/>
        <v>2019</v>
      </c>
      <c r="CN82" s="425">
        <f t="shared" si="345"/>
        <v>2019</v>
      </c>
      <c r="CO82" s="425">
        <f t="shared" si="345"/>
        <v>2019</v>
      </c>
      <c r="CP82" s="425">
        <f t="shared" si="345"/>
        <v>2019</v>
      </c>
      <c r="CQ82" s="425">
        <f t="shared" si="345"/>
        <v>2019</v>
      </c>
      <c r="CR82" s="425">
        <f t="shared" si="345"/>
        <v>2019</v>
      </c>
      <c r="CS82" s="425">
        <f t="shared" si="345"/>
        <v>2019</v>
      </c>
      <c r="CT82" s="425">
        <f t="shared" si="345"/>
        <v>2019</v>
      </c>
      <c r="CU82" s="425">
        <f t="shared" si="345"/>
        <v>2019</v>
      </c>
      <c r="CV82" s="425">
        <f t="shared" si="345"/>
        <v>2019</v>
      </c>
      <c r="CW82" s="425">
        <f t="shared" si="345"/>
        <v>2019</v>
      </c>
      <c r="CX82" s="425">
        <f t="shared" si="345"/>
        <v>2020</v>
      </c>
      <c r="CY82" s="425">
        <f t="shared" si="345"/>
        <v>2020</v>
      </c>
      <c r="CZ82" s="425">
        <f t="shared" si="345"/>
        <v>2020</v>
      </c>
      <c r="DA82" s="425">
        <f t="shared" si="345"/>
        <v>2020</v>
      </c>
      <c r="DB82" s="425">
        <f t="shared" si="345"/>
        <v>2020</v>
      </c>
      <c r="DC82" s="425">
        <f t="shared" si="345"/>
        <v>2020</v>
      </c>
      <c r="DD82" s="425">
        <f t="shared" si="345"/>
        <v>2020</v>
      </c>
      <c r="DE82" s="425">
        <f t="shared" si="345"/>
        <v>2020</v>
      </c>
      <c r="DF82" s="425">
        <f t="shared" si="345"/>
        <v>2020</v>
      </c>
      <c r="DG82" s="425">
        <f t="shared" si="345"/>
        <v>2020</v>
      </c>
      <c r="DH82" s="425">
        <f t="shared" si="345"/>
        <v>2020</v>
      </c>
      <c r="DI82" s="425">
        <f t="shared" si="345"/>
        <v>2020</v>
      </c>
      <c r="DJ82" s="425">
        <f t="shared" si="345"/>
        <v>2021</v>
      </c>
      <c r="DK82" s="425">
        <f t="shared" si="345"/>
        <v>2021</v>
      </c>
      <c r="DL82" s="425">
        <f t="shared" si="345"/>
        <v>2021</v>
      </c>
      <c r="DM82" s="425">
        <f t="shared" si="345"/>
        <v>2021</v>
      </c>
      <c r="DN82" s="425">
        <f t="shared" si="345"/>
        <v>2021</v>
      </c>
      <c r="DO82" s="425">
        <f t="shared" si="345"/>
        <v>2021</v>
      </c>
      <c r="DP82" s="425">
        <f t="shared" si="345"/>
        <v>2021</v>
      </c>
      <c r="DQ82" s="425">
        <f t="shared" si="345"/>
        <v>2021</v>
      </c>
      <c r="DR82" s="425">
        <f t="shared" si="345"/>
        <v>2021</v>
      </c>
      <c r="DS82" s="425">
        <f t="shared" si="345"/>
        <v>2021</v>
      </c>
      <c r="DT82" s="425">
        <f t="shared" si="345"/>
        <v>2021</v>
      </c>
      <c r="DU82" s="425">
        <f t="shared" si="345"/>
        <v>2021</v>
      </c>
      <c r="DV82" s="425">
        <f t="shared" si="345"/>
        <v>2022</v>
      </c>
      <c r="DW82" s="425">
        <f t="shared" si="345"/>
        <v>2022</v>
      </c>
      <c r="DX82" s="425">
        <f t="shared" si="345"/>
        <v>2022</v>
      </c>
      <c r="DY82" s="425">
        <f t="shared" si="345"/>
        <v>2022</v>
      </c>
      <c r="DZ82" s="425">
        <f t="shared" si="345"/>
        <v>2022</v>
      </c>
      <c r="EA82" s="425">
        <f t="shared" si="345"/>
        <v>2022</v>
      </c>
      <c r="EB82" s="425">
        <f t="shared" si="345"/>
        <v>2022</v>
      </c>
      <c r="EC82" s="425">
        <f t="shared" si="345"/>
        <v>2022</v>
      </c>
      <c r="ED82" s="425">
        <f t="shared" ref="ED82:GO82" si="346">YEAR(ED81)</f>
        <v>2022</v>
      </c>
      <c r="EE82" s="425">
        <f t="shared" si="346"/>
        <v>2022</v>
      </c>
      <c r="EF82" s="425">
        <f t="shared" si="346"/>
        <v>2022</v>
      </c>
      <c r="EG82" s="425">
        <f t="shared" si="346"/>
        <v>2022</v>
      </c>
      <c r="EH82" s="425">
        <f t="shared" si="346"/>
        <v>2023</v>
      </c>
      <c r="EI82" s="425">
        <f t="shared" si="346"/>
        <v>2023</v>
      </c>
      <c r="EJ82" s="425">
        <f t="shared" si="346"/>
        <v>2023</v>
      </c>
      <c r="EK82" s="425">
        <f t="shared" si="346"/>
        <v>2023</v>
      </c>
      <c r="EL82" s="425">
        <f t="shared" si="346"/>
        <v>2023</v>
      </c>
      <c r="EM82" s="425">
        <f t="shared" si="346"/>
        <v>2023</v>
      </c>
      <c r="EN82" s="425">
        <f t="shared" si="346"/>
        <v>2023</v>
      </c>
      <c r="EO82" s="425">
        <f t="shared" si="346"/>
        <v>2023</v>
      </c>
      <c r="EP82" s="425">
        <f t="shared" si="346"/>
        <v>2023</v>
      </c>
      <c r="EQ82" s="425">
        <f t="shared" si="346"/>
        <v>2023</v>
      </c>
      <c r="ER82" s="425">
        <f t="shared" si="346"/>
        <v>2023</v>
      </c>
      <c r="ES82" s="425">
        <f t="shared" si="346"/>
        <v>2023</v>
      </c>
      <c r="ET82" s="425">
        <f t="shared" si="346"/>
        <v>2024</v>
      </c>
      <c r="EU82" s="425">
        <f t="shared" si="346"/>
        <v>2024</v>
      </c>
      <c r="EV82" s="425">
        <f t="shared" si="346"/>
        <v>2024</v>
      </c>
      <c r="EW82" s="425">
        <f t="shared" si="346"/>
        <v>2024</v>
      </c>
      <c r="EX82" s="425">
        <f t="shared" si="346"/>
        <v>2024</v>
      </c>
      <c r="EY82" s="425">
        <f t="shared" si="346"/>
        <v>2024</v>
      </c>
      <c r="EZ82" s="425">
        <f t="shared" si="346"/>
        <v>2024</v>
      </c>
      <c r="FA82" s="425">
        <f t="shared" si="346"/>
        <v>2024</v>
      </c>
      <c r="FB82" s="425">
        <f t="shared" si="346"/>
        <v>2024</v>
      </c>
      <c r="FC82" s="425">
        <f t="shared" si="346"/>
        <v>2024</v>
      </c>
      <c r="FD82" s="425">
        <f t="shared" si="346"/>
        <v>2024</v>
      </c>
      <c r="FE82" s="425">
        <f t="shared" si="346"/>
        <v>2024</v>
      </c>
      <c r="FF82" s="425">
        <f t="shared" si="346"/>
        <v>2025</v>
      </c>
      <c r="FG82" s="425">
        <f t="shared" si="346"/>
        <v>2025</v>
      </c>
      <c r="FH82" s="425">
        <f t="shared" si="346"/>
        <v>2025</v>
      </c>
      <c r="FI82" s="425">
        <f t="shared" si="346"/>
        <v>2025</v>
      </c>
      <c r="FJ82" s="425">
        <f t="shared" si="346"/>
        <v>2025</v>
      </c>
      <c r="FK82" s="425">
        <f t="shared" si="346"/>
        <v>2025</v>
      </c>
      <c r="FL82" s="425">
        <f t="shared" si="346"/>
        <v>2025</v>
      </c>
      <c r="FM82" s="425">
        <f t="shared" si="346"/>
        <v>2025</v>
      </c>
      <c r="FN82" s="425">
        <f t="shared" si="346"/>
        <v>2025</v>
      </c>
      <c r="FO82" s="425">
        <f t="shared" si="346"/>
        <v>2025</v>
      </c>
      <c r="FP82" s="425">
        <f t="shared" si="346"/>
        <v>2025</v>
      </c>
      <c r="FQ82" s="425">
        <f t="shared" si="346"/>
        <v>2025</v>
      </c>
      <c r="FR82" s="425">
        <f t="shared" si="346"/>
        <v>2026</v>
      </c>
      <c r="FS82" s="425">
        <f t="shared" si="346"/>
        <v>2026</v>
      </c>
      <c r="FT82" s="425">
        <f t="shared" si="346"/>
        <v>2026</v>
      </c>
      <c r="FU82" s="425">
        <f t="shared" si="346"/>
        <v>2026</v>
      </c>
      <c r="FV82" s="425">
        <f t="shared" si="346"/>
        <v>2026</v>
      </c>
      <c r="FW82" s="425">
        <f t="shared" si="346"/>
        <v>2026</v>
      </c>
      <c r="FX82" s="425">
        <f t="shared" si="346"/>
        <v>2026</v>
      </c>
      <c r="FY82" s="425">
        <f t="shared" si="346"/>
        <v>2026</v>
      </c>
      <c r="FZ82" s="425">
        <f t="shared" si="346"/>
        <v>2026</v>
      </c>
      <c r="GA82" s="425">
        <f t="shared" si="346"/>
        <v>2026</v>
      </c>
      <c r="GB82" s="425">
        <f t="shared" si="346"/>
        <v>2026</v>
      </c>
      <c r="GC82" s="425">
        <f t="shared" si="346"/>
        <v>2026</v>
      </c>
      <c r="GD82" s="425">
        <f t="shared" si="346"/>
        <v>2027</v>
      </c>
      <c r="GE82" s="425">
        <f t="shared" si="346"/>
        <v>2027</v>
      </c>
      <c r="GF82" s="425">
        <f t="shared" si="346"/>
        <v>2027</v>
      </c>
      <c r="GG82" s="425">
        <f t="shared" si="346"/>
        <v>2027</v>
      </c>
      <c r="GH82" s="425">
        <f t="shared" si="346"/>
        <v>2027</v>
      </c>
      <c r="GI82" s="425">
        <f t="shared" si="346"/>
        <v>2027</v>
      </c>
      <c r="GJ82" s="425">
        <f t="shared" si="346"/>
        <v>2027</v>
      </c>
      <c r="GK82" s="425">
        <f t="shared" si="346"/>
        <v>2027</v>
      </c>
      <c r="GL82" s="425">
        <f t="shared" si="346"/>
        <v>2027</v>
      </c>
      <c r="GM82" s="425">
        <f t="shared" si="346"/>
        <v>2027</v>
      </c>
      <c r="GN82" s="425">
        <f t="shared" si="346"/>
        <v>2027</v>
      </c>
      <c r="GO82" s="425">
        <f t="shared" si="346"/>
        <v>2027</v>
      </c>
      <c r="GP82" s="425">
        <f t="shared" ref="GP82:GQ82" si="347">YEAR(GP81)</f>
        <v>2028</v>
      </c>
      <c r="GQ82" s="425">
        <f t="shared" si="347"/>
        <v>2028</v>
      </c>
    </row>
    <row r="83" spans="2:199" hidden="1" outlineLevel="1">
      <c r="B83" s="181" t="s">
        <v>410</v>
      </c>
      <c r="C83" s="205">
        <v>40878</v>
      </c>
    </row>
    <row r="84" spans="2:199" hidden="1" outlineLevel="1">
      <c r="B84" s="182" t="s">
        <v>398</v>
      </c>
      <c r="C84" s="206">
        <v>42339</v>
      </c>
    </row>
    <row r="85" spans="2:199" hidden="1" outlineLevel="1">
      <c r="B85" s="182" t="s">
        <v>402</v>
      </c>
      <c r="C85" s="206">
        <v>41244</v>
      </c>
    </row>
    <row r="86" spans="2:199" hidden="1" outlineLevel="1">
      <c r="B86" s="182" t="s">
        <v>399</v>
      </c>
      <c r="C86" s="206">
        <v>41244</v>
      </c>
      <c r="D86" s="301" t="s">
        <v>468</v>
      </c>
      <c r="E86" s="303"/>
      <c r="F86" s="303"/>
      <c r="G86" s="303"/>
      <c r="H86" s="303"/>
      <c r="I86" s="303"/>
      <c r="J86" s="303"/>
      <c r="K86" s="488"/>
      <c r="L86" s="303"/>
      <c r="M86" s="303"/>
      <c r="N86" s="303"/>
      <c r="O86" s="303"/>
      <c r="P86" s="303"/>
      <c r="Q86" s="488">
        <v>0.25</v>
      </c>
      <c r="R86" s="303"/>
      <c r="S86" s="303"/>
      <c r="T86" s="303"/>
      <c r="U86" s="488"/>
      <c r="V86" s="303"/>
      <c r="W86" s="303"/>
      <c r="X86" s="303"/>
      <c r="Y86" s="303"/>
      <c r="Z86" s="303"/>
      <c r="AA86" s="303"/>
      <c r="AB86" s="303"/>
      <c r="AC86" s="488">
        <v>0.25</v>
      </c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488">
        <v>0.25</v>
      </c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0">
        <v>0.25</v>
      </c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0"/>
      <c r="BN86" s="303"/>
      <c r="BO86" s="303"/>
      <c r="BP86" s="303"/>
      <c r="BQ86" s="303"/>
      <c r="BR86" s="303"/>
      <c r="BS86" s="303"/>
      <c r="BT86" s="303"/>
      <c r="BU86" s="303"/>
      <c r="BV86" s="303"/>
      <c r="BW86" s="303"/>
      <c r="BX86" s="303"/>
      <c r="BY86" s="303"/>
      <c r="BZ86" s="303"/>
      <c r="CA86" s="303"/>
      <c r="CB86" s="303"/>
      <c r="CC86" s="303"/>
      <c r="CD86" s="303"/>
      <c r="CE86" s="303"/>
      <c r="CF86" s="303"/>
      <c r="CG86" s="303"/>
      <c r="CH86" s="303"/>
      <c r="CI86" s="303"/>
      <c r="CJ86" s="303"/>
      <c r="CK86" s="303"/>
      <c r="CL86" s="303"/>
      <c r="CM86" s="303"/>
      <c r="CN86" s="303"/>
      <c r="CO86" s="303"/>
      <c r="CP86" s="303"/>
      <c r="CQ86" s="303"/>
      <c r="CR86" s="303"/>
      <c r="CS86" s="303"/>
      <c r="CT86" s="303"/>
      <c r="CU86" s="303"/>
      <c r="CV86" s="303"/>
      <c r="CW86" s="303"/>
      <c r="CX86" s="303"/>
      <c r="CY86" s="303"/>
      <c r="CZ86" s="303"/>
      <c r="DA86" s="303"/>
      <c r="DB86" s="303"/>
      <c r="DC86" s="303"/>
      <c r="DD86" s="303"/>
      <c r="DE86" s="303"/>
      <c r="DF86" s="303"/>
      <c r="DG86" s="303"/>
      <c r="DH86" s="303"/>
      <c r="DI86" s="303"/>
      <c r="DJ86" s="303"/>
      <c r="DK86" s="303"/>
      <c r="DL86" s="303"/>
      <c r="DM86" s="303"/>
      <c r="DN86" s="303"/>
      <c r="DO86" s="303"/>
      <c r="DP86" s="303"/>
      <c r="DQ86" s="303"/>
      <c r="DR86" s="303"/>
      <c r="DS86" s="303"/>
      <c r="DT86" s="303"/>
      <c r="DU86" s="303"/>
      <c r="DV86" s="303"/>
      <c r="DW86" s="303"/>
      <c r="DX86" s="303"/>
      <c r="DY86" s="303"/>
      <c r="DZ86" s="303"/>
      <c r="EA86" s="303"/>
      <c r="EB86" s="303"/>
      <c r="EC86" s="303"/>
      <c r="ED86" s="303"/>
      <c r="EE86" s="303"/>
      <c r="EF86" s="303"/>
      <c r="EG86" s="303"/>
      <c r="EH86" s="303"/>
      <c r="EI86" s="303"/>
      <c r="EJ86" s="303"/>
      <c r="EK86" s="303"/>
      <c r="EL86" s="303"/>
      <c r="EM86" s="303"/>
      <c r="EN86" s="303"/>
      <c r="EO86" s="303"/>
      <c r="EP86" s="303"/>
      <c r="EQ86" s="303"/>
      <c r="ER86" s="303"/>
      <c r="ES86" s="303"/>
      <c r="ET86" s="303"/>
      <c r="EU86" s="303"/>
      <c r="EV86" s="303"/>
      <c r="EW86" s="303"/>
      <c r="EX86" s="303"/>
      <c r="EY86" s="303"/>
      <c r="EZ86" s="303"/>
      <c r="FA86" s="303"/>
      <c r="FB86" s="303"/>
      <c r="FC86" s="303"/>
      <c r="FD86" s="303"/>
      <c r="FE86" s="303"/>
      <c r="FF86" s="303"/>
      <c r="FG86" s="303"/>
      <c r="FH86" s="303"/>
      <c r="FI86" s="303"/>
      <c r="FJ86" s="303"/>
      <c r="FK86" s="303"/>
      <c r="FL86" s="303"/>
      <c r="FM86" s="303"/>
      <c r="FN86" s="303"/>
      <c r="FO86" s="303"/>
      <c r="FP86" s="303"/>
      <c r="FQ86" s="303"/>
      <c r="FR86" s="303"/>
      <c r="FS86" s="303"/>
      <c r="FT86" s="303"/>
      <c r="FU86" s="303"/>
      <c r="FV86" s="303"/>
      <c r="FW86" s="303"/>
      <c r="FX86" s="303"/>
      <c r="FY86" s="303"/>
      <c r="FZ86" s="303"/>
      <c r="GA86" s="303"/>
      <c r="GB86" s="303"/>
      <c r="GC86" s="303"/>
      <c r="GD86" s="303"/>
      <c r="GE86" s="303"/>
      <c r="GF86" s="303"/>
      <c r="GG86" s="303"/>
      <c r="GH86" s="303"/>
      <c r="GI86" s="303"/>
      <c r="GJ86" s="303"/>
      <c r="GK86" s="303"/>
      <c r="GL86" s="303"/>
      <c r="GM86" s="303"/>
      <c r="GN86" s="303"/>
      <c r="GO86" s="303"/>
      <c r="GP86" s="303"/>
      <c r="GQ86" s="303"/>
    </row>
    <row r="87" spans="2:199" hidden="1" outlineLevel="1">
      <c r="B87" s="182" t="s">
        <v>400</v>
      </c>
      <c r="C87" s="207">
        <v>5</v>
      </c>
    </row>
    <row r="88" spans="2:199" hidden="1" outlineLevel="1">
      <c r="B88" s="182" t="s">
        <v>467</v>
      </c>
      <c r="C88" s="207" t="s">
        <v>620</v>
      </c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  <c r="AB88" s="170"/>
      <c r="AC88" s="170"/>
      <c r="AD88" s="170"/>
      <c r="AE88" s="170"/>
      <c r="AF88" s="170"/>
      <c r="AG88" s="170"/>
      <c r="AH88" s="170"/>
      <c r="AI88" s="170"/>
      <c r="AJ88" s="170"/>
      <c r="AK88" s="170"/>
      <c r="AL88" s="170"/>
      <c r="AM88" s="170"/>
      <c r="AN88" s="170"/>
      <c r="AO88" s="170"/>
      <c r="AP88" s="170"/>
      <c r="AQ88" s="170"/>
      <c r="AR88" s="170"/>
      <c r="AS88" s="170"/>
      <c r="AT88" s="170"/>
      <c r="AU88" s="170"/>
      <c r="AV88" s="170"/>
      <c r="AW88" s="170"/>
      <c r="AX88" s="170"/>
      <c r="AY88" s="170"/>
      <c r="AZ88" s="170"/>
      <c r="BA88" s="170"/>
      <c r="BB88" s="170"/>
      <c r="BC88" s="170"/>
      <c r="BD88" s="170"/>
      <c r="BE88" s="170"/>
      <c r="BF88" s="170"/>
      <c r="BG88" s="170"/>
      <c r="BH88" s="170"/>
      <c r="BI88" s="170"/>
      <c r="BJ88" s="170"/>
      <c r="BK88" s="170"/>
      <c r="BL88" s="170"/>
      <c r="BM88" s="170"/>
      <c r="BN88" s="170"/>
      <c r="BO88" s="170"/>
      <c r="BP88" s="170"/>
      <c r="BQ88" s="170"/>
      <c r="BR88" s="170"/>
      <c r="BS88" s="170"/>
      <c r="BT88" s="170"/>
      <c r="BU88" s="170"/>
      <c r="BV88" s="170"/>
      <c r="BW88" s="170"/>
      <c r="BX88" s="170"/>
      <c r="BY88" s="170"/>
      <c r="BZ88" s="170"/>
      <c r="CA88" s="170"/>
      <c r="CB88" s="170"/>
      <c r="CC88" s="170"/>
      <c r="CD88" s="170"/>
      <c r="CE88" s="170"/>
      <c r="CF88" s="170"/>
      <c r="CG88" s="170"/>
      <c r="CH88" s="170"/>
      <c r="CI88" s="170"/>
      <c r="CJ88" s="170"/>
      <c r="CK88" s="170"/>
      <c r="CL88" s="170"/>
      <c r="CM88" s="170"/>
      <c r="CN88" s="170"/>
      <c r="CO88" s="170"/>
      <c r="CP88" s="170"/>
      <c r="CQ88" s="170"/>
      <c r="CR88" s="170"/>
      <c r="CS88" s="170"/>
      <c r="CT88" s="170"/>
      <c r="CU88" s="170"/>
      <c r="CV88" s="170"/>
      <c r="CW88" s="170"/>
      <c r="CX88" s="170"/>
      <c r="CY88" s="170"/>
      <c r="CZ88" s="170"/>
      <c r="DA88" s="170"/>
      <c r="DB88" s="170"/>
      <c r="DC88" s="170"/>
      <c r="DD88" s="170"/>
      <c r="DE88" s="170"/>
      <c r="DF88" s="170"/>
      <c r="DG88" s="170"/>
      <c r="DH88" s="170"/>
      <c r="DI88" s="170"/>
      <c r="DJ88" s="170"/>
      <c r="DK88" s="170"/>
      <c r="DL88" s="170"/>
      <c r="DM88" s="170"/>
      <c r="DN88" s="170"/>
      <c r="DO88" s="170"/>
      <c r="DP88" s="170"/>
      <c r="DQ88" s="170"/>
      <c r="DR88" s="170"/>
      <c r="DS88" s="170"/>
      <c r="DT88" s="170"/>
      <c r="DU88" s="170"/>
      <c r="DV88" s="170"/>
      <c r="DW88" s="170"/>
      <c r="DX88" s="170"/>
      <c r="DY88" s="170"/>
      <c r="DZ88" s="170"/>
      <c r="EA88" s="170"/>
      <c r="EB88" s="170"/>
      <c r="EC88" s="170"/>
      <c r="ED88" s="170"/>
      <c r="EE88" s="170"/>
      <c r="EF88" s="170"/>
      <c r="EG88" s="170"/>
      <c r="EH88" s="170"/>
      <c r="EI88" s="170"/>
      <c r="EJ88" s="170"/>
      <c r="EK88" s="170"/>
      <c r="EL88" s="170"/>
      <c r="EM88" s="170"/>
      <c r="EN88" s="170"/>
      <c r="EO88" s="170"/>
      <c r="EP88" s="170"/>
      <c r="EQ88" s="170"/>
      <c r="ER88" s="170"/>
      <c r="ES88" s="170"/>
      <c r="ET88" s="170"/>
      <c r="EU88" s="170"/>
      <c r="EV88" s="170"/>
      <c r="EW88" s="170"/>
      <c r="EX88" s="170"/>
      <c r="EY88" s="170"/>
      <c r="EZ88" s="170"/>
      <c r="FA88" s="170"/>
      <c r="FB88" s="170"/>
      <c r="FC88" s="170"/>
      <c r="FD88" s="170"/>
      <c r="FE88" s="170"/>
      <c r="FF88" s="170"/>
      <c r="FG88" s="170"/>
      <c r="FH88" s="170"/>
      <c r="FI88" s="170"/>
      <c r="FJ88" s="170"/>
      <c r="FK88" s="170"/>
      <c r="FL88" s="170"/>
      <c r="FM88" s="170"/>
      <c r="FN88" s="170"/>
      <c r="FO88" s="170"/>
      <c r="FP88" s="170"/>
      <c r="FQ88" s="170"/>
      <c r="FR88" s="170"/>
      <c r="FS88" s="170"/>
      <c r="FT88" s="170"/>
      <c r="FU88" s="170"/>
      <c r="FV88" s="170"/>
      <c r="FW88" s="170"/>
      <c r="FX88" s="170"/>
      <c r="FY88" s="170"/>
      <c r="FZ88" s="170"/>
      <c r="GA88" s="170"/>
      <c r="GB88" s="170"/>
      <c r="GC88" s="170"/>
      <c r="GD88" s="170"/>
      <c r="GE88" s="170"/>
      <c r="GF88" s="170"/>
      <c r="GG88" s="170"/>
      <c r="GH88" s="170"/>
      <c r="GI88" s="170"/>
      <c r="GJ88" s="170"/>
      <c r="GK88" s="170"/>
      <c r="GL88" s="170"/>
      <c r="GM88" s="170"/>
      <c r="GN88" s="170"/>
      <c r="GO88" s="170"/>
      <c r="GP88" s="170"/>
      <c r="GQ88" s="170"/>
    </row>
    <row r="89" spans="2:199" hidden="1" outlineLevel="1">
      <c r="B89" s="182" t="s">
        <v>403</v>
      </c>
      <c r="C89" s="152">
        <v>1.0855999999999999</v>
      </c>
      <c r="D89" s="170"/>
      <c r="E89" s="170">
        <f>VLOOKUP(EOMONTH(E81,0),Macroeconomics!$B$67:$R$380,Macroeconomics!$C$66,0)*$C$89</f>
        <v>9.7704000000000003E-3</v>
      </c>
      <c r="F89" s="170">
        <f>VLOOKUP(EOMONTH(F81,0),Macroeconomics!$B$67:$R$380,Macroeconomics!$C$66,0)*$C$89</f>
        <v>9.6618399999999997E-3</v>
      </c>
      <c r="G89" s="170">
        <f>VLOOKUP(EOMONTH(G81,0),Macroeconomics!$B$67:$R$380,Macroeconomics!$C$66,0)*$C$89</f>
        <v>8.0334399999999993E-3</v>
      </c>
      <c r="H89" s="170">
        <f>VLOOKUP(EOMONTH(H81,0),Macroeconomics!$B$67:$R$380,Macroeconomics!$C$66,0)*$C$89</f>
        <v>8.7933600000000001E-3</v>
      </c>
      <c r="I89" s="170">
        <f>VLOOKUP(EOMONTH(I81,0),Macroeconomics!$B$67:$R$380,Macroeconomics!$C$66,0)*$C$89</f>
        <v>7.5991999999999987E-3</v>
      </c>
      <c r="J89" s="170">
        <f>VLOOKUP(EOMONTH(J81,0),Macroeconomics!$B$67:$R$380,Macroeconomics!$C$66,0)*$C$89</f>
        <v>8.0283201287765227E-3</v>
      </c>
      <c r="K89" s="170">
        <f>VLOOKUP(EOMONTH(K81,0),Macroeconomics!$B$67:$R$380,Macroeconomics!$C$66,0)*$C$89</f>
        <v>6.9084304114031365E-3</v>
      </c>
      <c r="L89" s="170">
        <f>VLOOKUP(EOMONTH(L81,0),Macroeconomics!$B$67:$R$380,Macroeconomics!$C$66,0)*$C$89</f>
        <v>7.5188767560915937E-3</v>
      </c>
      <c r="M89" s="170">
        <f>VLOOKUP(EOMONTH(M81,0),Macroeconomics!$B$67:$R$380,Macroeconomics!$C$66,0)*$C$89</f>
        <v>7.7290607977486053E-3</v>
      </c>
      <c r="N89" s="170">
        <f>VLOOKUP(EOMONTH(N81,0),Macroeconomics!$B$67:$R$380,Macroeconomics!$C$66,0)*$C$89</f>
        <v>6.3682000222032844E-3</v>
      </c>
      <c r="O89" s="170">
        <f>VLOOKUP(EOMONTH(O81,0),Macroeconomics!$B$67:$R$380,Macroeconomics!$C$66,0)*$C$89</f>
        <v>7.3886867004240488E-3</v>
      </c>
      <c r="P89" s="170">
        <f>VLOOKUP(EOMONTH(P81,0),Macroeconomics!$B$67:$R$380,Macroeconomics!$C$66,0)*$C$89</f>
        <v>6.7082563456460527E-3</v>
      </c>
      <c r="Q89" s="170">
        <f>VLOOKUP(EOMONTH(Q81,0),Macroeconomics!$B$67:$R$380,Macroeconomics!$C$66,0)*$C$89</f>
        <v>6.7082563456462938E-3</v>
      </c>
      <c r="R89" s="170">
        <f>VLOOKUP(EOMONTH(R81,0),Macroeconomics!$B$67:$R$380,Macroeconomics!$C$66,0)*$C$89</f>
        <v>7.3886867004240488E-3</v>
      </c>
      <c r="S89" s="170">
        <f>VLOOKUP(EOMONTH(S81,0),Macroeconomics!$B$67:$R$380,Macroeconomics!$C$66,0)*$C$89</f>
        <v>6.0282495574092978E-3</v>
      </c>
      <c r="T89" s="170">
        <f>VLOOKUP(EOMONTH(T81,0),Macroeconomics!$B$67:$R$380,Macroeconomics!$C$66,0)*$C$89</f>
        <v>6.7082563456462938E-3</v>
      </c>
      <c r="U89" s="170">
        <f>VLOOKUP(EOMONTH(U81,0),Macroeconomics!$B$67:$R$380,Macroeconomics!$C$66,0)*$C$89</f>
        <v>7.3886867004240488E-3</v>
      </c>
      <c r="V89" s="170">
        <f>VLOOKUP(EOMONTH(V81,0),Macroeconomics!$B$67:$R$380,Macroeconomics!$C$66,0)*$C$89</f>
        <v>7.0484185607223842E-3</v>
      </c>
      <c r="W89" s="170">
        <f>VLOOKUP(EOMONTH(W81,0),Macroeconomics!$B$67:$R$380,Macroeconomics!$C$66,0)*$C$89</f>
        <v>6.7082563456460527E-3</v>
      </c>
      <c r="X89" s="170">
        <f>VLOOKUP(EOMONTH(X81,0),Macroeconomics!$B$67:$R$380,Macroeconomics!$C$66,0)*$C$89</f>
        <v>7.7290607977488456E-3</v>
      </c>
      <c r="Y89" s="170">
        <f>VLOOKUP(EOMONTH(Y81,0),Macroeconomics!$B$67:$R$380,Macroeconomics!$C$66,0)*$C$89</f>
        <v>7.3886867004238077E-3</v>
      </c>
      <c r="Z89" s="170">
        <f>VLOOKUP(EOMONTH(Z81,0),Macroeconomics!$B$67:$R$380,Macroeconomics!$C$66,0)*$C$89</f>
        <v>7.258667735872062E-3</v>
      </c>
      <c r="AA89" s="170">
        <f>VLOOKUP(EOMONTH(AA81,0),Macroeconomics!$B$67:$R$380,Macroeconomics!$C$66,0)*$C$89</f>
        <v>8.6376420327078408E-3</v>
      </c>
      <c r="AB89" s="170">
        <f>VLOOKUP(EOMONTH(AB81,0),Macroeconomics!$B$67:$R$380,Macroeconomics!$C$66,0)*$C$89</f>
        <v>7.7247055610247077E-3</v>
      </c>
      <c r="AC89" s="170">
        <f>VLOOKUP(EOMONTH(AC81,0),Macroeconomics!$B$67:$R$380,Macroeconomics!$C$66,0)*$C$89</f>
        <v>8.3032930268884617E-3</v>
      </c>
      <c r="AD89" s="170">
        <f>VLOOKUP(EOMONTH(AD81,0),Macroeconomics!$B$67:$R$380,Macroeconomics!$C$66,0)*$C$89</f>
        <v>8.7037623676275936E-3</v>
      </c>
      <c r="AE89" s="170">
        <f>VLOOKUP(EOMONTH(AE81,0),Macroeconomics!$B$67:$R$380,Macroeconomics!$C$66,0)*$C$89</f>
        <v>7.9029702311285231E-3</v>
      </c>
      <c r="AF89" s="170">
        <f>VLOOKUP(EOMONTH(AF81,0),Macroeconomics!$B$67:$R$380,Macroeconomics!$C$66,0)*$C$89</f>
        <v>7.5027939267046312E-3</v>
      </c>
      <c r="AG89" s="170">
        <f>VLOOKUP(EOMONTH(AG81,0),Macroeconomics!$B$67:$R$380,Macroeconomics!$C$66,0)*$C$89</f>
        <v>7.9029702311285231E-3</v>
      </c>
      <c r="AH89" s="170">
        <f>VLOOKUP(EOMONTH(AH81,0),Macroeconomics!$B$67:$R$380,Macroeconomics!$C$66,0)*$C$89</f>
        <v>8.3032930268884617E-3</v>
      </c>
      <c r="AI89" s="170">
        <f>VLOOKUP(EOMONTH(AI81,0),Macroeconomics!$B$67:$R$380,Macroeconomics!$C$66,0)*$C$89</f>
        <v>7.9029702311285231E-3</v>
      </c>
      <c r="AJ89" s="170">
        <f>VLOOKUP(EOMONTH(AJ81,0),Macroeconomics!$B$67:$R$380,Macroeconomics!$C$66,0)*$C$89</f>
        <v>9.104378307004491E-3</v>
      </c>
      <c r="AK89" s="170">
        <f>VLOOKUP(EOMONTH(AK81,0),Macroeconomics!$B$67:$R$380,Macroeconomics!$C$66,0)*$C$89</f>
        <v>8.3032930268884617E-3</v>
      </c>
      <c r="AL89" s="170">
        <f>VLOOKUP(EOMONTH(AL81,0),Macroeconomics!$B$67:$R$380,Macroeconomics!$C$66,0)*$C$89</f>
        <v>8.7037623676275936E-3</v>
      </c>
      <c r="AM89" s="170">
        <f>VLOOKUP(EOMONTH(AM81,0),Macroeconomics!$B$67:$R$380,Macroeconomics!$C$66,0)*$C$89</f>
        <v>9.104378307004491E-3</v>
      </c>
      <c r="AN89" s="170">
        <f>VLOOKUP(EOMONTH(AN81,0),Macroeconomics!$B$67:$R$380,Macroeconomics!$C$66,0)*$C$89</f>
        <v>7.9029702311285231E-3</v>
      </c>
      <c r="AO89" s="170">
        <f>VLOOKUP(EOMONTH(AO81,0),Macroeconomics!$B$67:$R$380,Macroeconomics!$C$66,0)*$C$89</f>
        <v>8.7037623676273525E-3</v>
      </c>
      <c r="AP89" s="170">
        <f>VLOOKUP(EOMONTH(AP81,0),Macroeconomics!$B$67:$R$380,Macroeconomics!$C$66,0)*$C$89</f>
        <v>8.3032930268884617E-3</v>
      </c>
      <c r="AQ89" s="170">
        <f>VLOOKUP(EOMONTH(AQ81,0),Macroeconomics!$B$67:$R$380,Macroeconomics!$C$66,0)*$C$89</f>
        <v>7.1027640599902733E-3</v>
      </c>
      <c r="AR89" s="170">
        <f>VLOOKUP(EOMONTH(AR81,0),Macroeconomics!$B$67:$R$380,Macroeconomics!$C$66,0)*$C$89</f>
        <v>8.7037623676275936E-3</v>
      </c>
      <c r="AS89" s="170">
        <f>VLOOKUP(EOMONTH(AS81,0),Macroeconomics!$B$67:$R$380,Macroeconomics!$C$66,0)*$C$89</f>
        <v>7.9029702311285231E-3</v>
      </c>
      <c r="AT89" s="170">
        <f>VLOOKUP(EOMONTH(AT81,0),Macroeconomics!$B$67:$R$380,Macroeconomics!$C$66,0)*$C$89</f>
        <v>7.9029702311287642E-3</v>
      </c>
      <c r="AU89" s="170">
        <f>VLOOKUP(EOMONTH(AU81,0),Macroeconomics!$B$67:$R$380,Macroeconomics!$C$66,0)*$C$89</f>
        <v>8.3032930268884617E-3</v>
      </c>
      <c r="AV89" s="170">
        <f>VLOOKUP(EOMONTH(AV81,0),Macroeconomics!$B$67:$R$380,Macroeconomics!$C$66,0)*$C$89</f>
        <v>9.104378307004491E-3</v>
      </c>
      <c r="AW89" s="170">
        <f>VLOOKUP(EOMONTH(AW81,0),Macroeconomics!$B$67:$R$380,Macroeconomics!$C$66,0)*$C$89</f>
        <v>8.3032930268884617E-3</v>
      </c>
      <c r="AX89" s="170">
        <f>VLOOKUP(EOMONTH(AX81,0),Macroeconomics!$B$67:$R$380,Macroeconomics!$C$66,0)*$C$89</f>
        <v>8.3032930268884617E-3</v>
      </c>
      <c r="AY89" s="170">
        <f>VLOOKUP(EOMONTH(AY81,0),Macroeconomics!$B$67:$R$380,Macroeconomics!$C$66,0)*$C$89</f>
        <v>8.3032930268884617E-3</v>
      </c>
      <c r="AZ89" s="170">
        <f>VLOOKUP(EOMONTH(AZ81,0),Macroeconomics!$B$67:$R$380,Macroeconomics!$C$66,0)*$C$89</f>
        <v>7.9029702311285231E-3</v>
      </c>
      <c r="BA89" s="170">
        <f>VLOOKUP(EOMONTH(BA81,0),Macroeconomics!$B$67:$R$380,Macroeconomics!$C$66,0)*$C$89</f>
        <v>8.7037623676273525E-3</v>
      </c>
      <c r="BB89" s="170">
        <f>VLOOKUP(EOMONTH(BB81,0),Macroeconomics!$B$67:$R$380,Macroeconomics!$C$66,0)*$C$89</f>
        <v>8.3827857946193445E-3</v>
      </c>
      <c r="BC89" s="170">
        <f>VLOOKUP(EOMONTH(BC81,0),Macroeconomics!$B$67:$R$380,Macroeconomics!$C$66,0)*$C$89</f>
        <v>8.3827857946193445E-3</v>
      </c>
      <c r="BD89" s="170">
        <f>VLOOKUP(EOMONTH(BD81,0),Macroeconomics!$B$67:$R$380,Macroeconomics!$C$66,0)*$C$89</f>
        <v>8.3827857946193445E-3</v>
      </c>
      <c r="BE89" s="170">
        <f>VLOOKUP(EOMONTH(BE81,0),Macroeconomics!$B$67:$R$380,Macroeconomics!$C$66,0)*$C$89</f>
        <v>8.3827857946193445E-3</v>
      </c>
      <c r="BF89" s="170">
        <f>VLOOKUP(EOMONTH(BF81,0),Macroeconomics!$B$67:$R$380,Macroeconomics!$C$66,0)*$C$89</f>
        <v>8.3827857946193445E-3</v>
      </c>
      <c r="BG89" s="170">
        <f>VLOOKUP(EOMONTH(BG81,0),Macroeconomics!$B$67:$R$380,Macroeconomics!$C$66,0)*$C$89</f>
        <v>8.3827857946193445E-3</v>
      </c>
      <c r="BH89" s="170">
        <f>VLOOKUP(EOMONTH(BH81,0),Macroeconomics!$B$67:$R$380,Macroeconomics!$C$66,0)*$C$89</f>
        <v>8.3827857946193445E-3</v>
      </c>
      <c r="BI89" s="170">
        <f>VLOOKUP(EOMONTH(BI81,0),Macroeconomics!$B$67:$R$380,Macroeconomics!$C$66,0)*$C$89</f>
        <v>8.3827857946193445E-3</v>
      </c>
      <c r="BJ89" s="170">
        <f>VLOOKUP(EOMONTH(BJ81,0),Macroeconomics!$B$67:$R$380,Macroeconomics!$C$66,0)*$C$89</f>
        <v>8.3827857946193445E-3</v>
      </c>
      <c r="BK89" s="170">
        <f>VLOOKUP(EOMONTH(BK81,0),Macroeconomics!$B$67:$R$380,Macroeconomics!$C$66,0)*$C$89</f>
        <v>8.3827857946193445E-3</v>
      </c>
      <c r="BL89" s="170">
        <f>VLOOKUP(EOMONTH(BL81,0),Macroeconomics!$B$67:$R$380,Macroeconomics!$C$66,0)*$C$89</f>
        <v>8.3827857946193445E-3</v>
      </c>
      <c r="BM89" s="170">
        <f>VLOOKUP(EOMONTH(BM81,0),Macroeconomics!$B$67:$R$380,Macroeconomics!$C$66,0)*$C$89</f>
        <v>8.3827857946193445E-3</v>
      </c>
      <c r="BN89" s="170">
        <f>VLOOKUP(EOMONTH(BN81,0),Macroeconomics!$B$67:$R$380,Macroeconomics!$C$66,0)*$C$89</f>
        <v>8.3827857946193445E-3</v>
      </c>
      <c r="BO89" s="170">
        <f>VLOOKUP(EOMONTH(BO81,0),Macroeconomics!$B$67:$R$380,Macroeconomics!$C$66,0)*$C$89</f>
        <v>8.3827857946193445E-3</v>
      </c>
      <c r="BP89" s="170">
        <f>VLOOKUP(EOMONTH(BP81,0),Macroeconomics!$B$67:$R$380,Macroeconomics!$C$66,0)*$C$89</f>
        <v>8.3827857946193445E-3</v>
      </c>
      <c r="BQ89" s="170">
        <f>VLOOKUP(EOMONTH(BQ81,0),Macroeconomics!$B$67:$R$380,Macroeconomics!$C$66,0)*$C$89</f>
        <v>8.3827857946193445E-3</v>
      </c>
      <c r="BR89" s="170">
        <f>VLOOKUP(EOMONTH(BR81,0),Macroeconomics!$B$67:$R$380,Macroeconomics!$C$66,0)*$C$89</f>
        <v>8.3827857946193445E-3</v>
      </c>
      <c r="BS89" s="170">
        <f>VLOOKUP(EOMONTH(BS81,0),Macroeconomics!$B$67:$R$380,Macroeconomics!$C$66,0)*$C$89</f>
        <v>8.3827857946193445E-3</v>
      </c>
      <c r="BT89" s="170">
        <f>VLOOKUP(EOMONTH(BT81,0),Macroeconomics!$B$67:$R$380,Macroeconomics!$C$66,0)*$C$89</f>
        <v>8.3827857946193445E-3</v>
      </c>
      <c r="BU89" s="170">
        <f>VLOOKUP(EOMONTH(BU81,0),Macroeconomics!$B$67:$R$380,Macroeconomics!$C$66,0)*$C$89</f>
        <v>8.3827857946193445E-3</v>
      </c>
      <c r="BV89" s="170">
        <f>VLOOKUP(EOMONTH(BV81,0),Macroeconomics!$B$67:$R$380,Macroeconomics!$C$66,0)*$C$89</f>
        <v>8.3827857946193445E-3</v>
      </c>
      <c r="BW89" s="170">
        <f>VLOOKUP(EOMONTH(BW81,0),Macroeconomics!$B$67:$R$380,Macroeconomics!$C$66,0)*$C$89</f>
        <v>8.3827857946193445E-3</v>
      </c>
      <c r="BX89" s="170">
        <f>VLOOKUP(EOMONTH(BX81,0),Macroeconomics!$B$67:$R$380,Macroeconomics!$C$66,0)*$C$89</f>
        <v>8.3827857946193445E-3</v>
      </c>
      <c r="BY89" s="170">
        <f>VLOOKUP(EOMONTH(BY81,0),Macroeconomics!$B$67:$R$380,Macroeconomics!$C$66,0)*$C$89</f>
        <v>8.3827857946193445E-3</v>
      </c>
      <c r="BZ89" s="170">
        <f>VLOOKUP(EOMONTH(BZ81,0),Macroeconomics!$B$67:$R$380,Macroeconomics!$C$66,0)*$C$89</f>
        <v>8.1830809351328849E-3</v>
      </c>
      <c r="CA89" s="170">
        <f>VLOOKUP(EOMONTH(CA81,0),Macroeconomics!$B$67:$R$380,Macroeconomics!$C$66,0)*$C$89</f>
        <v>8.1830809351328849E-3</v>
      </c>
      <c r="CB89" s="170">
        <f>VLOOKUP(EOMONTH(CB81,0),Macroeconomics!$B$67:$R$380,Macroeconomics!$C$66,0)*$C$89</f>
        <v>8.1830809351328849E-3</v>
      </c>
      <c r="CC89" s="170">
        <f>VLOOKUP(EOMONTH(CC81,0),Macroeconomics!$B$67:$R$380,Macroeconomics!$C$66,0)*$C$89</f>
        <v>8.1830809351328849E-3</v>
      </c>
      <c r="CD89" s="170">
        <f>VLOOKUP(EOMONTH(CD81,0),Macroeconomics!$B$67:$R$380,Macroeconomics!$C$66,0)*$C$89</f>
        <v>8.1830809351328849E-3</v>
      </c>
      <c r="CE89" s="170">
        <f>VLOOKUP(EOMONTH(CE81,0),Macroeconomics!$B$67:$R$380,Macroeconomics!$C$66,0)*$C$89</f>
        <v>8.1830809351328849E-3</v>
      </c>
      <c r="CF89" s="170">
        <f>VLOOKUP(EOMONTH(CF81,0),Macroeconomics!$B$67:$R$380,Macroeconomics!$C$66,0)*$C$89</f>
        <v>8.1830809351328849E-3</v>
      </c>
      <c r="CG89" s="170">
        <f>VLOOKUP(EOMONTH(CG81,0),Macroeconomics!$B$67:$R$380,Macroeconomics!$C$66,0)*$C$89</f>
        <v>8.1830809351328849E-3</v>
      </c>
      <c r="CH89" s="170">
        <f>VLOOKUP(EOMONTH(CH81,0),Macroeconomics!$B$67:$R$380,Macroeconomics!$C$66,0)*$C$89</f>
        <v>8.1830809351328849E-3</v>
      </c>
      <c r="CI89" s="170">
        <f>VLOOKUP(EOMONTH(CI81,0),Macroeconomics!$B$67:$R$380,Macroeconomics!$C$66,0)*$C$89</f>
        <v>8.1830809351328849E-3</v>
      </c>
      <c r="CJ89" s="170">
        <f>VLOOKUP(EOMONTH(CJ81,0),Macroeconomics!$B$67:$R$380,Macroeconomics!$C$66,0)*$C$89</f>
        <v>8.1830809351328849E-3</v>
      </c>
      <c r="CK89" s="170">
        <f>VLOOKUP(EOMONTH(CK81,0),Macroeconomics!$B$67:$R$380,Macroeconomics!$C$66,0)*$C$89</f>
        <v>8.1830809351328849E-3</v>
      </c>
      <c r="CL89" s="170">
        <f>VLOOKUP(EOMONTH(CL81,0),Macroeconomics!$B$67:$R$380,Macroeconomics!$C$66,0)*$C$89</f>
        <v>8.1747511893647054E-3</v>
      </c>
      <c r="CM89" s="170">
        <f>VLOOKUP(EOMONTH(CM81,0),Macroeconomics!$B$67:$R$380,Macroeconomics!$C$66,0)*$C$89</f>
        <v>8.1747511893647054E-3</v>
      </c>
      <c r="CN89" s="170">
        <f>VLOOKUP(EOMONTH(CN81,0),Macroeconomics!$B$67:$R$380,Macroeconomics!$C$66,0)*$C$89</f>
        <v>8.1747511893647054E-3</v>
      </c>
      <c r="CO89" s="170">
        <f>VLOOKUP(EOMONTH(CO81,0),Macroeconomics!$B$67:$R$380,Macroeconomics!$C$66,0)*$C$89</f>
        <v>8.1747511893647054E-3</v>
      </c>
      <c r="CP89" s="170">
        <f>VLOOKUP(EOMONTH(CP81,0),Macroeconomics!$B$67:$R$380,Macroeconomics!$C$66,0)*$C$89</f>
        <v>8.1747511893647054E-3</v>
      </c>
      <c r="CQ89" s="170">
        <f>VLOOKUP(EOMONTH(CQ81,0),Macroeconomics!$B$67:$R$380,Macroeconomics!$C$66,0)*$C$89</f>
        <v>8.1747511893647054E-3</v>
      </c>
      <c r="CR89" s="170">
        <f>VLOOKUP(EOMONTH(CR81,0),Macroeconomics!$B$67:$R$380,Macroeconomics!$C$66,0)*$C$89</f>
        <v>8.1747511893647054E-3</v>
      </c>
      <c r="CS89" s="170">
        <f>VLOOKUP(EOMONTH(CS81,0),Macroeconomics!$B$67:$R$380,Macroeconomics!$C$66,0)*$C$89</f>
        <v>8.1747511893647054E-3</v>
      </c>
      <c r="CT89" s="170">
        <f>VLOOKUP(EOMONTH(CT81,0),Macroeconomics!$B$67:$R$380,Macroeconomics!$C$66,0)*$C$89</f>
        <v>8.1747511893647054E-3</v>
      </c>
      <c r="CU89" s="170">
        <f>VLOOKUP(EOMONTH(CU81,0),Macroeconomics!$B$67:$R$380,Macroeconomics!$C$66,0)*$C$89</f>
        <v>8.1747511893647054E-3</v>
      </c>
      <c r="CV89" s="170">
        <f>VLOOKUP(EOMONTH(CV81,0),Macroeconomics!$B$67:$R$380,Macroeconomics!$C$66,0)*$C$89</f>
        <v>8.1747511893647054E-3</v>
      </c>
      <c r="CW89" s="170">
        <f>VLOOKUP(EOMONTH(CW81,0),Macroeconomics!$B$67:$R$380,Macroeconomics!$C$66,0)*$C$89</f>
        <v>8.1747511893647054E-3</v>
      </c>
      <c r="CX89" s="170">
        <f>VLOOKUP(EOMONTH(CX81,0),Macroeconomics!$B$67:$R$380,Macroeconomics!$C$66,0)*$C$89</f>
        <v>8.1747511893647054E-3</v>
      </c>
      <c r="CY89" s="170">
        <f>VLOOKUP(EOMONTH(CY81,0),Macroeconomics!$B$67:$R$380,Macroeconomics!$C$66,0)*$C$89</f>
        <v>8.1747511893647054E-3</v>
      </c>
      <c r="CZ89" s="170">
        <f>VLOOKUP(EOMONTH(CZ81,0),Macroeconomics!$B$67:$R$380,Macroeconomics!$C$66,0)*$C$89</f>
        <v>8.1747511893647054E-3</v>
      </c>
      <c r="DA89" s="170">
        <f>VLOOKUP(EOMONTH(DA81,0),Macroeconomics!$B$67:$R$380,Macroeconomics!$C$66,0)*$C$89</f>
        <v>8.1747511893647054E-3</v>
      </c>
      <c r="DB89" s="170">
        <f>VLOOKUP(EOMONTH(DB81,0),Macroeconomics!$B$67:$R$380,Macroeconomics!$C$66,0)*$C$89</f>
        <v>8.1747511893647054E-3</v>
      </c>
      <c r="DC89" s="170">
        <f>VLOOKUP(EOMONTH(DC81,0),Macroeconomics!$B$67:$R$380,Macroeconomics!$C$66,0)*$C$89</f>
        <v>8.1747511893647054E-3</v>
      </c>
      <c r="DD89" s="170">
        <f>VLOOKUP(EOMONTH(DD81,0),Macroeconomics!$B$67:$R$380,Macroeconomics!$C$66,0)*$C$89</f>
        <v>8.1747511893647054E-3</v>
      </c>
      <c r="DE89" s="170">
        <f>VLOOKUP(EOMONTH(DE81,0),Macroeconomics!$B$67:$R$380,Macroeconomics!$C$66,0)*$C$89</f>
        <v>8.1747511893647054E-3</v>
      </c>
      <c r="DF89" s="170">
        <f>VLOOKUP(EOMONTH(DF81,0),Macroeconomics!$B$67:$R$380,Macroeconomics!$C$66,0)*$C$89</f>
        <v>8.1747511893647054E-3</v>
      </c>
      <c r="DG89" s="170">
        <f>VLOOKUP(EOMONTH(DG81,0),Macroeconomics!$B$67:$R$380,Macroeconomics!$C$66,0)*$C$89</f>
        <v>8.1747511893647054E-3</v>
      </c>
      <c r="DH89" s="170">
        <f>VLOOKUP(EOMONTH(DH81,0),Macroeconomics!$B$67:$R$380,Macroeconomics!$C$66,0)*$C$89</f>
        <v>8.1747511893647054E-3</v>
      </c>
      <c r="DI89" s="170">
        <f>VLOOKUP(EOMONTH(DI81,0),Macroeconomics!$B$67:$R$380,Macroeconomics!$C$66,0)*$C$89</f>
        <v>8.1747511893647054E-3</v>
      </c>
      <c r="DJ89" s="170">
        <f>VLOOKUP(EOMONTH(DJ81,0),Macroeconomics!$B$67:$R$380,Macroeconomics!$C$66,0)*$C$89</f>
        <v>8.1747511893647054E-3</v>
      </c>
      <c r="DK89" s="170">
        <f>VLOOKUP(EOMONTH(DK81,0),Macroeconomics!$B$67:$R$380,Macroeconomics!$C$66,0)*$C$89</f>
        <v>8.1747511893647054E-3</v>
      </c>
      <c r="DL89" s="170">
        <f>VLOOKUP(EOMONTH(DL81,0),Macroeconomics!$B$67:$R$380,Macroeconomics!$C$66,0)*$C$89</f>
        <v>8.1747511893647054E-3</v>
      </c>
      <c r="DM89" s="170">
        <f>VLOOKUP(EOMONTH(DM81,0),Macroeconomics!$B$67:$R$380,Macroeconomics!$C$66,0)*$C$89</f>
        <v>8.1747511893647054E-3</v>
      </c>
      <c r="DN89" s="170">
        <f>VLOOKUP(EOMONTH(DN81,0),Macroeconomics!$B$67:$R$380,Macroeconomics!$C$66,0)*$C$89</f>
        <v>8.1747511893647054E-3</v>
      </c>
      <c r="DO89" s="170">
        <f>VLOOKUP(EOMONTH(DO81,0),Macroeconomics!$B$67:$R$380,Macroeconomics!$C$66,0)*$C$89</f>
        <v>8.1747511893647054E-3</v>
      </c>
      <c r="DP89" s="170">
        <f>VLOOKUP(EOMONTH(DP81,0),Macroeconomics!$B$67:$R$380,Macroeconomics!$C$66,0)*$C$89</f>
        <v>8.1747511893647054E-3</v>
      </c>
      <c r="DQ89" s="170">
        <f>VLOOKUP(EOMONTH(DQ81,0),Macroeconomics!$B$67:$R$380,Macroeconomics!$C$66,0)*$C$89</f>
        <v>8.1747511893647054E-3</v>
      </c>
      <c r="DR89" s="170">
        <f>VLOOKUP(EOMONTH(DR81,0),Macroeconomics!$B$67:$R$380,Macroeconomics!$C$66,0)*$C$89</f>
        <v>8.1747511893647054E-3</v>
      </c>
      <c r="DS89" s="170">
        <f>VLOOKUP(EOMONTH(DS81,0),Macroeconomics!$B$67:$R$380,Macroeconomics!$C$66,0)*$C$89</f>
        <v>8.1747511893647054E-3</v>
      </c>
      <c r="DT89" s="170">
        <f>VLOOKUP(EOMONTH(DT81,0),Macroeconomics!$B$67:$R$380,Macroeconomics!$C$66,0)*$C$89</f>
        <v>8.1747511893647054E-3</v>
      </c>
      <c r="DU89" s="170">
        <f>VLOOKUP(EOMONTH(DU81,0),Macroeconomics!$B$67:$R$380,Macroeconomics!$C$66,0)*$C$89</f>
        <v>8.1747511893647054E-3</v>
      </c>
      <c r="DV89" s="170">
        <f>VLOOKUP(EOMONTH(DV81,0),Macroeconomics!$B$67:$R$380,Macroeconomics!$C$66,0)*$C$89</f>
        <v>7.9746276530795433E-3</v>
      </c>
      <c r="DW89" s="170">
        <f>VLOOKUP(EOMONTH(DW81,0),Macroeconomics!$B$67:$R$380,Macroeconomics!$C$66,0)*$C$89</f>
        <v>7.9746276530795433E-3</v>
      </c>
      <c r="DX89" s="170">
        <f>VLOOKUP(EOMONTH(DX81,0),Macroeconomics!$B$67:$R$380,Macroeconomics!$C$66,0)*$C$89</f>
        <v>7.9746276530795433E-3</v>
      </c>
      <c r="DY89" s="170">
        <f>VLOOKUP(EOMONTH(DY81,0),Macroeconomics!$B$67:$R$380,Macroeconomics!$C$66,0)*$C$89</f>
        <v>7.9746276530795433E-3</v>
      </c>
      <c r="DZ89" s="170">
        <f>VLOOKUP(EOMONTH(DZ81,0),Macroeconomics!$B$67:$R$380,Macroeconomics!$C$66,0)*$C$89</f>
        <v>7.9746276530795433E-3</v>
      </c>
      <c r="EA89" s="170">
        <f>VLOOKUP(EOMONTH(EA81,0),Macroeconomics!$B$67:$R$380,Macroeconomics!$C$66,0)*$C$89</f>
        <v>7.9746276530795433E-3</v>
      </c>
      <c r="EB89" s="170">
        <f>VLOOKUP(EOMONTH(EB81,0),Macroeconomics!$B$67:$R$380,Macroeconomics!$C$66,0)*$C$89</f>
        <v>7.9746276530795433E-3</v>
      </c>
      <c r="EC89" s="170">
        <f>VLOOKUP(EOMONTH(EC81,0),Macroeconomics!$B$67:$R$380,Macroeconomics!$C$66,0)*$C$89</f>
        <v>7.9746276530795433E-3</v>
      </c>
      <c r="ED89" s="170">
        <f>VLOOKUP(EOMONTH(ED81,0),Macroeconomics!$B$67:$R$380,Macroeconomics!$C$66,0)*$C$89</f>
        <v>7.9746276530795433E-3</v>
      </c>
      <c r="EE89" s="170">
        <f>VLOOKUP(EOMONTH(EE81,0),Macroeconomics!$B$67:$R$380,Macroeconomics!$C$66,0)*$C$89</f>
        <v>7.9746276530795433E-3</v>
      </c>
      <c r="EF89" s="170">
        <f>VLOOKUP(EOMONTH(EF81,0),Macroeconomics!$B$67:$R$380,Macroeconomics!$C$66,0)*$C$89</f>
        <v>7.9746276530795433E-3</v>
      </c>
      <c r="EG89" s="170">
        <f>VLOOKUP(EOMONTH(EG81,0),Macroeconomics!$B$67:$R$380,Macroeconomics!$C$66,0)*$C$89</f>
        <v>7.9746276530795433E-3</v>
      </c>
      <c r="EH89" s="170">
        <f>VLOOKUP(EOMONTH(EH81,0),Macroeconomics!$B$67:$R$380,Macroeconomics!$C$66,0)*$C$89</f>
        <v>7.9746276530795433E-3</v>
      </c>
      <c r="EI89" s="170">
        <f>VLOOKUP(EOMONTH(EI81,0),Macroeconomics!$B$67:$R$380,Macroeconomics!$C$66,0)*$C$89</f>
        <v>7.9746276530795433E-3</v>
      </c>
      <c r="EJ89" s="170">
        <f>VLOOKUP(EOMONTH(EJ81,0),Macroeconomics!$B$67:$R$380,Macroeconomics!$C$66,0)*$C$89</f>
        <v>7.9746276530795433E-3</v>
      </c>
      <c r="EK89" s="170">
        <f>VLOOKUP(EOMONTH(EK81,0),Macroeconomics!$B$67:$R$380,Macroeconomics!$C$66,0)*$C$89</f>
        <v>7.9746276530795433E-3</v>
      </c>
      <c r="EL89" s="170">
        <f>VLOOKUP(EOMONTH(EL81,0),Macroeconomics!$B$67:$R$380,Macroeconomics!$C$66,0)*$C$89</f>
        <v>7.9746276530795433E-3</v>
      </c>
      <c r="EM89" s="170">
        <f>VLOOKUP(EOMONTH(EM81,0),Macroeconomics!$B$67:$R$380,Macroeconomics!$C$66,0)*$C$89</f>
        <v>7.9746276530795433E-3</v>
      </c>
      <c r="EN89" s="170">
        <f>VLOOKUP(EOMONTH(EN81,0),Macroeconomics!$B$67:$R$380,Macroeconomics!$C$66,0)*$C$89</f>
        <v>7.9746276530795433E-3</v>
      </c>
      <c r="EO89" s="170">
        <f>VLOOKUP(EOMONTH(EO81,0),Macroeconomics!$B$67:$R$380,Macroeconomics!$C$66,0)*$C$89</f>
        <v>7.9746276530795433E-3</v>
      </c>
      <c r="EP89" s="170">
        <f>VLOOKUP(EOMONTH(EP81,0),Macroeconomics!$B$67:$R$380,Macroeconomics!$C$66,0)*$C$89</f>
        <v>7.9746276530795433E-3</v>
      </c>
      <c r="EQ89" s="170">
        <f>VLOOKUP(EOMONTH(EQ81,0),Macroeconomics!$B$67:$R$380,Macroeconomics!$C$66,0)*$C$89</f>
        <v>7.9746276530795433E-3</v>
      </c>
      <c r="ER89" s="170">
        <f>VLOOKUP(EOMONTH(ER81,0),Macroeconomics!$B$67:$R$380,Macroeconomics!$C$66,0)*$C$89</f>
        <v>7.9746276530795433E-3</v>
      </c>
      <c r="ES89" s="170">
        <f>VLOOKUP(EOMONTH(ES81,0),Macroeconomics!$B$67:$R$380,Macroeconomics!$C$66,0)*$C$89</f>
        <v>7.9746276530795433E-3</v>
      </c>
      <c r="ET89" s="170">
        <f>VLOOKUP(EOMONTH(ET81,0),Macroeconomics!$B$67:$R$380,Macroeconomics!$C$66,0)*$C$89</f>
        <v>7.9746276530795433E-3</v>
      </c>
      <c r="EU89" s="170">
        <f>VLOOKUP(EOMONTH(EU81,0),Macroeconomics!$B$67:$R$380,Macroeconomics!$C$66,0)*$C$89</f>
        <v>7.9746276530795433E-3</v>
      </c>
      <c r="EV89" s="170">
        <f>VLOOKUP(EOMONTH(EV81,0),Macroeconomics!$B$67:$R$380,Macroeconomics!$C$66,0)*$C$89</f>
        <v>7.9746276530795433E-3</v>
      </c>
      <c r="EW89" s="170">
        <f>VLOOKUP(EOMONTH(EW81,0),Macroeconomics!$B$67:$R$380,Macroeconomics!$C$66,0)*$C$89</f>
        <v>7.9746276530795433E-3</v>
      </c>
      <c r="EX89" s="170">
        <f>VLOOKUP(EOMONTH(EX81,0),Macroeconomics!$B$67:$R$380,Macroeconomics!$C$66,0)*$C$89</f>
        <v>7.9746276530795433E-3</v>
      </c>
      <c r="EY89" s="170">
        <f>VLOOKUP(EOMONTH(EY81,0),Macroeconomics!$B$67:$R$380,Macroeconomics!$C$66,0)*$C$89</f>
        <v>7.9746276530795433E-3</v>
      </c>
      <c r="EZ89" s="170">
        <f>VLOOKUP(EOMONTH(EZ81,0),Macroeconomics!$B$67:$R$380,Macroeconomics!$C$66,0)*$C$89</f>
        <v>7.9746276530795433E-3</v>
      </c>
      <c r="FA89" s="170">
        <f>VLOOKUP(EOMONTH(FA81,0),Macroeconomics!$B$67:$R$380,Macroeconomics!$C$66,0)*$C$89</f>
        <v>7.9746276530795433E-3</v>
      </c>
      <c r="FB89" s="170">
        <f>VLOOKUP(EOMONTH(FB81,0),Macroeconomics!$B$67:$R$380,Macroeconomics!$C$66,0)*$C$89</f>
        <v>7.9746276530795433E-3</v>
      </c>
      <c r="FC89" s="170">
        <f>VLOOKUP(EOMONTH(FC81,0),Macroeconomics!$B$67:$R$380,Macroeconomics!$C$66,0)*$C$89</f>
        <v>7.9746276530795433E-3</v>
      </c>
      <c r="FD89" s="170">
        <f>VLOOKUP(EOMONTH(FD81,0),Macroeconomics!$B$67:$R$380,Macroeconomics!$C$66,0)*$C$89</f>
        <v>7.9746276530795433E-3</v>
      </c>
      <c r="FE89" s="170">
        <f>VLOOKUP(EOMONTH(FE81,0),Macroeconomics!$B$67:$R$380,Macroeconomics!$C$66,0)*$C$89</f>
        <v>7.9746276530795433E-3</v>
      </c>
      <c r="FF89" s="170">
        <f>VLOOKUP(EOMONTH(FF81,0),Macroeconomics!$B$67:$R$380,Macroeconomics!$C$66,0)*$C$89</f>
        <v>7.9746276530795433E-3</v>
      </c>
      <c r="FG89" s="170">
        <f>VLOOKUP(EOMONTH(FG81,0),Macroeconomics!$B$67:$R$380,Macroeconomics!$C$66,0)*$C$89</f>
        <v>7.9746276530795433E-3</v>
      </c>
      <c r="FH89" s="170">
        <f>VLOOKUP(EOMONTH(FH81,0),Macroeconomics!$B$67:$R$380,Macroeconomics!$C$66,0)*$C$89</f>
        <v>7.9746276530795433E-3</v>
      </c>
      <c r="FI89" s="170">
        <f>VLOOKUP(EOMONTH(FI81,0),Macroeconomics!$B$67:$R$380,Macroeconomics!$C$66,0)*$C$89</f>
        <v>7.9746276530795433E-3</v>
      </c>
      <c r="FJ89" s="170">
        <f>VLOOKUP(EOMONTH(FJ81,0),Macroeconomics!$B$67:$R$380,Macroeconomics!$C$66,0)*$C$89</f>
        <v>7.9746276530795433E-3</v>
      </c>
      <c r="FK89" s="170">
        <f>VLOOKUP(EOMONTH(FK81,0),Macroeconomics!$B$67:$R$380,Macroeconomics!$C$66,0)*$C$89</f>
        <v>7.9746276530795433E-3</v>
      </c>
      <c r="FL89" s="170">
        <f>VLOOKUP(EOMONTH(FL81,0),Macroeconomics!$B$67:$R$380,Macroeconomics!$C$66,0)*$C$89</f>
        <v>7.9746276530795433E-3</v>
      </c>
      <c r="FM89" s="170">
        <f>VLOOKUP(EOMONTH(FM81,0),Macroeconomics!$B$67:$R$380,Macroeconomics!$C$66,0)*$C$89</f>
        <v>7.9746276530795433E-3</v>
      </c>
      <c r="FN89" s="170">
        <f>VLOOKUP(EOMONTH(FN81,0),Macroeconomics!$B$67:$R$380,Macroeconomics!$C$66,0)*$C$89</f>
        <v>7.9746276530795433E-3</v>
      </c>
      <c r="FO89" s="170">
        <f>VLOOKUP(EOMONTH(FO81,0),Macroeconomics!$B$67:$R$380,Macroeconomics!$C$66,0)*$C$89</f>
        <v>7.9746276530795433E-3</v>
      </c>
      <c r="FP89" s="170">
        <f>VLOOKUP(EOMONTH(FP81,0),Macroeconomics!$B$67:$R$380,Macroeconomics!$C$66,0)*$C$89</f>
        <v>7.9746276530795433E-3</v>
      </c>
      <c r="FQ89" s="170">
        <f>VLOOKUP(EOMONTH(FQ81,0),Macroeconomics!$B$67:$R$380,Macroeconomics!$C$66,0)*$C$89</f>
        <v>7.9746276530795433E-3</v>
      </c>
      <c r="FR89" s="170">
        <f>VLOOKUP(EOMONTH(FR81,0),Macroeconomics!$B$67:$R$380,Macroeconomics!$C$66,0)*$C$89</f>
        <v>7.9746276530795433E-3</v>
      </c>
      <c r="FS89" s="170">
        <f>VLOOKUP(EOMONTH(FS81,0),Macroeconomics!$B$67:$R$380,Macroeconomics!$C$66,0)*$C$89</f>
        <v>7.9746276530795433E-3</v>
      </c>
      <c r="FT89" s="170">
        <f>VLOOKUP(EOMONTH(FT81,0),Macroeconomics!$B$67:$R$380,Macroeconomics!$C$66,0)*$C$89</f>
        <v>7.9746276530795433E-3</v>
      </c>
      <c r="FU89" s="170">
        <f>VLOOKUP(EOMONTH(FU81,0),Macroeconomics!$B$67:$R$380,Macroeconomics!$C$66,0)*$C$89</f>
        <v>7.9746276530795433E-3</v>
      </c>
      <c r="FV89" s="170">
        <f>VLOOKUP(EOMONTH(FV81,0),Macroeconomics!$B$67:$R$380,Macroeconomics!$C$66,0)*$C$89</f>
        <v>7.9746276530795433E-3</v>
      </c>
      <c r="FW89" s="170">
        <f>VLOOKUP(EOMONTH(FW81,0),Macroeconomics!$B$67:$R$380,Macroeconomics!$C$66,0)*$C$89</f>
        <v>7.9746276530795433E-3</v>
      </c>
      <c r="FX89" s="170">
        <f>VLOOKUP(EOMONTH(FX81,0),Macroeconomics!$B$67:$R$380,Macroeconomics!$C$66,0)*$C$89</f>
        <v>7.9746276530795433E-3</v>
      </c>
      <c r="FY89" s="170">
        <f>VLOOKUP(EOMONTH(FY81,0),Macroeconomics!$B$67:$R$380,Macroeconomics!$C$66,0)*$C$89</f>
        <v>7.9746276530795433E-3</v>
      </c>
      <c r="FZ89" s="170">
        <f>VLOOKUP(EOMONTH(FZ81,0),Macroeconomics!$B$67:$R$380,Macroeconomics!$C$66,0)*$C$89</f>
        <v>7.9746276530795433E-3</v>
      </c>
      <c r="GA89" s="170">
        <f>VLOOKUP(EOMONTH(GA81,0),Macroeconomics!$B$67:$R$380,Macroeconomics!$C$66,0)*$C$89</f>
        <v>7.9746276530795433E-3</v>
      </c>
      <c r="GB89" s="170">
        <f>VLOOKUP(EOMONTH(GB81,0),Macroeconomics!$B$67:$R$380,Macroeconomics!$C$66,0)*$C$89</f>
        <v>7.9746276530795433E-3</v>
      </c>
      <c r="GC89" s="170">
        <f>VLOOKUP(EOMONTH(GC81,0),Macroeconomics!$B$67:$R$380,Macroeconomics!$C$66,0)*$C$89</f>
        <v>7.9746276530795433E-3</v>
      </c>
      <c r="GD89" s="170">
        <f>VLOOKUP(EOMONTH(GD81,0),Macroeconomics!$B$67:$R$380,Macroeconomics!$C$66,0)*$C$89</f>
        <v>7.7657363716246092E-3</v>
      </c>
      <c r="GE89" s="170">
        <f>VLOOKUP(EOMONTH(GE81,0),Macroeconomics!$B$67:$R$380,Macroeconomics!$C$66,0)*$C$89</f>
        <v>7.7657363716246092E-3</v>
      </c>
      <c r="GF89" s="170">
        <f>VLOOKUP(EOMONTH(GF81,0),Macroeconomics!$B$67:$R$380,Macroeconomics!$C$66,0)*$C$89</f>
        <v>7.7657363716246092E-3</v>
      </c>
      <c r="GG89" s="170">
        <f>VLOOKUP(EOMONTH(GG81,0),Macroeconomics!$B$67:$R$380,Macroeconomics!$C$66,0)*$C$89</f>
        <v>7.7657363716246092E-3</v>
      </c>
      <c r="GH89" s="170">
        <f>VLOOKUP(EOMONTH(GH81,0),Macroeconomics!$B$67:$R$380,Macroeconomics!$C$66,0)*$C$89</f>
        <v>7.7657363716246092E-3</v>
      </c>
      <c r="GI89" s="170">
        <f>VLOOKUP(EOMONTH(GI81,0),Macroeconomics!$B$67:$R$380,Macroeconomics!$C$66,0)*$C$89</f>
        <v>7.7657363716246092E-3</v>
      </c>
      <c r="GJ89" s="170">
        <f>VLOOKUP(EOMONTH(GJ81,0),Macroeconomics!$B$67:$R$380,Macroeconomics!$C$66,0)*$C$89</f>
        <v>7.7657363716246092E-3</v>
      </c>
      <c r="GK89" s="170">
        <f>VLOOKUP(EOMONTH(GK81,0),Macroeconomics!$B$67:$R$380,Macroeconomics!$C$66,0)*$C$89</f>
        <v>7.7657363716246092E-3</v>
      </c>
      <c r="GL89" s="170">
        <f>VLOOKUP(EOMONTH(GL81,0),Macroeconomics!$B$67:$R$380,Macroeconomics!$C$66,0)*$C$89</f>
        <v>7.7657363716246092E-3</v>
      </c>
      <c r="GM89" s="170">
        <f>VLOOKUP(EOMONTH(GM81,0),Macroeconomics!$B$67:$R$380,Macroeconomics!$C$66,0)*$C$89</f>
        <v>7.7657363716246092E-3</v>
      </c>
      <c r="GN89" s="170">
        <f>VLOOKUP(EOMONTH(GN81,0),Macroeconomics!$B$67:$R$380,Macroeconomics!$C$66,0)*$C$89</f>
        <v>7.7657363716246092E-3</v>
      </c>
      <c r="GO89" s="170">
        <f>VLOOKUP(EOMONTH(GO81,0),Macroeconomics!$B$67:$R$380,Macroeconomics!$C$66,0)*$C$89</f>
        <v>7.7657363716246092E-3</v>
      </c>
      <c r="GP89" s="170">
        <f>VLOOKUP(EOMONTH(GP81,0),Macroeconomics!$B$67:$R$380,Macroeconomics!$C$66,0)*$C$89</f>
        <v>7.7657363716246092E-3</v>
      </c>
      <c r="GQ89" s="170">
        <f>VLOOKUP(EOMONTH(GQ81,0),Macroeconomics!$B$67:$R$380,Macroeconomics!$C$66,0)*$C$89</f>
        <v>7.7657363716246092E-3</v>
      </c>
    </row>
    <row r="90" spans="2:199" hidden="1" outlineLevel="1">
      <c r="B90" s="315" t="s">
        <v>413</v>
      </c>
      <c r="C90" s="316">
        <v>12</v>
      </c>
    </row>
    <row r="91" spans="2:199" hidden="1" outlineLevel="1">
      <c r="B91" s="182" t="s">
        <v>409</v>
      </c>
      <c r="C91" s="131">
        <v>0</v>
      </c>
      <c r="D91" s="182" t="s">
        <v>404</v>
      </c>
      <c r="E91" s="160">
        <f>IF(OR(E81&lt;=$C83,E81&gt;$C84),0,IF(AND(E81&lt;=$C85,$C91=1,MOD(MONTH(E81)-MONTH($C83),6)=0),1,IF(AND(MOD(MONTH(E81)-MONTH($C83),$C90)=0,E81&gt;=$C85),1,0)))</f>
        <v>0</v>
      </c>
      <c r="F91" s="160">
        <f t="shared" ref="F91" si="348">IF(OR(F81&lt;=$C83,F81&gt;$C84),0,IF(AND(F81&lt;=$C85,$C91=1,MOD(MONTH(F81)-MONTH($C83),6)=0),1,IF(AND(MOD(MONTH(F81)-MONTH($C83),$C90)=0,F81&gt;=$C85),1,0)))</f>
        <v>0</v>
      </c>
      <c r="G91" s="160">
        <f t="shared" ref="G91" si="349">IF(OR(G81&lt;=$C83,G81&gt;$C84),0,IF(AND(G81&lt;=$C85,$C91=1,MOD(MONTH(G81)-MONTH($C83),6)=0),1,IF(AND(MOD(MONTH(G81)-MONTH($C83),$C90)=0,G81&gt;=$C85),1,0)))</f>
        <v>0</v>
      </c>
      <c r="H91" s="160">
        <f t="shared" ref="H91" si="350">IF(OR(H81&lt;=$C83,H81&gt;$C84),0,IF(AND(H81&lt;=$C85,$C91=1,MOD(MONTH(H81)-MONTH($C83),6)=0),1,IF(AND(MOD(MONTH(H81)-MONTH($C83),$C90)=0,H81&gt;=$C85),1,0)))</f>
        <v>0</v>
      </c>
      <c r="I91" s="160">
        <f t="shared" ref="I91" si="351">IF(OR(I81&lt;=$C83,I81&gt;$C84),0,IF(AND(I81&lt;=$C85,$C91=1,MOD(MONTH(I81)-MONTH($C83),6)=0),1,IF(AND(MOD(MONTH(I81)-MONTH($C83),$C90)=0,I81&gt;=$C85),1,0)))</f>
        <v>0</v>
      </c>
      <c r="J91" s="160">
        <f t="shared" ref="J91:K91" si="352">IF(OR(J81&lt;=$C83,J81&gt;$C84),0,IF(AND(J81&lt;=$C85,$C91=1,MOD(MONTH(J81)-MONTH($C83),6)=0),1,IF(AND(MOD(MONTH(J81)-MONTH($C83),$C90)=0,J81&gt;=$C85),1,0)))</f>
        <v>0</v>
      </c>
      <c r="K91" s="160">
        <f t="shared" si="352"/>
        <v>0</v>
      </c>
      <c r="L91" s="160">
        <f t="shared" ref="L91" si="353">IF(OR(L81&lt;=$C83,L81&gt;$C84),0,IF(AND(L81&lt;=$C85,$C91=1,MOD(MONTH(L81)-MONTH($C83),6)=0),1,IF(AND(MOD(MONTH(L81)-MONTH($C83),$C90)=0,L81&gt;=$C85),1,0)))</f>
        <v>0</v>
      </c>
      <c r="M91" s="160">
        <f t="shared" ref="M91" si="354">IF(OR(M81&lt;=$C83,M81&gt;$C84),0,IF(AND(M81&lt;=$C85,$C91=1,MOD(MONTH(M81)-MONTH($C83),6)=0),1,IF(AND(MOD(MONTH(M81)-MONTH($C83),$C90)=0,M81&gt;=$C85),1,0)))</f>
        <v>0</v>
      </c>
      <c r="N91" s="160">
        <f t="shared" ref="N91" si="355">IF(OR(N81&lt;=$C83,N81&gt;$C84),0,IF(AND(N81&lt;=$C85,$C91=1,MOD(MONTH(N81)-MONTH($C83),6)=0),1,IF(AND(MOD(MONTH(N81)-MONTH($C83),$C90)=0,N81&gt;=$C85),1,0)))</f>
        <v>0</v>
      </c>
      <c r="O91" s="160">
        <f t="shared" ref="O91" si="356">IF(OR(O81&lt;=$C83,O81&gt;$C84),0,IF(AND(O81&lt;=$C85,$C91=1,MOD(MONTH(O81)-MONTH($C83),6)=0),1,IF(AND(MOD(MONTH(O81)-MONTH($C83),$C90)=0,O81&gt;=$C85),1,0)))</f>
        <v>0</v>
      </c>
      <c r="P91" s="160">
        <f t="shared" ref="P91" si="357">IF(OR(P81&lt;=$C83,P81&gt;$C84),0,IF(AND(P81&lt;=$C85,$C91=1,MOD(MONTH(P81)-MONTH($C83),6)=0),1,IF(AND(MOD(MONTH(P81)-MONTH($C83),$C90)=0,P81&gt;=$C85),1,0)))</f>
        <v>0</v>
      </c>
      <c r="Q91" s="160">
        <f t="shared" ref="Q91" si="358">IF(OR(Q81&lt;=$C83,Q81&gt;$C84),0,IF(AND(Q81&lt;=$C85,$C91=1,MOD(MONTH(Q81)-MONTH($C83),6)=0),1,IF(AND(MOD(MONTH(Q81)-MONTH($C83),$C90)=0,Q81&gt;=$C85),1,0)))</f>
        <v>1</v>
      </c>
      <c r="R91" s="160">
        <f t="shared" ref="R91" si="359">IF(OR(R81&lt;=$C83,R81&gt;$C84),0,IF(AND(R81&lt;=$C85,$C91=1,MOD(MONTH(R81)-MONTH($C83),6)=0),1,IF(AND(MOD(MONTH(R81)-MONTH($C83),$C90)=0,R81&gt;=$C85),1,0)))</f>
        <v>0</v>
      </c>
      <c r="S91" s="160">
        <f t="shared" ref="S91" si="360">IF(OR(S81&lt;=$C83,S81&gt;$C84),0,IF(AND(S81&lt;=$C85,$C91=1,MOD(MONTH(S81)-MONTH($C83),6)=0),1,IF(AND(MOD(MONTH(S81)-MONTH($C83),$C90)=0,S81&gt;=$C85),1,0)))</f>
        <v>0</v>
      </c>
      <c r="T91" s="160">
        <f t="shared" ref="T91" si="361">IF(OR(T81&lt;=$C83,T81&gt;$C84),0,IF(AND(T81&lt;=$C85,$C91=1,MOD(MONTH(T81)-MONTH($C83),6)=0),1,IF(AND(MOD(MONTH(T81)-MONTH($C83),$C90)=0,T81&gt;=$C85),1,0)))</f>
        <v>0</v>
      </c>
      <c r="U91" s="160">
        <f t="shared" ref="U91" si="362">IF(OR(U81&lt;=$C83,U81&gt;$C84),0,IF(AND(U81&lt;=$C85,$C91=1,MOD(MONTH(U81)-MONTH($C83),6)=0),1,IF(AND(MOD(MONTH(U81)-MONTH($C83),$C90)=0,U81&gt;=$C85),1,0)))</f>
        <v>0</v>
      </c>
      <c r="V91" s="160">
        <f t="shared" ref="V91" si="363">IF(OR(V81&lt;=$C83,V81&gt;$C84),0,IF(AND(V81&lt;=$C85,$C91=1,MOD(MONTH(V81)-MONTH($C83),6)=0),1,IF(AND(MOD(MONTH(V81)-MONTH($C83),$C90)=0,V81&gt;=$C85),1,0)))</f>
        <v>0</v>
      </c>
      <c r="W91" s="160">
        <f t="shared" ref="W91" si="364">IF(OR(W81&lt;=$C83,W81&gt;$C84),0,IF(AND(W81&lt;=$C85,$C91=1,MOD(MONTH(W81)-MONTH($C83),6)=0),1,IF(AND(MOD(MONTH(W81)-MONTH($C83),$C90)=0,W81&gt;=$C85),1,0)))</f>
        <v>0</v>
      </c>
      <c r="X91" s="160">
        <f t="shared" ref="X91" si="365">IF(OR(X81&lt;=$C83,X81&gt;$C84),0,IF(AND(X81&lt;=$C85,$C91=1,MOD(MONTH(X81)-MONTH($C83),6)=0),1,IF(AND(MOD(MONTH(X81)-MONTH($C83),$C90)=0,X81&gt;=$C85),1,0)))</f>
        <v>0</v>
      </c>
      <c r="Y91" s="160">
        <f t="shared" ref="Y91" si="366">IF(OR(Y81&lt;=$C83,Y81&gt;$C84),0,IF(AND(Y81&lt;=$C85,$C91=1,MOD(MONTH(Y81)-MONTH($C83),6)=0),1,IF(AND(MOD(MONTH(Y81)-MONTH($C83),$C90)=0,Y81&gt;=$C85),1,0)))</f>
        <v>0</v>
      </c>
      <c r="Z91" s="160">
        <f t="shared" ref="Z91" si="367">IF(OR(Z81&lt;=$C83,Z81&gt;$C84),0,IF(AND(Z81&lt;=$C85,$C91=1,MOD(MONTH(Z81)-MONTH($C83),6)=0),1,IF(AND(MOD(MONTH(Z81)-MONTH($C83),$C90)=0,Z81&gt;=$C85),1,0)))</f>
        <v>0</v>
      </c>
      <c r="AA91" s="160">
        <f t="shared" ref="AA91" si="368">IF(OR(AA81&lt;=$C83,AA81&gt;$C84),0,IF(AND(AA81&lt;=$C85,$C91=1,MOD(MONTH(AA81)-MONTH($C83),6)=0),1,IF(AND(MOD(MONTH(AA81)-MONTH($C83),$C90)=0,AA81&gt;=$C85),1,0)))</f>
        <v>0</v>
      </c>
      <c r="AB91" s="160">
        <f t="shared" ref="AB91" si="369">IF(OR(AB81&lt;=$C83,AB81&gt;$C84),0,IF(AND(AB81&lt;=$C85,$C91=1,MOD(MONTH(AB81)-MONTH($C83),6)=0),1,IF(AND(MOD(MONTH(AB81)-MONTH($C83),$C90)=0,AB81&gt;=$C85),1,0)))</f>
        <v>0</v>
      </c>
      <c r="AC91" s="160">
        <f t="shared" ref="AC91" si="370">IF(OR(AC81&lt;=$C83,AC81&gt;$C84),0,IF(AND(AC81&lt;=$C85,$C91=1,MOD(MONTH(AC81)-MONTH($C83),6)=0),1,IF(AND(MOD(MONTH(AC81)-MONTH($C83),$C90)=0,AC81&gt;=$C85),1,0)))</f>
        <v>1</v>
      </c>
      <c r="AD91" s="160">
        <f t="shared" ref="AD91" si="371">IF(OR(AD81&lt;=$C83,AD81&gt;$C84),0,IF(AND(AD81&lt;=$C85,$C91=1,MOD(MONTH(AD81)-MONTH($C83),6)=0),1,IF(AND(MOD(MONTH(AD81)-MONTH($C83),$C90)=0,AD81&gt;=$C85),1,0)))</f>
        <v>0</v>
      </c>
      <c r="AE91" s="160">
        <f t="shared" ref="AE91" si="372">IF(OR(AE81&lt;=$C83,AE81&gt;$C84),0,IF(AND(AE81&lt;=$C85,$C91=1,MOD(MONTH(AE81)-MONTH($C83),6)=0),1,IF(AND(MOD(MONTH(AE81)-MONTH($C83),$C90)=0,AE81&gt;=$C85),1,0)))</f>
        <v>0</v>
      </c>
      <c r="AF91" s="160">
        <f t="shared" ref="AF91" si="373">IF(OR(AF81&lt;=$C83,AF81&gt;$C84),0,IF(AND(AF81&lt;=$C85,$C91=1,MOD(MONTH(AF81)-MONTH($C83),6)=0),1,IF(AND(MOD(MONTH(AF81)-MONTH($C83),$C90)=0,AF81&gt;=$C85),1,0)))</f>
        <v>0</v>
      </c>
      <c r="AG91" s="160">
        <f t="shared" ref="AG91" si="374">IF(OR(AG81&lt;=$C83,AG81&gt;$C84),0,IF(AND(AG81&lt;=$C85,$C91=1,MOD(MONTH(AG81)-MONTH($C83),6)=0),1,IF(AND(MOD(MONTH(AG81)-MONTH($C83),$C90)=0,AG81&gt;=$C85),1,0)))</f>
        <v>0</v>
      </c>
      <c r="AH91" s="160">
        <f t="shared" ref="AH91" si="375">IF(OR(AH81&lt;=$C83,AH81&gt;$C84),0,IF(AND(AH81&lt;=$C85,$C91=1,MOD(MONTH(AH81)-MONTH($C83),6)=0),1,IF(AND(MOD(MONTH(AH81)-MONTH($C83),$C90)=0,AH81&gt;=$C85),1,0)))</f>
        <v>0</v>
      </c>
      <c r="AI91" s="160">
        <f t="shared" ref="AI91" si="376">IF(OR(AI81&lt;=$C83,AI81&gt;$C84),0,IF(AND(AI81&lt;=$C85,$C91=1,MOD(MONTH(AI81)-MONTH($C83),6)=0),1,IF(AND(MOD(MONTH(AI81)-MONTH($C83),$C90)=0,AI81&gt;=$C85),1,0)))</f>
        <v>0</v>
      </c>
      <c r="AJ91" s="160">
        <f t="shared" ref="AJ91" si="377">IF(OR(AJ81&lt;=$C83,AJ81&gt;$C84),0,IF(AND(AJ81&lt;=$C85,$C91=1,MOD(MONTH(AJ81)-MONTH($C83),6)=0),1,IF(AND(MOD(MONTH(AJ81)-MONTH($C83),$C90)=0,AJ81&gt;=$C85),1,0)))</f>
        <v>0</v>
      </c>
      <c r="AK91" s="160">
        <f t="shared" ref="AK91" si="378">IF(OR(AK81&lt;=$C83,AK81&gt;$C84),0,IF(AND(AK81&lt;=$C85,$C91=1,MOD(MONTH(AK81)-MONTH($C83),6)=0),1,IF(AND(MOD(MONTH(AK81)-MONTH($C83),$C90)=0,AK81&gt;=$C85),1,0)))</f>
        <v>0</v>
      </c>
      <c r="AL91" s="160">
        <f t="shared" ref="AL91" si="379">IF(OR(AL81&lt;=$C83,AL81&gt;$C84),0,IF(AND(AL81&lt;=$C85,$C91=1,MOD(MONTH(AL81)-MONTH($C83),6)=0),1,IF(AND(MOD(MONTH(AL81)-MONTH($C83),$C90)=0,AL81&gt;=$C85),1,0)))</f>
        <v>0</v>
      </c>
      <c r="AM91" s="160">
        <f t="shared" ref="AM91" si="380">IF(OR(AM81&lt;=$C83,AM81&gt;$C84),0,IF(AND(AM81&lt;=$C85,$C91=1,MOD(MONTH(AM81)-MONTH($C83),6)=0),1,IF(AND(MOD(MONTH(AM81)-MONTH($C83),$C90)=0,AM81&gt;=$C85),1,0)))</f>
        <v>0</v>
      </c>
      <c r="AN91" s="160">
        <f t="shared" ref="AN91" si="381">IF(OR(AN81&lt;=$C83,AN81&gt;$C84),0,IF(AND(AN81&lt;=$C85,$C91=1,MOD(MONTH(AN81)-MONTH($C83),6)=0),1,IF(AND(MOD(MONTH(AN81)-MONTH($C83),$C90)=0,AN81&gt;=$C85),1,0)))</f>
        <v>0</v>
      </c>
      <c r="AO91" s="160">
        <f t="shared" ref="AO91" si="382">IF(OR(AO81&lt;=$C83,AO81&gt;$C84),0,IF(AND(AO81&lt;=$C85,$C91=1,MOD(MONTH(AO81)-MONTH($C83),6)=0),1,IF(AND(MOD(MONTH(AO81)-MONTH($C83),$C90)=0,AO81&gt;=$C85),1,0)))</f>
        <v>1</v>
      </c>
      <c r="AP91" s="160">
        <f t="shared" ref="AP91" si="383">IF(OR(AP81&lt;=$C83,AP81&gt;$C84),0,IF(AND(AP81&lt;=$C85,$C91=1,MOD(MONTH(AP81)-MONTH($C83),6)=0),1,IF(AND(MOD(MONTH(AP81)-MONTH($C83),$C90)=0,AP81&gt;=$C85),1,0)))</f>
        <v>0</v>
      </c>
      <c r="AQ91" s="160">
        <f t="shared" ref="AQ91" si="384">IF(OR(AQ81&lt;=$C83,AQ81&gt;$C84),0,IF(AND(AQ81&lt;=$C85,$C91=1,MOD(MONTH(AQ81)-MONTH($C83),6)=0),1,IF(AND(MOD(MONTH(AQ81)-MONTH($C83),$C90)=0,AQ81&gt;=$C85),1,0)))</f>
        <v>0</v>
      </c>
      <c r="AR91" s="160">
        <f t="shared" ref="AR91" si="385">IF(OR(AR81&lt;=$C83,AR81&gt;$C84),0,IF(AND(AR81&lt;=$C85,$C91=1,MOD(MONTH(AR81)-MONTH($C83),6)=0),1,IF(AND(MOD(MONTH(AR81)-MONTH($C83),$C90)=0,AR81&gt;=$C85),1,0)))</f>
        <v>0</v>
      </c>
      <c r="AS91" s="160">
        <f t="shared" ref="AS91" si="386">IF(OR(AS81&lt;=$C83,AS81&gt;$C84),0,IF(AND(AS81&lt;=$C85,$C91=1,MOD(MONTH(AS81)-MONTH($C83),6)=0),1,IF(AND(MOD(MONTH(AS81)-MONTH($C83),$C90)=0,AS81&gt;=$C85),1,0)))</f>
        <v>0</v>
      </c>
      <c r="AT91" s="160">
        <f t="shared" ref="AT91" si="387">IF(OR(AT81&lt;=$C83,AT81&gt;$C84),0,IF(AND(AT81&lt;=$C85,$C91=1,MOD(MONTH(AT81)-MONTH($C83),6)=0),1,IF(AND(MOD(MONTH(AT81)-MONTH($C83),$C90)=0,AT81&gt;=$C85),1,0)))</f>
        <v>0</v>
      </c>
      <c r="AU91" s="160">
        <f t="shared" ref="AU91" si="388">IF(OR(AU81&lt;=$C83,AU81&gt;$C84),0,IF(AND(AU81&lt;=$C85,$C91=1,MOD(MONTH(AU81)-MONTH($C83),6)=0),1,IF(AND(MOD(MONTH(AU81)-MONTH($C83),$C90)=0,AU81&gt;=$C85),1,0)))</f>
        <v>0</v>
      </c>
      <c r="AV91" s="160">
        <f t="shared" ref="AV91" si="389">IF(OR(AV81&lt;=$C83,AV81&gt;$C84),0,IF(AND(AV81&lt;=$C85,$C91=1,MOD(MONTH(AV81)-MONTH($C83),6)=0),1,IF(AND(MOD(MONTH(AV81)-MONTH($C83),$C90)=0,AV81&gt;=$C85),1,0)))</f>
        <v>0</v>
      </c>
      <c r="AW91" s="160">
        <f t="shared" ref="AW91" si="390">IF(OR(AW81&lt;=$C83,AW81&gt;$C84),0,IF(AND(AW81&lt;=$C85,$C91=1,MOD(MONTH(AW81)-MONTH($C83),6)=0),1,IF(AND(MOD(MONTH(AW81)-MONTH($C83),$C90)=0,AW81&gt;=$C85),1,0)))</f>
        <v>0</v>
      </c>
      <c r="AX91" s="160">
        <f t="shared" ref="AX91" si="391">IF(OR(AX81&lt;=$C83,AX81&gt;$C84),0,IF(AND(AX81&lt;=$C85,$C91=1,MOD(MONTH(AX81)-MONTH($C83),6)=0),1,IF(AND(MOD(MONTH(AX81)-MONTH($C83),$C90)=0,AX81&gt;=$C85),1,0)))</f>
        <v>0</v>
      </c>
      <c r="AY91" s="160">
        <f t="shared" ref="AY91" si="392">IF(OR(AY81&lt;=$C83,AY81&gt;$C84),0,IF(AND(AY81&lt;=$C85,$C91=1,MOD(MONTH(AY81)-MONTH($C83),6)=0),1,IF(AND(MOD(MONTH(AY81)-MONTH($C83),$C90)=0,AY81&gt;=$C85),1,0)))</f>
        <v>0</v>
      </c>
      <c r="AZ91" s="160">
        <f t="shared" ref="AZ91" si="393">IF(OR(AZ81&lt;=$C83,AZ81&gt;$C84),0,IF(AND(AZ81&lt;=$C85,$C91=1,MOD(MONTH(AZ81)-MONTH($C83),6)=0),1,IF(AND(MOD(MONTH(AZ81)-MONTH($C83),$C90)=0,AZ81&gt;=$C85),1,0)))</f>
        <v>0</v>
      </c>
      <c r="BA91" s="160">
        <f t="shared" ref="BA91" si="394">IF(OR(BA81&lt;=$C83,BA81&gt;$C84),0,IF(AND(BA81&lt;=$C85,$C91=1,MOD(MONTH(BA81)-MONTH($C83),6)=0),1,IF(AND(MOD(MONTH(BA81)-MONTH($C83),$C90)=0,BA81&gt;=$C85),1,0)))</f>
        <v>1</v>
      </c>
      <c r="BB91" s="160">
        <f t="shared" ref="BB91" si="395">IF(OR(BB81&lt;=$C83,BB81&gt;$C84),0,IF(AND(BB81&lt;=$C85,$C91=1,MOD(MONTH(BB81)-MONTH($C83),6)=0),1,IF(AND(MOD(MONTH(BB81)-MONTH($C83),$C90)=0,BB81&gt;=$C85),1,0)))</f>
        <v>0</v>
      </c>
      <c r="BC91" s="160">
        <f t="shared" ref="BC91" si="396">IF(OR(BC81&lt;=$C83,BC81&gt;$C84),0,IF(AND(BC81&lt;=$C85,$C91=1,MOD(MONTH(BC81)-MONTH($C83),6)=0),1,IF(AND(MOD(MONTH(BC81)-MONTH($C83),$C90)=0,BC81&gt;=$C85),1,0)))</f>
        <v>0</v>
      </c>
      <c r="BD91" s="160">
        <f t="shared" ref="BD91" si="397">IF(OR(BD81&lt;=$C83,BD81&gt;$C84),0,IF(AND(BD81&lt;=$C85,$C91=1,MOD(MONTH(BD81)-MONTH($C83),6)=0),1,IF(AND(MOD(MONTH(BD81)-MONTH($C83),$C90)=0,BD81&gt;=$C85),1,0)))</f>
        <v>0</v>
      </c>
      <c r="BE91" s="160">
        <f t="shared" ref="BE91" si="398">IF(OR(BE81&lt;=$C83,BE81&gt;$C84),0,IF(AND(BE81&lt;=$C85,$C91=1,MOD(MONTH(BE81)-MONTH($C83),6)=0),1,IF(AND(MOD(MONTH(BE81)-MONTH($C83),$C90)=0,BE81&gt;=$C85),1,0)))</f>
        <v>0</v>
      </c>
      <c r="BF91" s="160">
        <f t="shared" ref="BF91" si="399">IF(OR(BF81&lt;=$C83,BF81&gt;$C84),0,IF(AND(BF81&lt;=$C85,$C91=1,MOD(MONTH(BF81)-MONTH($C83),6)=0),1,IF(AND(MOD(MONTH(BF81)-MONTH($C83),$C90)=0,BF81&gt;=$C85),1,0)))</f>
        <v>0</v>
      </c>
      <c r="BG91" s="160">
        <f t="shared" ref="BG91" si="400">IF(OR(BG81&lt;=$C83,BG81&gt;$C84),0,IF(AND(BG81&lt;=$C85,$C91=1,MOD(MONTH(BG81)-MONTH($C83),6)=0),1,IF(AND(MOD(MONTH(BG81)-MONTH($C83),$C90)=0,BG81&gt;=$C85),1,0)))</f>
        <v>0</v>
      </c>
      <c r="BH91" s="160">
        <f t="shared" ref="BH91" si="401">IF(OR(BH81&lt;=$C83,BH81&gt;$C84),0,IF(AND(BH81&lt;=$C85,$C91=1,MOD(MONTH(BH81)-MONTH($C83),6)=0),1,IF(AND(MOD(MONTH(BH81)-MONTH($C83),$C90)=0,BH81&gt;=$C85),1,0)))</f>
        <v>0</v>
      </c>
      <c r="BI91" s="160">
        <f t="shared" ref="BI91" si="402">IF(OR(BI81&lt;=$C83,BI81&gt;$C84),0,IF(AND(BI81&lt;=$C85,$C91=1,MOD(MONTH(BI81)-MONTH($C83),6)=0),1,IF(AND(MOD(MONTH(BI81)-MONTH($C83),$C90)=0,BI81&gt;=$C85),1,0)))</f>
        <v>0</v>
      </c>
      <c r="BJ91" s="160">
        <f t="shared" ref="BJ91" si="403">IF(OR(BJ81&lt;=$C83,BJ81&gt;$C84),0,IF(AND(BJ81&lt;=$C85,$C91=1,MOD(MONTH(BJ81)-MONTH($C83),6)=0),1,IF(AND(MOD(MONTH(BJ81)-MONTH($C83),$C90)=0,BJ81&gt;=$C85),1,0)))</f>
        <v>0</v>
      </c>
      <c r="BK91" s="160">
        <f t="shared" ref="BK91" si="404">IF(OR(BK81&lt;=$C83,BK81&gt;$C84),0,IF(AND(BK81&lt;=$C85,$C91=1,MOD(MONTH(BK81)-MONTH($C83),6)=0),1,IF(AND(MOD(MONTH(BK81)-MONTH($C83),$C90)=0,BK81&gt;=$C85),1,0)))</f>
        <v>0</v>
      </c>
      <c r="BL91" s="160">
        <f t="shared" ref="BL91" si="405">IF(OR(BL81&lt;=$C83,BL81&gt;$C84),0,IF(AND(BL81&lt;=$C85,$C91=1,MOD(MONTH(BL81)-MONTH($C83),6)=0),1,IF(AND(MOD(MONTH(BL81)-MONTH($C83),$C90)=0,BL81&gt;=$C85),1,0)))</f>
        <v>0</v>
      </c>
      <c r="BM91" s="160">
        <f t="shared" ref="BM91" si="406">IF(OR(BM81&lt;=$C83,BM81&gt;$C84),0,IF(AND(BM81&lt;=$C85,$C91=1,MOD(MONTH(BM81)-MONTH($C83),6)=0),1,IF(AND(MOD(MONTH(BM81)-MONTH($C83),$C90)=0,BM81&gt;=$C85),1,0)))</f>
        <v>0</v>
      </c>
      <c r="BN91" s="160">
        <f t="shared" ref="BN91" si="407">IF(OR(BN81&lt;=$C83,BN81&gt;$C84),0,IF(AND(BN81&lt;=$C85,$C91=1,MOD(MONTH(BN81)-MONTH($C83),6)=0),1,IF(AND(MOD(MONTH(BN81)-MONTH($C83),$C90)=0,BN81&gt;=$C85),1,0)))</f>
        <v>0</v>
      </c>
      <c r="BO91" s="160">
        <f t="shared" ref="BO91" si="408">IF(OR(BO81&lt;=$C83,BO81&gt;$C84),0,IF(AND(BO81&lt;=$C85,$C91=1,MOD(MONTH(BO81)-MONTH($C83),6)=0),1,IF(AND(MOD(MONTH(BO81)-MONTH($C83),$C90)=0,BO81&gt;=$C85),1,0)))</f>
        <v>0</v>
      </c>
      <c r="BP91" s="160">
        <f t="shared" ref="BP91" si="409">IF(OR(BP81&lt;=$C83,BP81&gt;$C84),0,IF(AND(BP81&lt;=$C85,$C91=1,MOD(MONTH(BP81)-MONTH($C83),6)=0),1,IF(AND(MOD(MONTH(BP81)-MONTH($C83),$C90)=0,BP81&gt;=$C85),1,0)))</f>
        <v>0</v>
      </c>
      <c r="BQ91" s="160">
        <f t="shared" ref="BQ91" si="410">IF(OR(BQ81&lt;=$C83,BQ81&gt;$C84),0,IF(AND(BQ81&lt;=$C85,$C91=1,MOD(MONTH(BQ81)-MONTH($C83),6)=0),1,IF(AND(MOD(MONTH(BQ81)-MONTH($C83),$C90)=0,BQ81&gt;=$C85),1,0)))</f>
        <v>0</v>
      </c>
      <c r="BR91" s="160">
        <f t="shared" ref="BR91" si="411">IF(OR(BR81&lt;=$C83,BR81&gt;$C84),0,IF(AND(BR81&lt;=$C85,$C91=1,MOD(MONTH(BR81)-MONTH($C83),6)=0),1,IF(AND(MOD(MONTH(BR81)-MONTH($C83),$C90)=0,BR81&gt;=$C85),1,0)))</f>
        <v>0</v>
      </c>
      <c r="BS91" s="160">
        <f t="shared" ref="BS91" si="412">IF(OR(BS81&lt;=$C83,BS81&gt;$C84),0,IF(AND(BS81&lt;=$C85,$C91=1,MOD(MONTH(BS81)-MONTH($C83),6)=0),1,IF(AND(MOD(MONTH(BS81)-MONTH($C83),$C90)=0,BS81&gt;=$C85),1,0)))</f>
        <v>0</v>
      </c>
      <c r="BT91" s="160">
        <f t="shared" ref="BT91" si="413">IF(OR(BT81&lt;=$C83,BT81&gt;$C84),0,IF(AND(BT81&lt;=$C85,$C91=1,MOD(MONTH(BT81)-MONTH($C83),6)=0),1,IF(AND(MOD(MONTH(BT81)-MONTH($C83),$C90)=0,BT81&gt;=$C85),1,0)))</f>
        <v>0</v>
      </c>
      <c r="BU91" s="160">
        <f t="shared" ref="BU91" si="414">IF(OR(BU81&lt;=$C83,BU81&gt;$C84),0,IF(AND(BU81&lt;=$C85,$C91=1,MOD(MONTH(BU81)-MONTH($C83),6)=0),1,IF(AND(MOD(MONTH(BU81)-MONTH($C83),$C90)=0,BU81&gt;=$C85),1,0)))</f>
        <v>0</v>
      </c>
      <c r="BV91" s="160">
        <f t="shared" ref="BV91" si="415">IF(OR(BV81&lt;=$C83,BV81&gt;$C84),0,IF(AND(BV81&lt;=$C85,$C91=1,MOD(MONTH(BV81)-MONTH($C83),6)=0),1,IF(AND(MOD(MONTH(BV81)-MONTH($C83),$C90)=0,BV81&gt;=$C85),1,0)))</f>
        <v>0</v>
      </c>
      <c r="BW91" s="160">
        <f t="shared" ref="BW91" si="416">IF(OR(BW81&lt;=$C83,BW81&gt;$C84),0,IF(AND(BW81&lt;=$C85,$C91=1,MOD(MONTH(BW81)-MONTH($C83),6)=0),1,IF(AND(MOD(MONTH(BW81)-MONTH($C83),$C90)=0,BW81&gt;=$C85),1,0)))</f>
        <v>0</v>
      </c>
      <c r="BX91" s="160">
        <f t="shared" ref="BX91" si="417">IF(OR(BX81&lt;=$C83,BX81&gt;$C84),0,IF(AND(BX81&lt;=$C85,$C91=1,MOD(MONTH(BX81)-MONTH($C83),6)=0),1,IF(AND(MOD(MONTH(BX81)-MONTH($C83),$C90)=0,BX81&gt;=$C85),1,0)))</f>
        <v>0</v>
      </c>
      <c r="BY91" s="160">
        <f t="shared" ref="BY91" si="418">IF(OR(BY81&lt;=$C83,BY81&gt;$C84),0,IF(AND(BY81&lt;=$C85,$C91=1,MOD(MONTH(BY81)-MONTH($C83),6)=0),1,IF(AND(MOD(MONTH(BY81)-MONTH($C83),$C90)=0,BY81&gt;=$C85),1,0)))</f>
        <v>0</v>
      </c>
      <c r="BZ91" s="160">
        <f t="shared" ref="BZ91" si="419">IF(OR(BZ81&lt;=$C83,BZ81&gt;$C84),0,IF(AND(BZ81&lt;=$C85,$C91=1,MOD(MONTH(BZ81)-MONTH($C83),6)=0),1,IF(AND(MOD(MONTH(BZ81)-MONTH($C83),$C90)=0,BZ81&gt;=$C85),1,0)))</f>
        <v>0</v>
      </c>
      <c r="CA91" s="160">
        <f t="shared" ref="CA91" si="420">IF(OR(CA81&lt;=$C83,CA81&gt;$C84),0,IF(AND(CA81&lt;=$C85,$C91=1,MOD(MONTH(CA81)-MONTH($C83),6)=0),1,IF(AND(MOD(MONTH(CA81)-MONTH($C83),$C90)=0,CA81&gt;=$C85),1,0)))</f>
        <v>0</v>
      </c>
      <c r="CB91" s="160">
        <f t="shared" ref="CB91" si="421">IF(OR(CB81&lt;=$C83,CB81&gt;$C84),0,IF(AND(CB81&lt;=$C85,$C91=1,MOD(MONTH(CB81)-MONTH($C83),6)=0),1,IF(AND(MOD(MONTH(CB81)-MONTH($C83),$C90)=0,CB81&gt;=$C85),1,0)))</f>
        <v>0</v>
      </c>
      <c r="CC91" s="160">
        <f t="shared" ref="CC91" si="422">IF(OR(CC81&lt;=$C83,CC81&gt;$C84),0,IF(AND(CC81&lt;=$C85,$C91=1,MOD(MONTH(CC81)-MONTH($C83),6)=0),1,IF(AND(MOD(MONTH(CC81)-MONTH($C83),$C90)=0,CC81&gt;=$C85),1,0)))</f>
        <v>0</v>
      </c>
      <c r="CD91" s="160">
        <f t="shared" ref="CD91" si="423">IF(OR(CD81&lt;=$C83,CD81&gt;$C84),0,IF(AND(CD81&lt;=$C85,$C91=1,MOD(MONTH(CD81)-MONTH($C83),6)=0),1,IF(AND(MOD(MONTH(CD81)-MONTH($C83),$C90)=0,CD81&gt;=$C85),1,0)))</f>
        <v>0</v>
      </c>
      <c r="CE91" s="160">
        <f t="shared" ref="CE91" si="424">IF(OR(CE81&lt;=$C83,CE81&gt;$C84),0,IF(AND(CE81&lt;=$C85,$C91=1,MOD(MONTH(CE81)-MONTH($C83),6)=0),1,IF(AND(MOD(MONTH(CE81)-MONTH($C83),$C90)=0,CE81&gt;=$C85),1,0)))</f>
        <v>0</v>
      </c>
      <c r="CF91" s="160">
        <f t="shared" ref="CF91" si="425">IF(OR(CF81&lt;=$C83,CF81&gt;$C84),0,IF(AND(CF81&lt;=$C85,$C91=1,MOD(MONTH(CF81)-MONTH($C83),6)=0),1,IF(AND(MOD(MONTH(CF81)-MONTH($C83),$C90)=0,CF81&gt;=$C85),1,0)))</f>
        <v>0</v>
      </c>
      <c r="CG91" s="160">
        <f t="shared" ref="CG91" si="426">IF(OR(CG81&lt;=$C83,CG81&gt;$C84),0,IF(AND(CG81&lt;=$C85,$C91=1,MOD(MONTH(CG81)-MONTH($C83),6)=0),1,IF(AND(MOD(MONTH(CG81)-MONTH($C83),$C90)=0,CG81&gt;=$C85),1,0)))</f>
        <v>0</v>
      </c>
      <c r="CH91" s="160">
        <f t="shared" ref="CH91" si="427">IF(OR(CH81&lt;=$C83,CH81&gt;$C84),0,IF(AND(CH81&lt;=$C85,$C91=1,MOD(MONTH(CH81)-MONTH($C83),6)=0),1,IF(AND(MOD(MONTH(CH81)-MONTH($C83),$C90)=0,CH81&gt;=$C85),1,0)))</f>
        <v>0</v>
      </c>
      <c r="CI91" s="160">
        <f t="shared" ref="CI91" si="428">IF(OR(CI81&lt;=$C83,CI81&gt;$C84),0,IF(AND(CI81&lt;=$C85,$C91=1,MOD(MONTH(CI81)-MONTH($C83),6)=0),1,IF(AND(MOD(MONTH(CI81)-MONTH($C83),$C90)=0,CI81&gt;=$C85),1,0)))</f>
        <v>0</v>
      </c>
      <c r="CJ91" s="160">
        <f t="shared" ref="CJ91" si="429">IF(OR(CJ81&lt;=$C83,CJ81&gt;$C84),0,IF(AND(CJ81&lt;=$C85,$C91=1,MOD(MONTH(CJ81)-MONTH($C83),6)=0),1,IF(AND(MOD(MONTH(CJ81)-MONTH($C83),$C90)=0,CJ81&gt;=$C85),1,0)))</f>
        <v>0</v>
      </c>
      <c r="CK91" s="160">
        <f t="shared" ref="CK91" si="430">IF(OR(CK81&lt;=$C83,CK81&gt;$C84),0,IF(AND(CK81&lt;=$C85,$C91=1,MOD(MONTH(CK81)-MONTH($C83),6)=0),1,IF(AND(MOD(MONTH(CK81)-MONTH($C83),$C90)=0,CK81&gt;=$C85),1,0)))</f>
        <v>0</v>
      </c>
      <c r="CL91" s="160">
        <f t="shared" ref="CL91" si="431">IF(OR(CL81&lt;=$C83,CL81&gt;$C84),0,IF(AND(CL81&lt;=$C85,$C91=1,MOD(MONTH(CL81)-MONTH($C83),6)=0),1,IF(AND(MOD(MONTH(CL81)-MONTH($C83),$C90)=0,CL81&gt;=$C85),1,0)))</f>
        <v>0</v>
      </c>
      <c r="CM91" s="160">
        <f t="shared" ref="CM91" si="432">IF(OR(CM81&lt;=$C83,CM81&gt;$C84),0,IF(AND(CM81&lt;=$C85,$C91=1,MOD(MONTH(CM81)-MONTH($C83),6)=0),1,IF(AND(MOD(MONTH(CM81)-MONTH($C83),$C90)=0,CM81&gt;=$C85),1,0)))</f>
        <v>0</v>
      </c>
      <c r="CN91" s="160">
        <f t="shared" ref="CN91" si="433">IF(OR(CN81&lt;=$C83,CN81&gt;$C84),0,IF(AND(CN81&lt;=$C85,$C91=1,MOD(MONTH(CN81)-MONTH($C83),6)=0),1,IF(AND(MOD(MONTH(CN81)-MONTH($C83),$C90)=0,CN81&gt;=$C85),1,0)))</f>
        <v>0</v>
      </c>
      <c r="CO91" s="160">
        <f t="shared" ref="CO91" si="434">IF(OR(CO81&lt;=$C83,CO81&gt;$C84),0,IF(AND(CO81&lt;=$C85,$C91=1,MOD(MONTH(CO81)-MONTH($C83),6)=0),1,IF(AND(MOD(MONTH(CO81)-MONTH($C83),$C90)=0,CO81&gt;=$C85),1,0)))</f>
        <v>0</v>
      </c>
      <c r="CP91" s="160">
        <f t="shared" ref="CP91" si="435">IF(OR(CP81&lt;=$C83,CP81&gt;$C84),0,IF(AND(CP81&lt;=$C85,$C91=1,MOD(MONTH(CP81)-MONTH($C83),6)=0),1,IF(AND(MOD(MONTH(CP81)-MONTH($C83),$C90)=0,CP81&gt;=$C85),1,0)))</f>
        <v>0</v>
      </c>
      <c r="CQ91" s="160">
        <f t="shared" ref="CQ91" si="436">IF(OR(CQ81&lt;=$C83,CQ81&gt;$C84),0,IF(AND(CQ81&lt;=$C85,$C91=1,MOD(MONTH(CQ81)-MONTH($C83),6)=0),1,IF(AND(MOD(MONTH(CQ81)-MONTH($C83),$C90)=0,CQ81&gt;=$C85),1,0)))</f>
        <v>0</v>
      </c>
      <c r="CR91" s="160">
        <f t="shared" ref="CR91" si="437">IF(OR(CR81&lt;=$C83,CR81&gt;$C84),0,IF(AND(CR81&lt;=$C85,$C91=1,MOD(MONTH(CR81)-MONTH($C83),6)=0),1,IF(AND(MOD(MONTH(CR81)-MONTH($C83),$C90)=0,CR81&gt;=$C85),1,0)))</f>
        <v>0</v>
      </c>
      <c r="CS91" s="160">
        <f t="shared" ref="CS91" si="438">IF(OR(CS81&lt;=$C83,CS81&gt;$C84),0,IF(AND(CS81&lt;=$C85,$C91=1,MOD(MONTH(CS81)-MONTH($C83),6)=0),1,IF(AND(MOD(MONTH(CS81)-MONTH($C83),$C90)=0,CS81&gt;=$C85),1,0)))</f>
        <v>0</v>
      </c>
      <c r="CT91" s="160">
        <f t="shared" ref="CT91" si="439">IF(OR(CT81&lt;=$C83,CT81&gt;$C84),0,IF(AND(CT81&lt;=$C85,$C91=1,MOD(MONTH(CT81)-MONTH($C83),6)=0),1,IF(AND(MOD(MONTH(CT81)-MONTH($C83),$C90)=0,CT81&gt;=$C85),1,0)))</f>
        <v>0</v>
      </c>
      <c r="CU91" s="160">
        <f t="shared" ref="CU91" si="440">IF(OR(CU81&lt;=$C83,CU81&gt;$C84),0,IF(AND(CU81&lt;=$C85,$C91=1,MOD(MONTH(CU81)-MONTH($C83),6)=0),1,IF(AND(MOD(MONTH(CU81)-MONTH($C83),$C90)=0,CU81&gt;=$C85),1,0)))</f>
        <v>0</v>
      </c>
      <c r="CV91" s="160">
        <f t="shared" ref="CV91" si="441">IF(OR(CV81&lt;=$C83,CV81&gt;$C84),0,IF(AND(CV81&lt;=$C85,$C91=1,MOD(MONTH(CV81)-MONTH($C83),6)=0),1,IF(AND(MOD(MONTH(CV81)-MONTH($C83),$C90)=0,CV81&gt;=$C85),1,0)))</f>
        <v>0</v>
      </c>
      <c r="CW91" s="160">
        <f t="shared" ref="CW91" si="442">IF(OR(CW81&lt;=$C83,CW81&gt;$C84),0,IF(AND(CW81&lt;=$C85,$C91=1,MOD(MONTH(CW81)-MONTH($C83),6)=0),1,IF(AND(MOD(MONTH(CW81)-MONTH($C83),$C90)=0,CW81&gt;=$C85),1,0)))</f>
        <v>0</v>
      </c>
      <c r="CX91" s="160">
        <f t="shared" ref="CX91" si="443">IF(OR(CX81&lt;=$C83,CX81&gt;$C84),0,IF(AND(CX81&lt;=$C85,$C91=1,MOD(MONTH(CX81)-MONTH($C83),6)=0),1,IF(AND(MOD(MONTH(CX81)-MONTH($C83),$C90)=0,CX81&gt;=$C85),1,0)))</f>
        <v>0</v>
      </c>
      <c r="CY91" s="160">
        <f t="shared" ref="CY91" si="444">IF(OR(CY81&lt;=$C83,CY81&gt;$C84),0,IF(AND(CY81&lt;=$C85,$C91=1,MOD(MONTH(CY81)-MONTH($C83),6)=0),1,IF(AND(MOD(MONTH(CY81)-MONTH($C83),$C90)=0,CY81&gt;=$C85),1,0)))</f>
        <v>0</v>
      </c>
      <c r="CZ91" s="160">
        <f t="shared" ref="CZ91" si="445">IF(OR(CZ81&lt;=$C83,CZ81&gt;$C84),0,IF(AND(CZ81&lt;=$C85,$C91=1,MOD(MONTH(CZ81)-MONTH($C83),6)=0),1,IF(AND(MOD(MONTH(CZ81)-MONTH($C83),$C90)=0,CZ81&gt;=$C85),1,0)))</f>
        <v>0</v>
      </c>
      <c r="DA91" s="160">
        <f t="shared" ref="DA91" si="446">IF(OR(DA81&lt;=$C83,DA81&gt;$C84),0,IF(AND(DA81&lt;=$C85,$C91=1,MOD(MONTH(DA81)-MONTH($C83),6)=0),1,IF(AND(MOD(MONTH(DA81)-MONTH($C83),$C90)=0,DA81&gt;=$C85),1,0)))</f>
        <v>0</v>
      </c>
      <c r="DB91" s="160">
        <f t="shared" ref="DB91" si="447">IF(OR(DB81&lt;=$C83,DB81&gt;$C84),0,IF(AND(DB81&lt;=$C85,$C91=1,MOD(MONTH(DB81)-MONTH($C83),6)=0),1,IF(AND(MOD(MONTH(DB81)-MONTH($C83),$C90)=0,DB81&gt;=$C85),1,0)))</f>
        <v>0</v>
      </c>
      <c r="DC91" s="160">
        <f t="shared" ref="DC91" si="448">IF(OR(DC81&lt;=$C83,DC81&gt;$C84),0,IF(AND(DC81&lt;=$C85,$C91=1,MOD(MONTH(DC81)-MONTH($C83),6)=0),1,IF(AND(MOD(MONTH(DC81)-MONTH($C83),$C90)=0,DC81&gt;=$C85),1,0)))</f>
        <v>0</v>
      </c>
      <c r="DD91" s="160">
        <f t="shared" ref="DD91" si="449">IF(OR(DD81&lt;=$C83,DD81&gt;$C84),0,IF(AND(DD81&lt;=$C85,$C91=1,MOD(MONTH(DD81)-MONTH($C83),6)=0),1,IF(AND(MOD(MONTH(DD81)-MONTH($C83),$C90)=0,DD81&gt;=$C85),1,0)))</f>
        <v>0</v>
      </c>
      <c r="DE91" s="160">
        <f t="shared" ref="DE91" si="450">IF(OR(DE81&lt;=$C83,DE81&gt;$C84),0,IF(AND(DE81&lt;=$C85,$C91=1,MOD(MONTH(DE81)-MONTH($C83),6)=0),1,IF(AND(MOD(MONTH(DE81)-MONTH($C83),$C90)=0,DE81&gt;=$C85),1,0)))</f>
        <v>0</v>
      </c>
      <c r="DF91" s="160">
        <f t="shared" ref="DF91" si="451">IF(OR(DF81&lt;=$C83,DF81&gt;$C84),0,IF(AND(DF81&lt;=$C85,$C91=1,MOD(MONTH(DF81)-MONTH($C83),6)=0),1,IF(AND(MOD(MONTH(DF81)-MONTH($C83),$C90)=0,DF81&gt;=$C85),1,0)))</f>
        <v>0</v>
      </c>
      <c r="DG91" s="160">
        <f t="shared" ref="DG91" si="452">IF(OR(DG81&lt;=$C83,DG81&gt;$C84),0,IF(AND(DG81&lt;=$C85,$C91=1,MOD(MONTH(DG81)-MONTH($C83),6)=0),1,IF(AND(MOD(MONTH(DG81)-MONTH($C83),$C90)=0,DG81&gt;=$C85),1,0)))</f>
        <v>0</v>
      </c>
      <c r="DH91" s="160">
        <f t="shared" ref="DH91" si="453">IF(OR(DH81&lt;=$C83,DH81&gt;$C84),0,IF(AND(DH81&lt;=$C85,$C91=1,MOD(MONTH(DH81)-MONTH($C83),6)=0),1,IF(AND(MOD(MONTH(DH81)-MONTH($C83),$C90)=0,DH81&gt;=$C85),1,0)))</f>
        <v>0</v>
      </c>
      <c r="DI91" s="160">
        <f t="shared" ref="DI91" si="454">IF(OR(DI81&lt;=$C83,DI81&gt;$C84),0,IF(AND(DI81&lt;=$C85,$C91=1,MOD(MONTH(DI81)-MONTH($C83),6)=0),1,IF(AND(MOD(MONTH(DI81)-MONTH($C83),$C90)=0,DI81&gt;=$C85),1,0)))</f>
        <v>0</v>
      </c>
      <c r="DJ91" s="160">
        <f t="shared" ref="DJ91" si="455">IF(OR(DJ81&lt;=$C83,DJ81&gt;$C84),0,IF(AND(DJ81&lt;=$C85,$C91=1,MOD(MONTH(DJ81)-MONTH($C83),6)=0),1,IF(AND(MOD(MONTH(DJ81)-MONTH($C83),$C90)=0,DJ81&gt;=$C85),1,0)))</f>
        <v>0</v>
      </c>
      <c r="DK91" s="160">
        <f t="shared" ref="DK91" si="456">IF(OR(DK81&lt;=$C83,DK81&gt;$C84),0,IF(AND(DK81&lt;=$C85,$C91=1,MOD(MONTH(DK81)-MONTH($C83),6)=0),1,IF(AND(MOD(MONTH(DK81)-MONTH($C83),$C90)=0,DK81&gt;=$C85),1,0)))</f>
        <v>0</v>
      </c>
      <c r="DL91" s="160">
        <f t="shared" ref="DL91" si="457">IF(OR(DL81&lt;=$C83,DL81&gt;$C84),0,IF(AND(DL81&lt;=$C85,$C91=1,MOD(MONTH(DL81)-MONTH($C83),6)=0),1,IF(AND(MOD(MONTH(DL81)-MONTH($C83),$C90)=0,DL81&gt;=$C85),1,0)))</f>
        <v>0</v>
      </c>
      <c r="DM91" s="160">
        <f t="shared" ref="DM91" si="458">IF(OR(DM81&lt;=$C83,DM81&gt;$C84),0,IF(AND(DM81&lt;=$C85,$C91=1,MOD(MONTH(DM81)-MONTH($C83),6)=0),1,IF(AND(MOD(MONTH(DM81)-MONTH($C83),$C90)=0,DM81&gt;=$C85),1,0)))</f>
        <v>0</v>
      </c>
      <c r="DN91" s="160">
        <f t="shared" ref="DN91" si="459">IF(OR(DN81&lt;=$C83,DN81&gt;$C84),0,IF(AND(DN81&lt;=$C85,$C91=1,MOD(MONTH(DN81)-MONTH($C83),6)=0),1,IF(AND(MOD(MONTH(DN81)-MONTH($C83),$C90)=0,DN81&gt;=$C85),1,0)))</f>
        <v>0</v>
      </c>
      <c r="DO91" s="160">
        <f t="shared" ref="DO91" si="460">IF(OR(DO81&lt;=$C83,DO81&gt;$C84),0,IF(AND(DO81&lt;=$C85,$C91=1,MOD(MONTH(DO81)-MONTH($C83),6)=0),1,IF(AND(MOD(MONTH(DO81)-MONTH($C83),$C90)=0,DO81&gt;=$C85),1,0)))</f>
        <v>0</v>
      </c>
      <c r="DP91" s="160">
        <f t="shared" ref="DP91" si="461">IF(OR(DP81&lt;=$C83,DP81&gt;$C84),0,IF(AND(DP81&lt;=$C85,$C91=1,MOD(MONTH(DP81)-MONTH($C83),6)=0),1,IF(AND(MOD(MONTH(DP81)-MONTH($C83),$C90)=0,DP81&gt;=$C85),1,0)))</f>
        <v>0</v>
      </c>
      <c r="DQ91" s="160">
        <f t="shared" ref="DQ91" si="462">IF(OR(DQ81&lt;=$C83,DQ81&gt;$C84),0,IF(AND(DQ81&lt;=$C85,$C91=1,MOD(MONTH(DQ81)-MONTH($C83),6)=0),1,IF(AND(MOD(MONTH(DQ81)-MONTH($C83),$C90)=0,DQ81&gt;=$C85),1,0)))</f>
        <v>0</v>
      </c>
      <c r="DR91" s="160">
        <f t="shared" ref="DR91" si="463">IF(OR(DR81&lt;=$C83,DR81&gt;$C84),0,IF(AND(DR81&lt;=$C85,$C91=1,MOD(MONTH(DR81)-MONTH($C83),6)=0),1,IF(AND(MOD(MONTH(DR81)-MONTH($C83),$C90)=0,DR81&gt;=$C85),1,0)))</f>
        <v>0</v>
      </c>
      <c r="DS91" s="160">
        <f t="shared" ref="DS91" si="464">IF(OR(DS81&lt;=$C83,DS81&gt;$C84),0,IF(AND(DS81&lt;=$C85,$C91=1,MOD(MONTH(DS81)-MONTH($C83),6)=0),1,IF(AND(MOD(MONTH(DS81)-MONTH($C83),$C90)=0,DS81&gt;=$C85),1,0)))</f>
        <v>0</v>
      </c>
      <c r="DT91" s="160">
        <f t="shared" ref="DT91" si="465">IF(OR(DT81&lt;=$C83,DT81&gt;$C84),0,IF(AND(DT81&lt;=$C85,$C91=1,MOD(MONTH(DT81)-MONTH($C83),6)=0),1,IF(AND(MOD(MONTH(DT81)-MONTH($C83),$C90)=0,DT81&gt;=$C85),1,0)))</f>
        <v>0</v>
      </c>
      <c r="DU91" s="160">
        <f t="shared" ref="DU91" si="466">IF(OR(DU81&lt;=$C83,DU81&gt;$C84),0,IF(AND(DU81&lt;=$C85,$C91=1,MOD(MONTH(DU81)-MONTH($C83),6)=0),1,IF(AND(MOD(MONTH(DU81)-MONTH($C83),$C90)=0,DU81&gt;=$C85),1,0)))</f>
        <v>0</v>
      </c>
      <c r="DV91" s="160">
        <f t="shared" ref="DV91" si="467">IF(OR(DV81&lt;=$C83,DV81&gt;$C84),0,IF(AND(DV81&lt;=$C85,$C91=1,MOD(MONTH(DV81)-MONTH($C83),6)=0),1,IF(AND(MOD(MONTH(DV81)-MONTH($C83),$C90)=0,DV81&gt;=$C85),1,0)))</f>
        <v>0</v>
      </c>
      <c r="DW91" s="160">
        <f t="shared" ref="DW91" si="468">IF(OR(DW81&lt;=$C83,DW81&gt;$C84),0,IF(AND(DW81&lt;=$C85,$C91=1,MOD(MONTH(DW81)-MONTH($C83),6)=0),1,IF(AND(MOD(MONTH(DW81)-MONTH($C83),$C90)=0,DW81&gt;=$C85),1,0)))</f>
        <v>0</v>
      </c>
      <c r="DX91" s="160">
        <f t="shared" ref="DX91" si="469">IF(OR(DX81&lt;=$C83,DX81&gt;$C84),0,IF(AND(DX81&lt;=$C85,$C91=1,MOD(MONTH(DX81)-MONTH($C83),6)=0),1,IF(AND(MOD(MONTH(DX81)-MONTH($C83),$C90)=0,DX81&gt;=$C85),1,0)))</f>
        <v>0</v>
      </c>
      <c r="DY91" s="160">
        <f t="shared" ref="DY91" si="470">IF(OR(DY81&lt;=$C83,DY81&gt;$C84),0,IF(AND(DY81&lt;=$C85,$C91=1,MOD(MONTH(DY81)-MONTH($C83),6)=0),1,IF(AND(MOD(MONTH(DY81)-MONTH($C83),$C90)=0,DY81&gt;=$C85),1,0)))</f>
        <v>0</v>
      </c>
      <c r="DZ91" s="160">
        <f t="shared" ref="DZ91" si="471">IF(OR(DZ81&lt;=$C83,DZ81&gt;$C84),0,IF(AND(DZ81&lt;=$C85,$C91=1,MOD(MONTH(DZ81)-MONTH($C83),6)=0),1,IF(AND(MOD(MONTH(DZ81)-MONTH($C83),$C90)=0,DZ81&gt;=$C85),1,0)))</f>
        <v>0</v>
      </c>
      <c r="EA91" s="160">
        <f t="shared" ref="EA91" si="472">IF(OR(EA81&lt;=$C83,EA81&gt;$C84),0,IF(AND(EA81&lt;=$C85,$C91=1,MOD(MONTH(EA81)-MONTH($C83),6)=0),1,IF(AND(MOD(MONTH(EA81)-MONTH($C83),$C90)=0,EA81&gt;=$C85),1,0)))</f>
        <v>0</v>
      </c>
      <c r="EB91" s="160">
        <f t="shared" ref="EB91" si="473">IF(OR(EB81&lt;=$C83,EB81&gt;$C84),0,IF(AND(EB81&lt;=$C85,$C91=1,MOD(MONTH(EB81)-MONTH($C83),6)=0),1,IF(AND(MOD(MONTH(EB81)-MONTH($C83),$C90)=0,EB81&gt;=$C85),1,0)))</f>
        <v>0</v>
      </c>
      <c r="EC91" s="160">
        <f t="shared" ref="EC91" si="474">IF(OR(EC81&lt;=$C83,EC81&gt;$C84),0,IF(AND(EC81&lt;=$C85,$C91=1,MOD(MONTH(EC81)-MONTH($C83),6)=0),1,IF(AND(MOD(MONTH(EC81)-MONTH($C83),$C90)=0,EC81&gt;=$C85),1,0)))</f>
        <v>0</v>
      </c>
      <c r="ED91" s="160">
        <f t="shared" ref="ED91" si="475">IF(OR(ED81&lt;=$C83,ED81&gt;$C84),0,IF(AND(ED81&lt;=$C85,$C91=1,MOD(MONTH(ED81)-MONTH($C83),6)=0),1,IF(AND(MOD(MONTH(ED81)-MONTH($C83),$C90)=0,ED81&gt;=$C85),1,0)))</f>
        <v>0</v>
      </c>
      <c r="EE91" s="160">
        <f t="shared" ref="EE91" si="476">IF(OR(EE81&lt;=$C83,EE81&gt;$C84),0,IF(AND(EE81&lt;=$C85,$C91=1,MOD(MONTH(EE81)-MONTH($C83),6)=0),1,IF(AND(MOD(MONTH(EE81)-MONTH($C83),$C90)=0,EE81&gt;=$C85),1,0)))</f>
        <v>0</v>
      </c>
      <c r="EF91" s="160">
        <f t="shared" ref="EF91" si="477">IF(OR(EF81&lt;=$C83,EF81&gt;$C84),0,IF(AND(EF81&lt;=$C85,$C91=1,MOD(MONTH(EF81)-MONTH($C83),6)=0),1,IF(AND(MOD(MONTH(EF81)-MONTH($C83),$C90)=0,EF81&gt;=$C85),1,0)))</f>
        <v>0</v>
      </c>
      <c r="EG91" s="160">
        <f t="shared" ref="EG91" si="478">IF(OR(EG81&lt;=$C83,EG81&gt;$C84),0,IF(AND(EG81&lt;=$C85,$C91=1,MOD(MONTH(EG81)-MONTH($C83),6)=0),1,IF(AND(MOD(MONTH(EG81)-MONTH($C83),$C90)=0,EG81&gt;=$C85),1,0)))</f>
        <v>0</v>
      </c>
      <c r="EH91" s="160">
        <f t="shared" ref="EH91" si="479">IF(OR(EH81&lt;=$C83,EH81&gt;$C84),0,IF(AND(EH81&lt;=$C85,$C91=1,MOD(MONTH(EH81)-MONTH($C83),6)=0),1,IF(AND(MOD(MONTH(EH81)-MONTH($C83),$C90)=0,EH81&gt;=$C85),1,0)))</f>
        <v>0</v>
      </c>
      <c r="EI91" s="160">
        <f t="shared" ref="EI91" si="480">IF(OR(EI81&lt;=$C83,EI81&gt;$C84),0,IF(AND(EI81&lt;=$C85,$C91=1,MOD(MONTH(EI81)-MONTH($C83),6)=0),1,IF(AND(MOD(MONTH(EI81)-MONTH($C83),$C90)=0,EI81&gt;=$C85),1,0)))</f>
        <v>0</v>
      </c>
      <c r="EJ91" s="160">
        <f t="shared" ref="EJ91" si="481">IF(OR(EJ81&lt;=$C83,EJ81&gt;$C84),0,IF(AND(EJ81&lt;=$C85,$C91=1,MOD(MONTH(EJ81)-MONTH($C83),6)=0),1,IF(AND(MOD(MONTH(EJ81)-MONTH($C83),$C90)=0,EJ81&gt;=$C85),1,0)))</f>
        <v>0</v>
      </c>
      <c r="EK91" s="160">
        <f t="shared" ref="EK91" si="482">IF(OR(EK81&lt;=$C83,EK81&gt;$C84),0,IF(AND(EK81&lt;=$C85,$C91=1,MOD(MONTH(EK81)-MONTH($C83),6)=0),1,IF(AND(MOD(MONTH(EK81)-MONTH($C83),$C90)=0,EK81&gt;=$C85),1,0)))</f>
        <v>0</v>
      </c>
      <c r="EL91" s="160">
        <f t="shared" ref="EL91" si="483">IF(OR(EL81&lt;=$C83,EL81&gt;$C84),0,IF(AND(EL81&lt;=$C85,$C91=1,MOD(MONTH(EL81)-MONTH($C83),6)=0),1,IF(AND(MOD(MONTH(EL81)-MONTH($C83),$C90)=0,EL81&gt;=$C85),1,0)))</f>
        <v>0</v>
      </c>
      <c r="EM91" s="160">
        <f t="shared" ref="EM91" si="484">IF(OR(EM81&lt;=$C83,EM81&gt;$C84),0,IF(AND(EM81&lt;=$C85,$C91=1,MOD(MONTH(EM81)-MONTH($C83),6)=0),1,IF(AND(MOD(MONTH(EM81)-MONTH($C83),$C90)=0,EM81&gt;=$C85),1,0)))</f>
        <v>0</v>
      </c>
      <c r="EN91" s="160">
        <f t="shared" ref="EN91" si="485">IF(OR(EN81&lt;=$C83,EN81&gt;$C84),0,IF(AND(EN81&lt;=$C85,$C91=1,MOD(MONTH(EN81)-MONTH($C83),6)=0),1,IF(AND(MOD(MONTH(EN81)-MONTH($C83),$C90)=0,EN81&gt;=$C85),1,0)))</f>
        <v>0</v>
      </c>
      <c r="EO91" s="160">
        <f t="shared" ref="EO91" si="486">IF(OR(EO81&lt;=$C83,EO81&gt;$C84),0,IF(AND(EO81&lt;=$C85,$C91=1,MOD(MONTH(EO81)-MONTH($C83),6)=0),1,IF(AND(MOD(MONTH(EO81)-MONTH($C83),$C90)=0,EO81&gt;=$C85),1,0)))</f>
        <v>0</v>
      </c>
      <c r="EP91" s="160">
        <f t="shared" ref="EP91" si="487">IF(OR(EP81&lt;=$C83,EP81&gt;$C84),0,IF(AND(EP81&lt;=$C85,$C91=1,MOD(MONTH(EP81)-MONTH($C83),6)=0),1,IF(AND(MOD(MONTH(EP81)-MONTH($C83),$C90)=0,EP81&gt;=$C85),1,0)))</f>
        <v>0</v>
      </c>
      <c r="EQ91" s="160">
        <f t="shared" ref="EQ91" si="488">IF(OR(EQ81&lt;=$C83,EQ81&gt;$C84),0,IF(AND(EQ81&lt;=$C85,$C91=1,MOD(MONTH(EQ81)-MONTH($C83),6)=0),1,IF(AND(MOD(MONTH(EQ81)-MONTH($C83),$C90)=0,EQ81&gt;=$C85),1,0)))</f>
        <v>0</v>
      </c>
      <c r="ER91" s="160">
        <f t="shared" ref="ER91" si="489">IF(OR(ER81&lt;=$C83,ER81&gt;$C84),0,IF(AND(ER81&lt;=$C85,$C91=1,MOD(MONTH(ER81)-MONTH($C83),6)=0),1,IF(AND(MOD(MONTH(ER81)-MONTH($C83),$C90)=0,ER81&gt;=$C85),1,0)))</f>
        <v>0</v>
      </c>
      <c r="ES91" s="160">
        <f t="shared" ref="ES91" si="490">IF(OR(ES81&lt;=$C83,ES81&gt;$C84),0,IF(AND(ES81&lt;=$C85,$C91=1,MOD(MONTH(ES81)-MONTH($C83),6)=0),1,IF(AND(MOD(MONTH(ES81)-MONTH($C83),$C90)=0,ES81&gt;=$C85),1,0)))</f>
        <v>0</v>
      </c>
      <c r="ET91" s="160">
        <f t="shared" ref="ET91" si="491">IF(OR(ET81&lt;=$C83,ET81&gt;$C84),0,IF(AND(ET81&lt;=$C85,$C91=1,MOD(MONTH(ET81)-MONTH($C83),6)=0),1,IF(AND(MOD(MONTH(ET81)-MONTH($C83),$C90)=0,ET81&gt;=$C85),1,0)))</f>
        <v>0</v>
      </c>
      <c r="EU91" s="160">
        <f t="shared" ref="EU91" si="492">IF(OR(EU81&lt;=$C83,EU81&gt;$C84),0,IF(AND(EU81&lt;=$C85,$C91=1,MOD(MONTH(EU81)-MONTH($C83),6)=0),1,IF(AND(MOD(MONTH(EU81)-MONTH($C83),$C90)=0,EU81&gt;=$C85),1,0)))</f>
        <v>0</v>
      </c>
      <c r="EV91" s="160">
        <f t="shared" ref="EV91" si="493">IF(OR(EV81&lt;=$C83,EV81&gt;$C84),0,IF(AND(EV81&lt;=$C85,$C91=1,MOD(MONTH(EV81)-MONTH($C83),6)=0),1,IF(AND(MOD(MONTH(EV81)-MONTH($C83),$C90)=0,EV81&gt;=$C85),1,0)))</f>
        <v>0</v>
      </c>
      <c r="EW91" s="160">
        <f t="shared" ref="EW91" si="494">IF(OR(EW81&lt;=$C83,EW81&gt;$C84),0,IF(AND(EW81&lt;=$C85,$C91=1,MOD(MONTH(EW81)-MONTH($C83),6)=0),1,IF(AND(MOD(MONTH(EW81)-MONTH($C83),$C90)=0,EW81&gt;=$C85),1,0)))</f>
        <v>0</v>
      </c>
      <c r="EX91" s="160">
        <f t="shared" ref="EX91" si="495">IF(OR(EX81&lt;=$C83,EX81&gt;$C84),0,IF(AND(EX81&lt;=$C85,$C91=1,MOD(MONTH(EX81)-MONTH($C83),6)=0),1,IF(AND(MOD(MONTH(EX81)-MONTH($C83),$C90)=0,EX81&gt;=$C85),1,0)))</f>
        <v>0</v>
      </c>
      <c r="EY91" s="160">
        <f t="shared" ref="EY91" si="496">IF(OR(EY81&lt;=$C83,EY81&gt;$C84),0,IF(AND(EY81&lt;=$C85,$C91=1,MOD(MONTH(EY81)-MONTH($C83),6)=0),1,IF(AND(MOD(MONTH(EY81)-MONTH($C83),$C90)=0,EY81&gt;=$C85),1,0)))</f>
        <v>0</v>
      </c>
      <c r="EZ91" s="160">
        <f t="shared" ref="EZ91" si="497">IF(OR(EZ81&lt;=$C83,EZ81&gt;$C84),0,IF(AND(EZ81&lt;=$C85,$C91=1,MOD(MONTH(EZ81)-MONTH($C83),6)=0),1,IF(AND(MOD(MONTH(EZ81)-MONTH($C83),$C90)=0,EZ81&gt;=$C85),1,0)))</f>
        <v>0</v>
      </c>
      <c r="FA91" s="160">
        <f t="shared" ref="FA91" si="498">IF(OR(FA81&lt;=$C83,FA81&gt;$C84),0,IF(AND(FA81&lt;=$C85,$C91=1,MOD(MONTH(FA81)-MONTH($C83),6)=0),1,IF(AND(MOD(MONTH(FA81)-MONTH($C83),$C90)=0,FA81&gt;=$C85),1,0)))</f>
        <v>0</v>
      </c>
      <c r="FB91" s="160">
        <f t="shared" ref="FB91" si="499">IF(OR(FB81&lt;=$C83,FB81&gt;$C84),0,IF(AND(FB81&lt;=$C85,$C91=1,MOD(MONTH(FB81)-MONTH($C83),6)=0),1,IF(AND(MOD(MONTH(FB81)-MONTH($C83),$C90)=0,FB81&gt;=$C85),1,0)))</f>
        <v>0</v>
      </c>
      <c r="FC91" s="160">
        <f t="shared" ref="FC91" si="500">IF(OR(FC81&lt;=$C83,FC81&gt;$C84),0,IF(AND(FC81&lt;=$C85,$C91=1,MOD(MONTH(FC81)-MONTH($C83),6)=0),1,IF(AND(MOD(MONTH(FC81)-MONTH($C83),$C90)=0,FC81&gt;=$C85),1,0)))</f>
        <v>0</v>
      </c>
      <c r="FD91" s="160">
        <f t="shared" ref="FD91" si="501">IF(OR(FD81&lt;=$C83,FD81&gt;$C84),0,IF(AND(FD81&lt;=$C85,$C91=1,MOD(MONTH(FD81)-MONTH($C83),6)=0),1,IF(AND(MOD(MONTH(FD81)-MONTH($C83),$C90)=0,FD81&gt;=$C85),1,0)))</f>
        <v>0</v>
      </c>
      <c r="FE91" s="160">
        <f t="shared" ref="FE91" si="502">IF(OR(FE81&lt;=$C83,FE81&gt;$C84),0,IF(AND(FE81&lt;=$C85,$C91=1,MOD(MONTH(FE81)-MONTH($C83),6)=0),1,IF(AND(MOD(MONTH(FE81)-MONTH($C83),$C90)=0,FE81&gt;=$C85),1,0)))</f>
        <v>0</v>
      </c>
      <c r="FF91" s="160">
        <f t="shared" ref="FF91" si="503">IF(OR(FF81&lt;=$C83,FF81&gt;$C84),0,IF(AND(FF81&lt;=$C85,$C91=1,MOD(MONTH(FF81)-MONTH($C83),6)=0),1,IF(AND(MOD(MONTH(FF81)-MONTH($C83),$C90)=0,FF81&gt;=$C85),1,0)))</f>
        <v>0</v>
      </c>
      <c r="FG91" s="160">
        <f t="shared" ref="FG91" si="504">IF(OR(FG81&lt;=$C83,FG81&gt;$C84),0,IF(AND(FG81&lt;=$C85,$C91=1,MOD(MONTH(FG81)-MONTH($C83),6)=0),1,IF(AND(MOD(MONTH(FG81)-MONTH($C83),$C90)=0,FG81&gt;=$C85),1,0)))</f>
        <v>0</v>
      </c>
      <c r="FH91" s="160">
        <f t="shared" ref="FH91" si="505">IF(OR(FH81&lt;=$C83,FH81&gt;$C84),0,IF(AND(FH81&lt;=$C85,$C91=1,MOD(MONTH(FH81)-MONTH($C83),6)=0),1,IF(AND(MOD(MONTH(FH81)-MONTH($C83),$C90)=0,FH81&gt;=$C85),1,0)))</f>
        <v>0</v>
      </c>
      <c r="FI91" s="160">
        <f t="shared" ref="FI91" si="506">IF(OR(FI81&lt;=$C83,FI81&gt;$C84),0,IF(AND(FI81&lt;=$C85,$C91=1,MOD(MONTH(FI81)-MONTH($C83),6)=0),1,IF(AND(MOD(MONTH(FI81)-MONTH($C83),$C90)=0,FI81&gt;=$C85),1,0)))</f>
        <v>0</v>
      </c>
      <c r="FJ91" s="160">
        <f t="shared" ref="FJ91" si="507">IF(OR(FJ81&lt;=$C83,FJ81&gt;$C84),0,IF(AND(FJ81&lt;=$C85,$C91=1,MOD(MONTH(FJ81)-MONTH($C83),6)=0),1,IF(AND(MOD(MONTH(FJ81)-MONTH($C83),$C90)=0,FJ81&gt;=$C85),1,0)))</f>
        <v>0</v>
      </c>
      <c r="FK91" s="160">
        <f t="shared" ref="FK91" si="508">IF(OR(FK81&lt;=$C83,FK81&gt;$C84),0,IF(AND(FK81&lt;=$C85,$C91=1,MOD(MONTH(FK81)-MONTH($C83),6)=0),1,IF(AND(MOD(MONTH(FK81)-MONTH($C83),$C90)=0,FK81&gt;=$C85),1,0)))</f>
        <v>0</v>
      </c>
      <c r="FL91" s="160">
        <f t="shared" ref="FL91" si="509">IF(OR(FL81&lt;=$C83,FL81&gt;$C84),0,IF(AND(FL81&lt;=$C85,$C91=1,MOD(MONTH(FL81)-MONTH($C83),6)=0),1,IF(AND(MOD(MONTH(FL81)-MONTH($C83),$C90)=0,FL81&gt;=$C85),1,0)))</f>
        <v>0</v>
      </c>
      <c r="FM91" s="160">
        <f t="shared" ref="FM91" si="510">IF(OR(FM81&lt;=$C83,FM81&gt;$C84),0,IF(AND(FM81&lt;=$C85,$C91=1,MOD(MONTH(FM81)-MONTH($C83),6)=0),1,IF(AND(MOD(MONTH(FM81)-MONTH($C83),$C90)=0,FM81&gt;=$C85),1,0)))</f>
        <v>0</v>
      </c>
      <c r="FN91" s="160">
        <f t="shared" ref="FN91" si="511">IF(OR(FN81&lt;=$C83,FN81&gt;$C84),0,IF(AND(FN81&lt;=$C85,$C91=1,MOD(MONTH(FN81)-MONTH($C83),6)=0),1,IF(AND(MOD(MONTH(FN81)-MONTH($C83),$C90)=0,FN81&gt;=$C85),1,0)))</f>
        <v>0</v>
      </c>
      <c r="FO91" s="160">
        <f t="shared" ref="FO91" si="512">IF(OR(FO81&lt;=$C83,FO81&gt;$C84),0,IF(AND(FO81&lt;=$C85,$C91=1,MOD(MONTH(FO81)-MONTH($C83),6)=0),1,IF(AND(MOD(MONTH(FO81)-MONTH($C83),$C90)=0,FO81&gt;=$C85),1,0)))</f>
        <v>0</v>
      </c>
      <c r="FP91" s="160">
        <f t="shared" ref="FP91" si="513">IF(OR(FP81&lt;=$C83,FP81&gt;$C84),0,IF(AND(FP81&lt;=$C85,$C91=1,MOD(MONTH(FP81)-MONTH($C83),6)=0),1,IF(AND(MOD(MONTH(FP81)-MONTH($C83),$C90)=0,FP81&gt;=$C85),1,0)))</f>
        <v>0</v>
      </c>
      <c r="FQ91" s="160">
        <f t="shared" ref="FQ91" si="514">IF(OR(FQ81&lt;=$C83,FQ81&gt;$C84),0,IF(AND(FQ81&lt;=$C85,$C91=1,MOD(MONTH(FQ81)-MONTH($C83),6)=0),1,IF(AND(MOD(MONTH(FQ81)-MONTH($C83),$C90)=0,FQ81&gt;=$C85),1,0)))</f>
        <v>0</v>
      </c>
      <c r="FR91" s="160">
        <f t="shared" ref="FR91" si="515">IF(OR(FR81&lt;=$C83,FR81&gt;$C84),0,IF(AND(FR81&lt;=$C85,$C91=1,MOD(MONTH(FR81)-MONTH($C83),6)=0),1,IF(AND(MOD(MONTH(FR81)-MONTH($C83),$C90)=0,FR81&gt;=$C85),1,0)))</f>
        <v>0</v>
      </c>
      <c r="FS91" s="160">
        <f t="shared" ref="FS91" si="516">IF(OR(FS81&lt;=$C83,FS81&gt;$C84),0,IF(AND(FS81&lt;=$C85,$C91=1,MOD(MONTH(FS81)-MONTH($C83),6)=0),1,IF(AND(MOD(MONTH(FS81)-MONTH($C83),$C90)=0,FS81&gt;=$C85),1,0)))</f>
        <v>0</v>
      </c>
      <c r="FT91" s="160">
        <f t="shared" ref="FT91" si="517">IF(OR(FT81&lt;=$C83,FT81&gt;$C84),0,IF(AND(FT81&lt;=$C85,$C91=1,MOD(MONTH(FT81)-MONTH($C83),6)=0),1,IF(AND(MOD(MONTH(FT81)-MONTH($C83),$C90)=0,FT81&gt;=$C85),1,0)))</f>
        <v>0</v>
      </c>
      <c r="FU91" s="160">
        <f t="shared" ref="FU91" si="518">IF(OR(FU81&lt;=$C83,FU81&gt;$C84),0,IF(AND(FU81&lt;=$C85,$C91=1,MOD(MONTH(FU81)-MONTH($C83),6)=0),1,IF(AND(MOD(MONTH(FU81)-MONTH($C83),$C90)=0,FU81&gt;=$C85),1,0)))</f>
        <v>0</v>
      </c>
      <c r="FV91" s="160">
        <f t="shared" ref="FV91" si="519">IF(OR(FV81&lt;=$C83,FV81&gt;$C84),0,IF(AND(FV81&lt;=$C85,$C91=1,MOD(MONTH(FV81)-MONTH($C83),6)=0),1,IF(AND(MOD(MONTH(FV81)-MONTH($C83),$C90)=0,FV81&gt;=$C85),1,0)))</f>
        <v>0</v>
      </c>
      <c r="FW91" s="160">
        <f t="shared" ref="FW91" si="520">IF(OR(FW81&lt;=$C83,FW81&gt;$C84),0,IF(AND(FW81&lt;=$C85,$C91=1,MOD(MONTH(FW81)-MONTH($C83),6)=0),1,IF(AND(MOD(MONTH(FW81)-MONTH($C83),$C90)=0,FW81&gt;=$C85),1,0)))</f>
        <v>0</v>
      </c>
      <c r="FX91" s="160">
        <f t="shared" ref="FX91" si="521">IF(OR(FX81&lt;=$C83,FX81&gt;$C84),0,IF(AND(FX81&lt;=$C85,$C91=1,MOD(MONTH(FX81)-MONTH($C83),6)=0),1,IF(AND(MOD(MONTH(FX81)-MONTH($C83),$C90)=0,FX81&gt;=$C85),1,0)))</f>
        <v>0</v>
      </c>
      <c r="FY91" s="160">
        <f t="shared" ref="FY91" si="522">IF(OR(FY81&lt;=$C83,FY81&gt;$C84),0,IF(AND(FY81&lt;=$C85,$C91=1,MOD(MONTH(FY81)-MONTH($C83),6)=0),1,IF(AND(MOD(MONTH(FY81)-MONTH($C83),$C90)=0,FY81&gt;=$C85),1,0)))</f>
        <v>0</v>
      </c>
      <c r="FZ91" s="160">
        <f t="shared" ref="FZ91" si="523">IF(OR(FZ81&lt;=$C83,FZ81&gt;$C84),0,IF(AND(FZ81&lt;=$C85,$C91=1,MOD(MONTH(FZ81)-MONTH($C83),6)=0),1,IF(AND(MOD(MONTH(FZ81)-MONTH($C83),$C90)=0,FZ81&gt;=$C85),1,0)))</f>
        <v>0</v>
      </c>
      <c r="GA91" s="160">
        <f t="shared" ref="GA91" si="524">IF(OR(GA81&lt;=$C83,GA81&gt;$C84),0,IF(AND(GA81&lt;=$C85,$C91=1,MOD(MONTH(GA81)-MONTH($C83),6)=0),1,IF(AND(MOD(MONTH(GA81)-MONTH($C83),$C90)=0,GA81&gt;=$C85),1,0)))</f>
        <v>0</v>
      </c>
      <c r="GB91" s="160">
        <f t="shared" ref="GB91" si="525">IF(OR(GB81&lt;=$C83,GB81&gt;$C84),0,IF(AND(GB81&lt;=$C85,$C91=1,MOD(MONTH(GB81)-MONTH($C83),6)=0),1,IF(AND(MOD(MONTH(GB81)-MONTH($C83),$C90)=0,GB81&gt;=$C85),1,0)))</f>
        <v>0</v>
      </c>
      <c r="GC91" s="160">
        <f t="shared" ref="GC91" si="526">IF(OR(GC81&lt;=$C83,GC81&gt;$C84),0,IF(AND(GC81&lt;=$C85,$C91=1,MOD(MONTH(GC81)-MONTH($C83),6)=0),1,IF(AND(MOD(MONTH(GC81)-MONTH($C83),$C90)=0,GC81&gt;=$C85),1,0)))</f>
        <v>0</v>
      </c>
      <c r="GD91" s="160">
        <f t="shared" ref="GD91" si="527">IF(OR(GD81&lt;=$C83,GD81&gt;$C84),0,IF(AND(GD81&lt;=$C85,$C91=1,MOD(MONTH(GD81)-MONTH($C83),6)=0),1,IF(AND(MOD(MONTH(GD81)-MONTH($C83),$C90)=0,GD81&gt;=$C85),1,0)))</f>
        <v>0</v>
      </c>
      <c r="GE91" s="160">
        <f t="shared" ref="GE91" si="528">IF(OR(GE81&lt;=$C83,GE81&gt;$C84),0,IF(AND(GE81&lt;=$C85,$C91=1,MOD(MONTH(GE81)-MONTH($C83),6)=0),1,IF(AND(MOD(MONTH(GE81)-MONTH($C83),$C90)=0,GE81&gt;=$C85),1,0)))</f>
        <v>0</v>
      </c>
      <c r="GF91" s="160">
        <f t="shared" ref="GF91" si="529">IF(OR(GF81&lt;=$C83,GF81&gt;$C84),0,IF(AND(GF81&lt;=$C85,$C91=1,MOD(MONTH(GF81)-MONTH($C83),6)=0),1,IF(AND(MOD(MONTH(GF81)-MONTH($C83),$C90)=0,GF81&gt;=$C85),1,0)))</f>
        <v>0</v>
      </c>
      <c r="GG91" s="160">
        <f t="shared" ref="GG91" si="530">IF(OR(GG81&lt;=$C83,GG81&gt;$C84),0,IF(AND(GG81&lt;=$C85,$C91=1,MOD(MONTH(GG81)-MONTH($C83),6)=0),1,IF(AND(MOD(MONTH(GG81)-MONTH($C83),$C90)=0,GG81&gt;=$C85),1,0)))</f>
        <v>0</v>
      </c>
      <c r="GH91" s="160">
        <f t="shared" ref="GH91" si="531">IF(OR(GH81&lt;=$C83,GH81&gt;$C84),0,IF(AND(GH81&lt;=$C85,$C91=1,MOD(MONTH(GH81)-MONTH($C83),6)=0),1,IF(AND(MOD(MONTH(GH81)-MONTH($C83),$C90)=0,GH81&gt;=$C85),1,0)))</f>
        <v>0</v>
      </c>
      <c r="GI91" s="160">
        <f t="shared" ref="GI91" si="532">IF(OR(GI81&lt;=$C83,GI81&gt;$C84),0,IF(AND(GI81&lt;=$C85,$C91=1,MOD(MONTH(GI81)-MONTH($C83),6)=0),1,IF(AND(MOD(MONTH(GI81)-MONTH($C83),$C90)=0,GI81&gt;=$C85),1,0)))</f>
        <v>0</v>
      </c>
      <c r="GJ91" s="160">
        <f t="shared" ref="GJ91" si="533">IF(OR(GJ81&lt;=$C83,GJ81&gt;$C84),0,IF(AND(GJ81&lt;=$C85,$C91=1,MOD(MONTH(GJ81)-MONTH($C83),6)=0),1,IF(AND(MOD(MONTH(GJ81)-MONTH($C83),$C90)=0,GJ81&gt;=$C85),1,0)))</f>
        <v>0</v>
      </c>
      <c r="GK91" s="160">
        <f t="shared" ref="GK91" si="534">IF(OR(GK81&lt;=$C83,GK81&gt;$C84),0,IF(AND(GK81&lt;=$C85,$C91=1,MOD(MONTH(GK81)-MONTH($C83),6)=0),1,IF(AND(MOD(MONTH(GK81)-MONTH($C83),$C90)=0,GK81&gt;=$C85),1,0)))</f>
        <v>0</v>
      </c>
      <c r="GL91" s="160">
        <f t="shared" ref="GL91" si="535">IF(OR(GL81&lt;=$C83,GL81&gt;$C84),0,IF(AND(GL81&lt;=$C85,$C91=1,MOD(MONTH(GL81)-MONTH($C83),6)=0),1,IF(AND(MOD(MONTH(GL81)-MONTH($C83),$C90)=0,GL81&gt;=$C85),1,0)))</f>
        <v>0</v>
      </c>
      <c r="GM91" s="160">
        <f t="shared" ref="GM91" si="536">IF(OR(GM81&lt;=$C83,GM81&gt;$C84),0,IF(AND(GM81&lt;=$C85,$C91=1,MOD(MONTH(GM81)-MONTH($C83),6)=0),1,IF(AND(MOD(MONTH(GM81)-MONTH($C83),$C90)=0,GM81&gt;=$C85),1,0)))</f>
        <v>0</v>
      </c>
      <c r="GN91" s="160">
        <f t="shared" ref="GN91" si="537">IF(OR(GN81&lt;=$C83,GN81&gt;$C84),0,IF(AND(GN81&lt;=$C85,$C91=1,MOD(MONTH(GN81)-MONTH($C83),6)=0),1,IF(AND(MOD(MONTH(GN81)-MONTH($C83),$C90)=0,GN81&gt;=$C85),1,0)))</f>
        <v>0</v>
      </c>
      <c r="GO91" s="160">
        <f t="shared" ref="GO91" si="538">IF(OR(GO81&lt;=$C83,GO81&gt;$C84),0,IF(AND(GO81&lt;=$C85,$C91=1,MOD(MONTH(GO81)-MONTH($C83),6)=0),1,IF(AND(MOD(MONTH(GO81)-MONTH($C83),$C90)=0,GO81&gt;=$C85),1,0)))</f>
        <v>0</v>
      </c>
      <c r="GP91" s="160">
        <f t="shared" ref="GP91" si="539">IF(OR(GP81&lt;=$C83,GP81&gt;$C84),0,IF(AND(GP81&lt;=$C85,$C91=1,MOD(MONTH(GP81)-MONTH($C83),6)=0),1,IF(AND(MOD(MONTH(GP81)-MONTH($C83),$C90)=0,GP81&gt;=$C85),1,0)))</f>
        <v>0</v>
      </c>
      <c r="GQ91" s="160">
        <f t="shared" ref="GQ91" si="540">IF(OR(GQ81&lt;=$C83,GQ81&gt;$C84),0,IF(AND(GQ81&lt;=$C85,$C91=1,MOD(MONTH(GQ81)-MONTH($C83),6)=0),1,IF(AND(MOD(MONTH(GQ81)-MONTH($C83),$C90)=0,GQ81&gt;=$C85),1,0)))</f>
        <v>0</v>
      </c>
    </row>
    <row r="92" spans="2:199" hidden="1" outlineLevel="1">
      <c r="B92" s="182" t="s">
        <v>412</v>
      </c>
      <c r="C92" s="131">
        <v>0</v>
      </c>
      <c r="D92" s="182" t="s">
        <v>405</v>
      </c>
      <c r="E92" s="160">
        <f>IF(E86&lt;&gt;"",1,0)</f>
        <v>0</v>
      </c>
      <c r="F92" s="160">
        <f t="shared" ref="F92:BQ92" si="541">IF(F86&lt;&gt;"",1,0)</f>
        <v>0</v>
      </c>
      <c r="G92" s="160">
        <f t="shared" si="541"/>
        <v>0</v>
      </c>
      <c r="H92" s="160">
        <f t="shared" si="541"/>
        <v>0</v>
      </c>
      <c r="I92" s="160">
        <f t="shared" si="541"/>
        <v>0</v>
      </c>
      <c r="J92" s="160">
        <f t="shared" si="541"/>
        <v>0</v>
      </c>
      <c r="K92" s="160">
        <f t="shared" si="541"/>
        <v>0</v>
      </c>
      <c r="L92" s="160">
        <f t="shared" si="541"/>
        <v>0</v>
      </c>
      <c r="M92" s="160">
        <f t="shared" si="541"/>
        <v>0</v>
      </c>
      <c r="N92" s="160">
        <f t="shared" si="541"/>
        <v>0</v>
      </c>
      <c r="O92" s="160">
        <f t="shared" si="541"/>
        <v>0</v>
      </c>
      <c r="P92" s="160">
        <f t="shared" si="541"/>
        <v>0</v>
      </c>
      <c r="Q92" s="160">
        <f t="shared" si="541"/>
        <v>1</v>
      </c>
      <c r="R92" s="160">
        <f t="shared" si="541"/>
        <v>0</v>
      </c>
      <c r="S92" s="160">
        <f t="shared" si="541"/>
        <v>0</v>
      </c>
      <c r="T92" s="160">
        <f t="shared" si="541"/>
        <v>0</v>
      </c>
      <c r="U92" s="160">
        <f t="shared" si="541"/>
        <v>0</v>
      </c>
      <c r="V92" s="160">
        <f t="shared" si="541"/>
        <v>0</v>
      </c>
      <c r="W92" s="160">
        <f t="shared" si="541"/>
        <v>0</v>
      </c>
      <c r="X92" s="160">
        <f t="shared" si="541"/>
        <v>0</v>
      </c>
      <c r="Y92" s="160">
        <f t="shared" si="541"/>
        <v>0</v>
      </c>
      <c r="Z92" s="160">
        <f t="shared" si="541"/>
        <v>0</v>
      </c>
      <c r="AA92" s="160">
        <f t="shared" si="541"/>
        <v>0</v>
      </c>
      <c r="AB92" s="160">
        <f t="shared" si="541"/>
        <v>0</v>
      </c>
      <c r="AC92" s="160">
        <f t="shared" si="541"/>
        <v>1</v>
      </c>
      <c r="AD92" s="160">
        <f t="shared" si="541"/>
        <v>0</v>
      </c>
      <c r="AE92" s="160">
        <f t="shared" si="541"/>
        <v>0</v>
      </c>
      <c r="AF92" s="160">
        <f t="shared" si="541"/>
        <v>0</v>
      </c>
      <c r="AG92" s="160">
        <f t="shared" si="541"/>
        <v>0</v>
      </c>
      <c r="AH92" s="160">
        <f t="shared" si="541"/>
        <v>0</v>
      </c>
      <c r="AI92" s="160">
        <f t="shared" si="541"/>
        <v>0</v>
      </c>
      <c r="AJ92" s="160">
        <f t="shared" si="541"/>
        <v>0</v>
      </c>
      <c r="AK92" s="160">
        <f t="shared" si="541"/>
        <v>0</v>
      </c>
      <c r="AL92" s="160">
        <f t="shared" si="541"/>
        <v>0</v>
      </c>
      <c r="AM92" s="160">
        <f t="shared" si="541"/>
        <v>0</v>
      </c>
      <c r="AN92" s="160">
        <f t="shared" si="541"/>
        <v>0</v>
      </c>
      <c r="AO92" s="160">
        <f t="shared" si="541"/>
        <v>1</v>
      </c>
      <c r="AP92" s="160">
        <f t="shared" si="541"/>
        <v>0</v>
      </c>
      <c r="AQ92" s="160">
        <f t="shared" si="541"/>
        <v>0</v>
      </c>
      <c r="AR92" s="160">
        <f t="shared" si="541"/>
        <v>0</v>
      </c>
      <c r="AS92" s="160">
        <f t="shared" si="541"/>
        <v>0</v>
      </c>
      <c r="AT92" s="160">
        <f t="shared" si="541"/>
        <v>0</v>
      </c>
      <c r="AU92" s="160">
        <f t="shared" si="541"/>
        <v>0</v>
      </c>
      <c r="AV92" s="160">
        <f t="shared" si="541"/>
        <v>0</v>
      </c>
      <c r="AW92" s="160">
        <f t="shared" si="541"/>
        <v>0</v>
      </c>
      <c r="AX92" s="160">
        <f t="shared" si="541"/>
        <v>0</v>
      </c>
      <c r="AY92" s="160">
        <f t="shared" si="541"/>
        <v>0</v>
      </c>
      <c r="AZ92" s="160">
        <f t="shared" si="541"/>
        <v>0</v>
      </c>
      <c r="BA92" s="160">
        <f t="shared" si="541"/>
        <v>1</v>
      </c>
      <c r="BB92" s="160">
        <f t="shared" si="541"/>
        <v>0</v>
      </c>
      <c r="BC92" s="160">
        <f t="shared" si="541"/>
        <v>0</v>
      </c>
      <c r="BD92" s="160">
        <f t="shared" si="541"/>
        <v>0</v>
      </c>
      <c r="BE92" s="160">
        <f t="shared" si="541"/>
        <v>0</v>
      </c>
      <c r="BF92" s="160">
        <f t="shared" si="541"/>
        <v>0</v>
      </c>
      <c r="BG92" s="160">
        <f t="shared" si="541"/>
        <v>0</v>
      </c>
      <c r="BH92" s="160">
        <f t="shared" si="541"/>
        <v>0</v>
      </c>
      <c r="BI92" s="160">
        <f t="shared" si="541"/>
        <v>0</v>
      </c>
      <c r="BJ92" s="160">
        <f t="shared" si="541"/>
        <v>0</v>
      </c>
      <c r="BK92" s="160">
        <f t="shared" si="541"/>
        <v>0</v>
      </c>
      <c r="BL92" s="160">
        <f t="shared" si="541"/>
        <v>0</v>
      </c>
      <c r="BM92" s="160">
        <f t="shared" si="541"/>
        <v>0</v>
      </c>
      <c r="BN92" s="160">
        <f t="shared" si="541"/>
        <v>0</v>
      </c>
      <c r="BO92" s="160">
        <f t="shared" si="541"/>
        <v>0</v>
      </c>
      <c r="BP92" s="160">
        <f t="shared" si="541"/>
        <v>0</v>
      </c>
      <c r="BQ92" s="160">
        <f t="shared" si="541"/>
        <v>0</v>
      </c>
      <c r="BR92" s="160">
        <f t="shared" ref="BR92:EC92" si="542">IF(BR86&lt;&gt;"",1,0)</f>
        <v>0</v>
      </c>
      <c r="BS92" s="160">
        <f t="shared" si="542"/>
        <v>0</v>
      </c>
      <c r="BT92" s="160">
        <f t="shared" si="542"/>
        <v>0</v>
      </c>
      <c r="BU92" s="160">
        <f t="shared" si="542"/>
        <v>0</v>
      </c>
      <c r="BV92" s="160">
        <f t="shared" si="542"/>
        <v>0</v>
      </c>
      <c r="BW92" s="160">
        <f t="shared" si="542"/>
        <v>0</v>
      </c>
      <c r="BX92" s="160">
        <f t="shared" si="542"/>
        <v>0</v>
      </c>
      <c r="BY92" s="160">
        <f t="shared" si="542"/>
        <v>0</v>
      </c>
      <c r="BZ92" s="160">
        <f t="shared" si="542"/>
        <v>0</v>
      </c>
      <c r="CA92" s="160">
        <f t="shared" si="542"/>
        <v>0</v>
      </c>
      <c r="CB92" s="160">
        <f t="shared" si="542"/>
        <v>0</v>
      </c>
      <c r="CC92" s="160">
        <f t="shared" si="542"/>
        <v>0</v>
      </c>
      <c r="CD92" s="160">
        <f t="shared" si="542"/>
        <v>0</v>
      </c>
      <c r="CE92" s="160">
        <f t="shared" si="542"/>
        <v>0</v>
      </c>
      <c r="CF92" s="160">
        <f t="shared" si="542"/>
        <v>0</v>
      </c>
      <c r="CG92" s="160">
        <f t="shared" si="542"/>
        <v>0</v>
      </c>
      <c r="CH92" s="160">
        <f t="shared" si="542"/>
        <v>0</v>
      </c>
      <c r="CI92" s="160">
        <f t="shared" si="542"/>
        <v>0</v>
      </c>
      <c r="CJ92" s="160">
        <f t="shared" si="542"/>
        <v>0</v>
      </c>
      <c r="CK92" s="160">
        <f t="shared" si="542"/>
        <v>0</v>
      </c>
      <c r="CL92" s="160">
        <f t="shared" si="542"/>
        <v>0</v>
      </c>
      <c r="CM92" s="160">
        <f t="shared" si="542"/>
        <v>0</v>
      </c>
      <c r="CN92" s="160">
        <f t="shared" si="542"/>
        <v>0</v>
      </c>
      <c r="CO92" s="160">
        <f t="shared" si="542"/>
        <v>0</v>
      </c>
      <c r="CP92" s="160">
        <f t="shared" si="542"/>
        <v>0</v>
      </c>
      <c r="CQ92" s="160">
        <f t="shared" si="542"/>
        <v>0</v>
      </c>
      <c r="CR92" s="160">
        <f t="shared" si="542"/>
        <v>0</v>
      </c>
      <c r="CS92" s="160">
        <f t="shared" si="542"/>
        <v>0</v>
      </c>
      <c r="CT92" s="160">
        <f t="shared" si="542"/>
        <v>0</v>
      </c>
      <c r="CU92" s="160">
        <f t="shared" si="542"/>
        <v>0</v>
      </c>
      <c r="CV92" s="160">
        <f t="shared" si="542"/>
        <v>0</v>
      </c>
      <c r="CW92" s="160">
        <f t="shared" si="542"/>
        <v>0</v>
      </c>
      <c r="CX92" s="160">
        <f t="shared" si="542"/>
        <v>0</v>
      </c>
      <c r="CY92" s="160">
        <f t="shared" si="542"/>
        <v>0</v>
      </c>
      <c r="CZ92" s="160">
        <f t="shared" si="542"/>
        <v>0</v>
      </c>
      <c r="DA92" s="160">
        <f t="shared" si="542"/>
        <v>0</v>
      </c>
      <c r="DB92" s="160">
        <f t="shared" si="542"/>
        <v>0</v>
      </c>
      <c r="DC92" s="160">
        <f t="shared" si="542"/>
        <v>0</v>
      </c>
      <c r="DD92" s="160">
        <f t="shared" si="542"/>
        <v>0</v>
      </c>
      <c r="DE92" s="160">
        <f t="shared" si="542"/>
        <v>0</v>
      </c>
      <c r="DF92" s="160">
        <f t="shared" si="542"/>
        <v>0</v>
      </c>
      <c r="DG92" s="160">
        <f t="shared" si="542"/>
        <v>0</v>
      </c>
      <c r="DH92" s="160">
        <f t="shared" si="542"/>
        <v>0</v>
      </c>
      <c r="DI92" s="160">
        <f t="shared" si="542"/>
        <v>0</v>
      </c>
      <c r="DJ92" s="160">
        <f t="shared" si="542"/>
        <v>0</v>
      </c>
      <c r="DK92" s="160">
        <f t="shared" si="542"/>
        <v>0</v>
      </c>
      <c r="DL92" s="160">
        <f t="shared" si="542"/>
        <v>0</v>
      </c>
      <c r="DM92" s="160">
        <f t="shared" si="542"/>
        <v>0</v>
      </c>
      <c r="DN92" s="160">
        <f t="shared" si="542"/>
        <v>0</v>
      </c>
      <c r="DO92" s="160">
        <f t="shared" si="542"/>
        <v>0</v>
      </c>
      <c r="DP92" s="160">
        <f t="shared" si="542"/>
        <v>0</v>
      </c>
      <c r="DQ92" s="160">
        <f t="shared" si="542"/>
        <v>0</v>
      </c>
      <c r="DR92" s="160">
        <f t="shared" si="542"/>
        <v>0</v>
      </c>
      <c r="DS92" s="160">
        <f t="shared" si="542"/>
        <v>0</v>
      </c>
      <c r="DT92" s="160">
        <f t="shared" si="542"/>
        <v>0</v>
      </c>
      <c r="DU92" s="160">
        <f t="shared" si="542"/>
        <v>0</v>
      </c>
      <c r="DV92" s="160">
        <f t="shared" si="542"/>
        <v>0</v>
      </c>
      <c r="DW92" s="160">
        <f t="shared" si="542"/>
        <v>0</v>
      </c>
      <c r="DX92" s="160">
        <f t="shared" si="542"/>
        <v>0</v>
      </c>
      <c r="DY92" s="160">
        <f t="shared" si="542"/>
        <v>0</v>
      </c>
      <c r="DZ92" s="160">
        <f t="shared" si="542"/>
        <v>0</v>
      </c>
      <c r="EA92" s="160">
        <f t="shared" si="542"/>
        <v>0</v>
      </c>
      <c r="EB92" s="160">
        <f t="shared" si="542"/>
        <v>0</v>
      </c>
      <c r="EC92" s="160">
        <f t="shared" si="542"/>
        <v>0</v>
      </c>
      <c r="ED92" s="160">
        <f t="shared" ref="ED92:GO92" si="543">IF(ED86&lt;&gt;"",1,0)</f>
        <v>0</v>
      </c>
      <c r="EE92" s="160">
        <f t="shared" si="543"/>
        <v>0</v>
      </c>
      <c r="EF92" s="160">
        <f t="shared" si="543"/>
        <v>0</v>
      </c>
      <c r="EG92" s="160">
        <f t="shared" si="543"/>
        <v>0</v>
      </c>
      <c r="EH92" s="160">
        <f t="shared" si="543"/>
        <v>0</v>
      </c>
      <c r="EI92" s="160">
        <f t="shared" si="543"/>
        <v>0</v>
      </c>
      <c r="EJ92" s="160">
        <f t="shared" si="543"/>
        <v>0</v>
      </c>
      <c r="EK92" s="160">
        <f t="shared" si="543"/>
        <v>0</v>
      </c>
      <c r="EL92" s="160">
        <f t="shared" si="543"/>
        <v>0</v>
      </c>
      <c r="EM92" s="160">
        <f t="shared" si="543"/>
        <v>0</v>
      </c>
      <c r="EN92" s="160">
        <f t="shared" si="543"/>
        <v>0</v>
      </c>
      <c r="EO92" s="160">
        <f t="shared" si="543"/>
        <v>0</v>
      </c>
      <c r="EP92" s="160">
        <f t="shared" si="543"/>
        <v>0</v>
      </c>
      <c r="EQ92" s="160">
        <f t="shared" si="543"/>
        <v>0</v>
      </c>
      <c r="ER92" s="160">
        <f t="shared" si="543"/>
        <v>0</v>
      </c>
      <c r="ES92" s="160">
        <f t="shared" si="543"/>
        <v>0</v>
      </c>
      <c r="ET92" s="160">
        <f t="shared" si="543"/>
        <v>0</v>
      </c>
      <c r="EU92" s="160">
        <f t="shared" si="543"/>
        <v>0</v>
      </c>
      <c r="EV92" s="160">
        <f t="shared" si="543"/>
        <v>0</v>
      </c>
      <c r="EW92" s="160">
        <f t="shared" si="543"/>
        <v>0</v>
      </c>
      <c r="EX92" s="160">
        <f t="shared" si="543"/>
        <v>0</v>
      </c>
      <c r="EY92" s="160">
        <f t="shared" si="543"/>
        <v>0</v>
      </c>
      <c r="EZ92" s="160">
        <f t="shared" si="543"/>
        <v>0</v>
      </c>
      <c r="FA92" s="160">
        <f t="shared" si="543"/>
        <v>0</v>
      </c>
      <c r="FB92" s="160">
        <f t="shared" si="543"/>
        <v>0</v>
      </c>
      <c r="FC92" s="160">
        <f t="shared" si="543"/>
        <v>0</v>
      </c>
      <c r="FD92" s="160">
        <f t="shared" si="543"/>
        <v>0</v>
      </c>
      <c r="FE92" s="160">
        <f t="shared" si="543"/>
        <v>0</v>
      </c>
      <c r="FF92" s="160">
        <f t="shared" si="543"/>
        <v>0</v>
      </c>
      <c r="FG92" s="160">
        <f t="shared" si="543"/>
        <v>0</v>
      </c>
      <c r="FH92" s="160">
        <f t="shared" si="543"/>
        <v>0</v>
      </c>
      <c r="FI92" s="160">
        <f t="shared" si="543"/>
        <v>0</v>
      </c>
      <c r="FJ92" s="160">
        <f t="shared" si="543"/>
        <v>0</v>
      </c>
      <c r="FK92" s="160">
        <f t="shared" si="543"/>
        <v>0</v>
      </c>
      <c r="FL92" s="160">
        <f t="shared" si="543"/>
        <v>0</v>
      </c>
      <c r="FM92" s="160">
        <f t="shared" si="543"/>
        <v>0</v>
      </c>
      <c r="FN92" s="160">
        <f t="shared" si="543"/>
        <v>0</v>
      </c>
      <c r="FO92" s="160">
        <f t="shared" si="543"/>
        <v>0</v>
      </c>
      <c r="FP92" s="160">
        <f t="shared" si="543"/>
        <v>0</v>
      </c>
      <c r="FQ92" s="160">
        <f t="shared" si="543"/>
        <v>0</v>
      </c>
      <c r="FR92" s="160">
        <f t="shared" si="543"/>
        <v>0</v>
      </c>
      <c r="FS92" s="160">
        <f t="shared" si="543"/>
        <v>0</v>
      </c>
      <c r="FT92" s="160">
        <f t="shared" si="543"/>
        <v>0</v>
      </c>
      <c r="FU92" s="160">
        <f t="shared" si="543"/>
        <v>0</v>
      </c>
      <c r="FV92" s="160">
        <f t="shared" si="543"/>
        <v>0</v>
      </c>
      <c r="FW92" s="160">
        <f t="shared" si="543"/>
        <v>0</v>
      </c>
      <c r="FX92" s="160">
        <f t="shared" si="543"/>
        <v>0</v>
      </c>
      <c r="FY92" s="160">
        <f t="shared" si="543"/>
        <v>0</v>
      </c>
      <c r="FZ92" s="160">
        <f t="shared" si="543"/>
        <v>0</v>
      </c>
      <c r="GA92" s="160">
        <f t="shared" si="543"/>
        <v>0</v>
      </c>
      <c r="GB92" s="160">
        <f t="shared" si="543"/>
        <v>0</v>
      </c>
      <c r="GC92" s="160">
        <f t="shared" si="543"/>
        <v>0</v>
      </c>
      <c r="GD92" s="160">
        <f t="shared" si="543"/>
        <v>0</v>
      </c>
      <c r="GE92" s="160">
        <f t="shared" si="543"/>
        <v>0</v>
      </c>
      <c r="GF92" s="160">
        <f t="shared" si="543"/>
        <v>0</v>
      </c>
      <c r="GG92" s="160">
        <f t="shared" si="543"/>
        <v>0</v>
      </c>
      <c r="GH92" s="160">
        <f t="shared" si="543"/>
        <v>0</v>
      </c>
      <c r="GI92" s="160">
        <f t="shared" si="543"/>
        <v>0</v>
      </c>
      <c r="GJ92" s="160">
        <f t="shared" si="543"/>
        <v>0</v>
      </c>
      <c r="GK92" s="160">
        <f t="shared" si="543"/>
        <v>0</v>
      </c>
      <c r="GL92" s="160">
        <f t="shared" si="543"/>
        <v>0</v>
      </c>
      <c r="GM92" s="160">
        <f t="shared" si="543"/>
        <v>0</v>
      </c>
      <c r="GN92" s="160">
        <f t="shared" si="543"/>
        <v>0</v>
      </c>
      <c r="GO92" s="160">
        <f t="shared" si="543"/>
        <v>0</v>
      </c>
      <c r="GP92" s="160">
        <f t="shared" ref="GP92:GQ92" si="544">IF(GP86&lt;&gt;"",1,0)</f>
        <v>0</v>
      </c>
      <c r="GQ92" s="160">
        <f t="shared" si="544"/>
        <v>0</v>
      </c>
    </row>
    <row r="93" spans="2:199" hidden="1" outlineLevel="1">
      <c r="B93" s="182" t="s">
        <v>406</v>
      </c>
      <c r="C93" s="207">
        <v>4</v>
      </c>
      <c r="D93" s="159"/>
      <c r="E93" s="159">
        <f>MAX(C93-E92,0)</f>
        <v>4</v>
      </c>
      <c r="F93" s="159">
        <f>MAX(E93-F92,0)</f>
        <v>4</v>
      </c>
      <c r="G93" s="159">
        <f t="shared" ref="G93" si="545">MAX(F93-G92,0)</f>
        <v>4</v>
      </c>
      <c r="H93" s="159">
        <f t="shared" ref="H93" si="546">MAX(G93-H92,0)</f>
        <v>4</v>
      </c>
      <c r="I93" s="159">
        <f t="shared" ref="I93" si="547">MAX(H93-I92,0)</f>
        <v>4</v>
      </c>
      <c r="J93" s="159">
        <f t="shared" ref="J93" si="548">MAX(I93-J92,0)</f>
        <v>4</v>
      </c>
      <c r="K93" s="159">
        <f t="shared" ref="K93" si="549">MAX(J93-K92,0)</f>
        <v>4</v>
      </c>
      <c r="L93" s="159">
        <f t="shared" ref="L93" si="550">MAX(K93-L92,0)</f>
        <v>4</v>
      </c>
      <c r="M93" s="159">
        <f t="shared" ref="M93" si="551">MAX(L93-M92,0)</f>
        <v>4</v>
      </c>
      <c r="N93" s="159">
        <f t="shared" ref="N93" si="552">MAX(M93-N92,0)</f>
        <v>4</v>
      </c>
      <c r="O93" s="159">
        <f t="shared" ref="O93" si="553">MAX(N93-O92,0)</f>
        <v>4</v>
      </c>
      <c r="P93" s="159">
        <f t="shared" ref="P93" si="554">MAX(O93-P92,0)</f>
        <v>4</v>
      </c>
      <c r="Q93" s="159">
        <f t="shared" ref="Q93" si="555">MAX(P93-Q92,0)</f>
        <v>3</v>
      </c>
      <c r="R93" s="159">
        <f t="shared" ref="R93" si="556">MAX(Q93-R92,0)</f>
        <v>3</v>
      </c>
      <c r="S93" s="159">
        <f t="shared" ref="S93" si="557">MAX(R93-S92,0)</f>
        <v>3</v>
      </c>
      <c r="T93" s="159">
        <f t="shared" ref="T93" si="558">MAX(S93-T92,0)</f>
        <v>3</v>
      </c>
      <c r="U93" s="159">
        <f t="shared" ref="U93" si="559">MAX(T93-U92,0)</f>
        <v>3</v>
      </c>
      <c r="V93" s="159">
        <f t="shared" ref="V93" si="560">MAX(U93-V92,0)</f>
        <v>3</v>
      </c>
      <c r="W93" s="159">
        <f t="shared" ref="W93" si="561">MAX(V93-W92,0)</f>
        <v>3</v>
      </c>
      <c r="X93" s="159">
        <f t="shared" ref="X93" si="562">MAX(W93-X92,0)</f>
        <v>3</v>
      </c>
      <c r="Y93" s="159">
        <f t="shared" ref="Y93" si="563">MAX(X93-Y92,0)</f>
        <v>3</v>
      </c>
      <c r="Z93" s="159">
        <f t="shared" ref="Z93" si="564">MAX(Y93-Z92,0)</f>
        <v>3</v>
      </c>
      <c r="AA93" s="159">
        <f t="shared" ref="AA93" si="565">MAX(Z93-AA92,0)</f>
        <v>3</v>
      </c>
      <c r="AB93" s="159">
        <f t="shared" ref="AB93" si="566">MAX(AA93-AB92,0)</f>
        <v>3</v>
      </c>
      <c r="AC93" s="159">
        <f t="shared" ref="AC93" si="567">MAX(AB93-AC92,0)</f>
        <v>2</v>
      </c>
      <c r="AD93" s="159">
        <f t="shared" ref="AD93" si="568">MAX(AC93-AD92,0)</f>
        <v>2</v>
      </c>
      <c r="AE93" s="159">
        <f t="shared" ref="AE93" si="569">MAX(AD93-AE92,0)</f>
        <v>2</v>
      </c>
      <c r="AF93" s="159">
        <f t="shared" ref="AF93" si="570">MAX(AE93-AF92,0)</f>
        <v>2</v>
      </c>
      <c r="AG93" s="159">
        <f t="shared" ref="AG93" si="571">MAX(AF93-AG92,0)</f>
        <v>2</v>
      </c>
      <c r="AH93" s="159">
        <f t="shared" ref="AH93" si="572">MAX(AG93-AH92,0)</f>
        <v>2</v>
      </c>
      <c r="AI93" s="159">
        <f t="shared" ref="AI93" si="573">MAX(AH93-AI92,0)</f>
        <v>2</v>
      </c>
      <c r="AJ93" s="159">
        <f t="shared" ref="AJ93" si="574">MAX(AI93-AJ92,0)</f>
        <v>2</v>
      </c>
      <c r="AK93" s="159">
        <f t="shared" ref="AK93" si="575">MAX(AJ93-AK92,0)</f>
        <v>2</v>
      </c>
      <c r="AL93" s="159">
        <f t="shared" ref="AL93" si="576">MAX(AK93-AL92,0)</f>
        <v>2</v>
      </c>
      <c r="AM93" s="159">
        <f t="shared" ref="AM93" si="577">MAX(AL93-AM92,0)</f>
        <v>2</v>
      </c>
      <c r="AN93" s="159">
        <f t="shared" ref="AN93" si="578">MAX(AM93-AN92,0)</f>
        <v>2</v>
      </c>
      <c r="AO93" s="159">
        <f t="shared" ref="AO93" si="579">MAX(AN93-AO92,0)</f>
        <v>1</v>
      </c>
      <c r="AP93" s="159">
        <f t="shared" ref="AP93" si="580">MAX(AO93-AP92,0)</f>
        <v>1</v>
      </c>
      <c r="AQ93" s="159">
        <f t="shared" ref="AQ93" si="581">MAX(AP93-AQ92,0)</f>
        <v>1</v>
      </c>
      <c r="AR93" s="159">
        <f t="shared" ref="AR93" si="582">MAX(AQ93-AR92,0)</f>
        <v>1</v>
      </c>
      <c r="AS93" s="159">
        <f t="shared" ref="AS93" si="583">MAX(AR93-AS92,0)</f>
        <v>1</v>
      </c>
      <c r="AT93" s="159">
        <f t="shared" ref="AT93" si="584">MAX(AS93-AT92,0)</f>
        <v>1</v>
      </c>
      <c r="AU93" s="159">
        <f t="shared" ref="AU93" si="585">MAX(AT93-AU92,0)</f>
        <v>1</v>
      </c>
      <c r="AV93" s="159">
        <f t="shared" ref="AV93" si="586">MAX(AU93-AV92,0)</f>
        <v>1</v>
      </c>
      <c r="AW93" s="159">
        <f t="shared" ref="AW93" si="587">MAX(AV93-AW92,0)</f>
        <v>1</v>
      </c>
      <c r="AX93" s="159">
        <f t="shared" ref="AX93" si="588">MAX(AW93-AX92,0)</f>
        <v>1</v>
      </c>
      <c r="AY93" s="159">
        <f t="shared" ref="AY93" si="589">MAX(AX93-AY92,0)</f>
        <v>1</v>
      </c>
      <c r="AZ93" s="159">
        <f t="shared" ref="AZ93" si="590">MAX(AY93-AZ92,0)</f>
        <v>1</v>
      </c>
      <c r="BA93" s="159">
        <f t="shared" ref="BA93" si="591">MAX(AZ93-BA92,0)</f>
        <v>0</v>
      </c>
      <c r="BB93" s="159">
        <f t="shared" ref="BB93" si="592">MAX(BA93-BB92,0)</f>
        <v>0</v>
      </c>
      <c r="BC93" s="159">
        <f t="shared" ref="BC93" si="593">MAX(BB93-BC92,0)</f>
        <v>0</v>
      </c>
      <c r="BD93" s="159">
        <f t="shared" ref="BD93" si="594">MAX(BC93-BD92,0)</f>
        <v>0</v>
      </c>
      <c r="BE93" s="159">
        <f t="shared" ref="BE93" si="595">MAX(BD93-BE92,0)</f>
        <v>0</v>
      </c>
      <c r="BF93" s="159">
        <f t="shared" ref="BF93" si="596">MAX(BE93-BF92,0)</f>
        <v>0</v>
      </c>
      <c r="BG93" s="159">
        <f t="shared" ref="BG93" si="597">MAX(BF93-BG92,0)</f>
        <v>0</v>
      </c>
      <c r="BH93" s="159">
        <f t="shared" ref="BH93" si="598">MAX(BG93-BH92,0)</f>
        <v>0</v>
      </c>
      <c r="BI93" s="159">
        <f t="shared" ref="BI93" si="599">MAX(BH93-BI92,0)</f>
        <v>0</v>
      </c>
      <c r="BJ93" s="159">
        <f t="shared" ref="BJ93" si="600">MAX(BI93-BJ92,0)</f>
        <v>0</v>
      </c>
      <c r="BK93" s="159">
        <f t="shared" ref="BK93" si="601">MAX(BJ93-BK92,0)</f>
        <v>0</v>
      </c>
      <c r="BL93" s="159">
        <f t="shared" ref="BL93" si="602">MAX(BK93-BL92,0)</f>
        <v>0</v>
      </c>
      <c r="BM93" s="159">
        <f t="shared" ref="BM93" si="603">MAX(BL93-BM92,0)</f>
        <v>0</v>
      </c>
      <c r="BN93" s="159">
        <f t="shared" ref="BN93" si="604">MAX(BM93-BN92,0)</f>
        <v>0</v>
      </c>
      <c r="BO93" s="159">
        <f t="shared" ref="BO93" si="605">MAX(BN93-BO92,0)</f>
        <v>0</v>
      </c>
      <c r="BP93" s="159">
        <f t="shared" ref="BP93" si="606">MAX(BO93-BP92,0)</f>
        <v>0</v>
      </c>
      <c r="BQ93" s="159">
        <f t="shared" ref="BQ93" si="607">MAX(BP93-BQ92,0)</f>
        <v>0</v>
      </c>
      <c r="BR93" s="159">
        <f t="shared" ref="BR93" si="608">MAX(BQ93-BR92,0)</f>
        <v>0</v>
      </c>
      <c r="BS93" s="159">
        <f t="shared" ref="BS93" si="609">MAX(BR93-BS92,0)</f>
        <v>0</v>
      </c>
      <c r="BT93" s="159">
        <f t="shared" ref="BT93" si="610">MAX(BS93-BT92,0)</f>
        <v>0</v>
      </c>
      <c r="BU93" s="159">
        <f t="shared" ref="BU93" si="611">MAX(BT93-BU92,0)</f>
        <v>0</v>
      </c>
      <c r="BV93" s="159">
        <f t="shared" ref="BV93" si="612">MAX(BU93-BV92,0)</f>
        <v>0</v>
      </c>
      <c r="BW93" s="159">
        <f t="shared" ref="BW93" si="613">MAX(BV93-BW92,0)</f>
        <v>0</v>
      </c>
      <c r="BX93" s="159">
        <f t="shared" ref="BX93" si="614">MAX(BW93-BX92,0)</f>
        <v>0</v>
      </c>
      <c r="BY93" s="159">
        <f t="shared" ref="BY93" si="615">MAX(BX93-BY92,0)</f>
        <v>0</v>
      </c>
      <c r="BZ93" s="159">
        <f t="shared" ref="BZ93" si="616">MAX(BY93-BZ92,0)</f>
        <v>0</v>
      </c>
      <c r="CA93" s="159">
        <f t="shared" ref="CA93" si="617">MAX(BZ93-CA92,0)</f>
        <v>0</v>
      </c>
      <c r="CB93" s="159">
        <f t="shared" ref="CB93" si="618">MAX(CA93-CB92,0)</f>
        <v>0</v>
      </c>
      <c r="CC93" s="159">
        <f t="shared" ref="CC93" si="619">MAX(CB93-CC92,0)</f>
        <v>0</v>
      </c>
      <c r="CD93" s="159">
        <f t="shared" ref="CD93" si="620">MAX(CC93-CD92,0)</f>
        <v>0</v>
      </c>
      <c r="CE93" s="159">
        <f t="shared" ref="CE93" si="621">MAX(CD93-CE92,0)</f>
        <v>0</v>
      </c>
      <c r="CF93" s="159">
        <f t="shared" ref="CF93" si="622">MAX(CE93-CF92,0)</f>
        <v>0</v>
      </c>
      <c r="CG93" s="159">
        <f t="shared" ref="CG93" si="623">MAX(CF93-CG92,0)</f>
        <v>0</v>
      </c>
      <c r="CH93" s="159">
        <f t="shared" ref="CH93" si="624">MAX(CG93-CH92,0)</f>
        <v>0</v>
      </c>
      <c r="CI93" s="159">
        <f t="shared" ref="CI93" si="625">MAX(CH93-CI92,0)</f>
        <v>0</v>
      </c>
      <c r="CJ93" s="159">
        <f t="shared" ref="CJ93" si="626">MAX(CI93-CJ92,0)</f>
        <v>0</v>
      </c>
      <c r="CK93" s="159">
        <f t="shared" ref="CK93" si="627">MAX(CJ93-CK92,0)</f>
        <v>0</v>
      </c>
      <c r="CL93" s="159">
        <f t="shared" ref="CL93" si="628">MAX(CK93-CL92,0)</f>
        <v>0</v>
      </c>
      <c r="CM93" s="159">
        <f t="shared" ref="CM93" si="629">MAX(CL93-CM92,0)</f>
        <v>0</v>
      </c>
      <c r="CN93" s="159">
        <f t="shared" ref="CN93" si="630">MAX(CM93-CN92,0)</f>
        <v>0</v>
      </c>
      <c r="CO93" s="159">
        <f t="shared" ref="CO93" si="631">MAX(CN93-CO92,0)</f>
        <v>0</v>
      </c>
      <c r="CP93" s="159">
        <f t="shared" ref="CP93" si="632">MAX(CO93-CP92,0)</f>
        <v>0</v>
      </c>
      <c r="CQ93" s="159">
        <f t="shared" ref="CQ93" si="633">MAX(CP93-CQ92,0)</f>
        <v>0</v>
      </c>
      <c r="CR93" s="159">
        <f t="shared" ref="CR93" si="634">MAX(CQ93-CR92,0)</f>
        <v>0</v>
      </c>
      <c r="CS93" s="159">
        <f t="shared" ref="CS93" si="635">MAX(CR93-CS92,0)</f>
        <v>0</v>
      </c>
      <c r="CT93" s="159">
        <f t="shared" ref="CT93" si="636">MAX(CS93-CT92,0)</f>
        <v>0</v>
      </c>
      <c r="CU93" s="159">
        <f t="shared" ref="CU93" si="637">MAX(CT93-CU92,0)</f>
        <v>0</v>
      </c>
      <c r="CV93" s="159">
        <f t="shared" ref="CV93" si="638">MAX(CU93-CV92,0)</f>
        <v>0</v>
      </c>
      <c r="CW93" s="159">
        <f t="shared" ref="CW93" si="639">MAX(CV93-CW92,0)</f>
        <v>0</v>
      </c>
      <c r="CX93" s="159">
        <f t="shared" ref="CX93" si="640">MAX(CW93-CX92,0)</f>
        <v>0</v>
      </c>
      <c r="CY93" s="159">
        <f t="shared" ref="CY93" si="641">MAX(CX93-CY92,0)</f>
        <v>0</v>
      </c>
      <c r="CZ93" s="159">
        <f t="shared" ref="CZ93" si="642">MAX(CY93-CZ92,0)</f>
        <v>0</v>
      </c>
      <c r="DA93" s="159">
        <f t="shared" ref="DA93" si="643">MAX(CZ93-DA92,0)</f>
        <v>0</v>
      </c>
      <c r="DB93" s="159">
        <f t="shared" ref="DB93" si="644">MAX(DA93-DB92,0)</f>
        <v>0</v>
      </c>
      <c r="DC93" s="159">
        <f t="shared" ref="DC93" si="645">MAX(DB93-DC92,0)</f>
        <v>0</v>
      </c>
      <c r="DD93" s="159">
        <f t="shared" ref="DD93" si="646">MAX(DC93-DD92,0)</f>
        <v>0</v>
      </c>
      <c r="DE93" s="159">
        <f t="shared" ref="DE93" si="647">MAX(DD93-DE92,0)</f>
        <v>0</v>
      </c>
      <c r="DF93" s="159">
        <f t="shared" ref="DF93" si="648">MAX(DE93-DF92,0)</f>
        <v>0</v>
      </c>
      <c r="DG93" s="159">
        <f t="shared" ref="DG93" si="649">MAX(DF93-DG92,0)</f>
        <v>0</v>
      </c>
      <c r="DH93" s="159">
        <f t="shared" ref="DH93" si="650">MAX(DG93-DH92,0)</f>
        <v>0</v>
      </c>
      <c r="DI93" s="159">
        <f t="shared" ref="DI93" si="651">MAX(DH93-DI92,0)</f>
        <v>0</v>
      </c>
      <c r="DJ93" s="159">
        <f t="shared" ref="DJ93" si="652">MAX(DI93-DJ92,0)</f>
        <v>0</v>
      </c>
      <c r="DK93" s="159">
        <f t="shared" ref="DK93" si="653">MAX(DJ93-DK92,0)</f>
        <v>0</v>
      </c>
      <c r="DL93" s="159">
        <f t="shared" ref="DL93" si="654">MAX(DK93-DL92,0)</f>
        <v>0</v>
      </c>
      <c r="DM93" s="159">
        <f t="shared" ref="DM93" si="655">MAX(DL93-DM92,0)</f>
        <v>0</v>
      </c>
      <c r="DN93" s="159">
        <f t="shared" ref="DN93" si="656">MAX(DM93-DN92,0)</f>
        <v>0</v>
      </c>
      <c r="DO93" s="159">
        <f t="shared" ref="DO93" si="657">MAX(DN93-DO92,0)</f>
        <v>0</v>
      </c>
      <c r="DP93" s="159">
        <f t="shared" ref="DP93" si="658">MAX(DO93-DP92,0)</f>
        <v>0</v>
      </c>
      <c r="DQ93" s="159">
        <f t="shared" ref="DQ93" si="659">MAX(DP93-DQ92,0)</f>
        <v>0</v>
      </c>
      <c r="DR93" s="159">
        <f t="shared" ref="DR93" si="660">MAX(DQ93-DR92,0)</f>
        <v>0</v>
      </c>
      <c r="DS93" s="159">
        <f t="shared" ref="DS93" si="661">MAX(DR93-DS92,0)</f>
        <v>0</v>
      </c>
      <c r="DT93" s="159">
        <f t="shared" ref="DT93" si="662">MAX(DS93-DT92,0)</f>
        <v>0</v>
      </c>
      <c r="DU93" s="159">
        <f t="shared" ref="DU93" si="663">MAX(DT93-DU92,0)</f>
        <v>0</v>
      </c>
      <c r="DV93" s="159">
        <f t="shared" ref="DV93" si="664">MAX(DU93-DV92,0)</f>
        <v>0</v>
      </c>
      <c r="DW93" s="159">
        <f t="shared" ref="DW93" si="665">MAX(DV93-DW92,0)</f>
        <v>0</v>
      </c>
      <c r="DX93" s="159">
        <f t="shared" ref="DX93" si="666">MAX(DW93-DX92,0)</f>
        <v>0</v>
      </c>
      <c r="DY93" s="159">
        <f t="shared" ref="DY93" si="667">MAX(DX93-DY92,0)</f>
        <v>0</v>
      </c>
      <c r="DZ93" s="159">
        <f t="shared" ref="DZ93" si="668">MAX(DY93-DZ92,0)</f>
        <v>0</v>
      </c>
      <c r="EA93" s="159">
        <f t="shared" ref="EA93" si="669">MAX(DZ93-EA92,0)</f>
        <v>0</v>
      </c>
      <c r="EB93" s="159">
        <f t="shared" ref="EB93" si="670">MAX(EA93-EB92,0)</f>
        <v>0</v>
      </c>
      <c r="EC93" s="159">
        <f t="shared" ref="EC93" si="671">MAX(EB93-EC92,0)</f>
        <v>0</v>
      </c>
      <c r="ED93" s="159">
        <f t="shared" ref="ED93" si="672">MAX(EC93-ED92,0)</f>
        <v>0</v>
      </c>
      <c r="EE93" s="159">
        <f t="shared" ref="EE93" si="673">MAX(ED93-EE92,0)</f>
        <v>0</v>
      </c>
      <c r="EF93" s="159">
        <f t="shared" ref="EF93" si="674">MAX(EE93-EF92,0)</f>
        <v>0</v>
      </c>
      <c r="EG93" s="159">
        <f t="shared" ref="EG93" si="675">MAX(EF93-EG92,0)</f>
        <v>0</v>
      </c>
      <c r="EH93" s="159">
        <f t="shared" ref="EH93" si="676">MAX(EG93-EH92,0)</f>
        <v>0</v>
      </c>
      <c r="EI93" s="159">
        <f t="shared" ref="EI93" si="677">MAX(EH93-EI92,0)</f>
        <v>0</v>
      </c>
      <c r="EJ93" s="159">
        <f t="shared" ref="EJ93" si="678">MAX(EI93-EJ92,0)</f>
        <v>0</v>
      </c>
      <c r="EK93" s="159">
        <f t="shared" ref="EK93" si="679">MAX(EJ93-EK92,0)</f>
        <v>0</v>
      </c>
      <c r="EL93" s="159">
        <f t="shared" ref="EL93" si="680">MAX(EK93-EL92,0)</f>
        <v>0</v>
      </c>
      <c r="EM93" s="159">
        <f t="shared" ref="EM93" si="681">MAX(EL93-EM92,0)</f>
        <v>0</v>
      </c>
      <c r="EN93" s="159">
        <f t="shared" ref="EN93" si="682">MAX(EM93-EN92,0)</f>
        <v>0</v>
      </c>
      <c r="EO93" s="159">
        <f t="shared" ref="EO93" si="683">MAX(EN93-EO92,0)</f>
        <v>0</v>
      </c>
      <c r="EP93" s="159">
        <f t="shared" ref="EP93" si="684">MAX(EO93-EP92,0)</f>
        <v>0</v>
      </c>
      <c r="EQ93" s="159">
        <f t="shared" ref="EQ93" si="685">MAX(EP93-EQ92,0)</f>
        <v>0</v>
      </c>
      <c r="ER93" s="159">
        <f t="shared" ref="ER93" si="686">MAX(EQ93-ER92,0)</f>
        <v>0</v>
      </c>
      <c r="ES93" s="159">
        <f t="shared" ref="ES93" si="687">MAX(ER93-ES92,0)</f>
        <v>0</v>
      </c>
      <c r="ET93" s="159">
        <f t="shared" ref="ET93" si="688">MAX(ES93-ET92,0)</f>
        <v>0</v>
      </c>
      <c r="EU93" s="159">
        <f t="shared" ref="EU93" si="689">MAX(ET93-EU92,0)</f>
        <v>0</v>
      </c>
      <c r="EV93" s="159">
        <f t="shared" ref="EV93" si="690">MAX(EU93-EV92,0)</f>
        <v>0</v>
      </c>
      <c r="EW93" s="159">
        <f t="shared" ref="EW93" si="691">MAX(EV93-EW92,0)</f>
        <v>0</v>
      </c>
      <c r="EX93" s="159">
        <f t="shared" ref="EX93" si="692">MAX(EW93-EX92,0)</f>
        <v>0</v>
      </c>
      <c r="EY93" s="159">
        <f t="shared" ref="EY93" si="693">MAX(EX93-EY92,0)</f>
        <v>0</v>
      </c>
      <c r="EZ93" s="159">
        <f t="shared" ref="EZ93" si="694">MAX(EY93-EZ92,0)</f>
        <v>0</v>
      </c>
      <c r="FA93" s="159">
        <f t="shared" ref="FA93" si="695">MAX(EZ93-FA92,0)</f>
        <v>0</v>
      </c>
      <c r="FB93" s="159">
        <f t="shared" ref="FB93" si="696">MAX(FA93-FB92,0)</f>
        <v>0</v>
      </c>
      <c r="FC93" s="159">
        <f t="shared" ref="FC93" si="697">MAX(FB93-FC92,0)</f>
        <v>0</v>
      </c>
      <c r="FD93" s="159">
        <f t="shared" ref="FD93" si="698">MAX(FC93-FD92,0)</f>
        <v>0</v>
      </c>
      <c r="FE93" s="159">
        <f t="shared" ref="FE93" si="699">MAX(FD93-FE92,0)</f>
        <v>0</v>
      </c>
      <c r="FF93" s="159">
        <f t="shared" ref="FF93" si="700">MAX(FE93-FF92,0)</f>
        <v>0</v>
      </c>
      <c r="FG93" s="159">
        <f t="shared" ref="FG93" si="701">MAX(FF93-FG92,0)</f>
        <v>0</v>
      </c>
      <c r="FH93" s="159">
        <f t="shared" ref="FH93" si="702">MAX(FG93-FH92,0)</f>
        <v>0</v>
      </c>
      <c r="FI93" s="159">
        <f t="shared" ref="FI93" si="703">MAX(FH93-FI92,0)</f>
        <v>0</v>
      </c>
      <c r="FJ93" s="159">
        <f t="shared" ref="FJ93" si="704">MAX(FI93-FJ92,0)</f>
        <v>0</v>
      </c>
      <c r="FK93" s="159">
        <f t="shared" ref="FK93" si="705">MAX(FJ93-FK92,0)</f>
        <v>0</v>
      </c>
      <c r="FL93" s="159">
        <f t="shared" ref="FL93" si="706">MAX(FK93-FL92,0)</f>
        <v>0</v>
      </c>
      <c r="FM93" s="159">
        <f t="shared" ref="FM93" si="707">MAX(FL93-FM92,0)</f>
        <v>0</v>
      </c>
      <c r="FN93" s="159">
        <f t="shared" ref="FN93" si="708">MAX(FM93-FN92,0)</f>
        <v>0</v>
      </c>
      <c r="FO93" s="159">
        <f t="shared" ref="FO93" si="709">MAX(FN93-FO92,0)</f>
        <v>0</v>
      </c>
      <c r="FP93" s="159">
        <f t="shared" ref="FP93" si="710">MAX(FO93-FP92,0)</f>
        <v>0</v>
      </c>
      <c r="FQ93" s="159">
        <f t="shared" ref="FQ93" si="711">MAX(FP93-FQ92,0)</f>
        <v>0</v>
      </c>
      <c r="FR93" s="159">
        <f t="shared" ref="FR93" si="712">MAX(FQ93-FR92,0)</f>
        <v>0</v>
      </c>
      <c r="FS93" s="159">
        <f t="shared" ref="FS93" si="713">MAX(FR93-FS92,0)</f>
        <v>0</v>
      </c>
      <c r="FT93" s="159">
        <f t="shared" ref="FT93" si="714">MAX(FS93-FT92,0)</f>
        <v>0</v>
      </c>
      <c r="FU93" s="159">
        <f t="shared" ref="FU93" si="715">MAX(FT93-FU92,0)</f>
        <v>0</v>
      </c>
      <c r="FV93" s="159">
        <f t="shared" ref="FV93" si="716">MAX(FU93-FV92,0)</f>
        <v>0</v>
      </c>
      <c r="FW93" s="159">
        <f t="shared" ref="FW93" si="717">MAX(FV93-FW92,0)</f>
        <v>0</v>
      </c>
      <c r="FX93" s="159">
        <f t="shared" ref="FX93" si="718">MAX(FW93-FX92,0)</f>
        <v>0</v>
      </c>
      <c r="FY93" s="159">
        <f t="shared" ref="FY93" si="719">MAX(FX93-FY92,0)</f>
        <v>0</v>
      </c>
      <c r="FZ93" s="159">
        <f t="shared" ref="FZ93" si="720">MAX(FY93-FZ92,0)</f>
        <v>0</v>
      </c>
      <c r="GA93" s="159">
        <f t="shared" ref="GA93" si="721">MAX(FZ93-GA92,0)</f>
        <v>0</v>
      </c>
      <c r="GB93" s="159">
        <f t="shared" ref="GB93" si="722">MAX(GA93-GB92,0)</f>
        <v>0</v>
      </c>
      <c r="GC93" s="159">
        <f t="shared" ref="GC93" si="723">MAX(GB93-GC92,0)</f>
        <v>0</v>
      </c>
      <c r="GD93" s="159">
        <f t="shared" ref="GD93" si="724">MAX(GC93-GD92,0)</f>
        <v>0</v>
      </c>
      <c r="GE93" s="159">
        <f t="shared" ref="GE93" si="725">MAX(GD93-GE92,0)</f>
        <v>0</v>
      </c>
      <c r="GF93" s="159">
        <f t="shared" ref="GF93" si="726">MAX(GE93-GF92,0)</f>
        <v>0</v>
      </c>
      <c r="GG93" s="159">
        <f t="shared" ref="GG93" si="727">MAX(GF93-GG92,0)</f>
        <v>0</v>
      </c>
      <c r="GH93" s="159">
        <f t="shared" ref="GH93" si="728">MAX(GG93-GH92,0)</f>
        <v>0</v>
      </c>
      <c r="GI93" s="159">
        <f t="shared" ref="GI93" si="729">MAX(GH93-GI92,0)</f>
        <v>0</v>
      </c>
      <c r="GJ93" s="159">
        <f t="shared" ref="GJ93" si="730">MAX(GI93-GJ92,0)</f>
        <v>0</v>
      </c>
      <c r="GK93" s="159">
        <f t="shared" ref="GK93" si="731">MAX(GJ93-GK92,0)</f>
        <v>0</v>
      </c>
      <c r="GL93" s="159">
        <f t="shared" ref="GL93" si="732">MAX(GK93-GL92,0)</f>
        <v>0</v>
      </c>
      <c r="GM93" s="159">
        <f t="shared" ref="GM93" si="733">MAX(GL93-GM92,0)</f>
        <v>0</v>
      </c>
      <c r="GN93" s="159">
        <f t="shared" ref="GN93" si="734">MAX(GM93-GN92,0)</f>
        <v>0</v>
      </c>
      <c r="GO93" s="159">
        <f t="shared" ref="GO93" si="735">MAX(GN93-GO92,0)</f>
        <v>0</v>
      </c>
      <c r="GP93" s="159">
        <f t="shared" ref="GP93" si="736">MAX(GO93-GP92,0)</f>
        <v>0</v>
      </c>
      <c r="GQ93" s="159">
        <f t="shared" ref="GQ93" si="737">MAX(GP93-GQ92,0)</f>
        <v>0</v>
      </c>
    </row>
    <row r="94" spans="2:199" s="156" customFormat="1" hidden="1" outlineLevel="1">
      <c r="B94" s="157"/>
      <c r="C94" s="157"/>
      <c r="D94" s="315"/>
      <c r="E94" s="315"/>
      <c r="F94" s="315"/>
      <c r="G94" s="315"/>
      <c r="H94" s="315"/>
      <c r="I94" s="315"/>
      <c r="J94" s="315"/>
      <c r="K94" s="315"/>
      <c r="L94" s="315"/>
      <c r="M94" s="315"/>
      <c r="N94" s="315"/>
      <c r="O94" s="315"/>
      <c r="P94" s="315"/>
      <c r="Q94" s="315"/>
      <c r="R94" s="315"/>
      <c r="S94" s="315"/>
      <c r="T94" s="315"/>
      <c r="U94" s="315"/>
      <c r="V94" s="315"/>
      <c r="W94" s="315"/>
      <c r="X94" s="315"/>
      <c r="Y94" s="315"/>
      <c r="Z94" s="315"/>
      <c r="AA94" s="315"/>
      <c r="AB94" s="315"/>
      <c r="AC94" s="315"/>
      <c r="AD94" s="315"/>
      <c r="AE94" s="315"/>
      <c r="AF94" s="315"/>
      <c r="AG94" s="315"/>
      <c r="AH94" s="315"/>
      <c r="AI94" s="315"/>
      <c r="AJ94" s="315"/>
      <c r="AK94" s="315"/>
      <c r="AL94" s="315"/>
      <c r="AM94" s="315"/>
      <c r="AN94" s="315"/>
      <c r="AO94" s="315"/>
      <c r="AP94" s="315"/>
      <c r="AQ94" s="315"/>
      <c r="AR94" s="315"/>
      <c r="AS94" s="315"/>
      <c r="AT94" s="315"/>
      <c r="AU94" s="315"/>
      <c r="AV94" s="315"/>
      <c r="AW94" s="315"/>
      <c r="AX94" s="315"/>
      <c r="AY94" s="315"/>
      <c r="AZ94" s="315"/>
      <c r="BA94" s="315"/>
      <c r="BB94" s="315"/>
      <c r="BC94" s="315"/>
      <c r="BD94" s="315"/>
      <c r="BE94" s="315"/>
      <c r="BF94" s="315"/>
      <c r="BG94" s="315"/>
      <c r="BH94" s="315"/>
      <c r="BI94" s="315"/>
      <c r="BJ94" s="315"/>
      <c r="BK94" s="315"/>
      <c r="BL94" s="315"/>
      <c r="BM94" s="315"/>
      <c r="BN94" s="315"/>
      <c r="BO94" s="315"/>
      <c r="BP94" s="315"/>
      <c r="BQ94" s="315"/>
      <c r="BR94" s="315"/>
      <c r="BS94" s="315"/>
      <c r="BT94" s="315"/>
      <c r="BU94" s="315"/>
      <c r="BV94" s="315"/>
      <c r="BW94" s="315"/>
      <c r="BX94" s="315"/>
      <c r="BY94" s="315"/>
      <c r="BZ94" s="315"/>
      <c r="CA94" s="315"/>
      <c r="CB94" s="315"/>
      <c r="CC94" s="315"/>
      <c r="CD94" s="315"/>
      <c r="CE94" s="315"/>
      <c r="CF94" s="315"/>
      <c r="CG94" s="315"/>
      <c r="CH94" s="315"/>
      <c r="CI94" s="315"/>
      <c r="CJ94" s="315"/>
      <c r="CK94" s="315"/>
      <c r="CL94" s="315"/>
      <c r="CM94" s="315"/>
      <c r="CN94" s="315"/>
      <c r="CO94" s="315"/>
      <c r="CP94" s="315"/>
      <c r="CQ94" s="315"/>
      <c r="CR94" s="315"/>
      <c r="CS94" s="315"/>
      <c r="CT94" s="315"/>
      <c r="CU94" s="315"/>
      <c r="CV94" s="315"/>
      <c r="CW94" s="315"/>
      <c r="CX94" s="315"/>
      <c r="CY94" s="315"/>
      <c r="CZ94" s="315"/>
      <c r="DA94" s="315"/>
      <c r="DB94" s="315"/>
      <c r="DC94" s="315"/>
      <c r="DD94" s="315"/>
      <c r="DE94" s="315"/>
      <c r="DF94" s="315"/>
      <c r="DG94" s="315"/>
      <c r="DH94" s="315"/>
      <c r="DI94" s="315"/>
      <c r="DJ94" s="315"/>
      <c r="DK94" s="315"/>
      <c r="DL94" s="315"/>
      <c r="DM94" s="315"/>
      <c r="DN94" s="315"/>
      <c r="DO94" s="315"/>
      <c r="DP94" s="315"/>
      <c r="DQ94" s="315"/>
      <c r="DR94" s="315"/>
      <c r="DS94" s="315"/>
      <c r="DT94" s="315"/>
      <c r="DU94" s="315"/>
      <c r="DV94" s="315"/>
      <c r="DW94" s="315"/>
      <c r="DX94" s="315"/>
      <c r="DY94" s="315"/>
      <c r="DZ94" s="315"/>
      <c r="EA94" s="315"/>
      <c r="EB94" s="315"/>
      <c r="EC94" s="315"/>
      <c r="ED94" s="315"/>
      <c r="EE94" s="315"/>
      <c r="EF94" s="315"/>
      <c r="EG94" s="315"/>
      <c r="EH94" s="315"/>
      <c r="EI94" s="315"/>
      <c r="EJ94" s="315"/>
      <c r="EK94" s="315"/>
      <c r="EL94" s="315"/>
      <c r="EM94" s="315"/>
      <c r="EN94" s="315"/>
      <c r="EO94" s="315"/>
      <c r="EP94" s="315"/>
      <c r="EQ94" s="315"/>
      <c r="ER94" s="315"/>
      <c r="ES94" s="315"/>
      <c r="ET94" s="315"/>
      <c r="EU94" s="315"/>
      <c r="EV94" s="315"/>
      <c r="EW94" s="315"/>
      <c r="EX94" s="315"/>
      <c r="EY94" s="315"/>
      <c r="EZ94" s="315"/>
      <c r="FA94" s="315"/>
      <c r="FB94" s="315"/>
      <c r="FC94" s="315"/>
      <c r="FD94" s="315"/>
      <c r="FE94" s="315"/>
      <c r="FF94" s="315"/>
      <c r="FG94" s="315"/>
      <c r="FH94" s="315"/>
      <c r="FI94" s="315"/>
      <c r="FJ94" s="315"/>
      <c r="FK94" s="315"/>
      <c r="FL94" s="315"/>
      <c r="FM94" s="315"/>
      <c r="FN94" s="315"/>
      <c r="FO94" s="315"/>
      <c r="FP94" s="315"/>
      <c r="FQ94" s="315"/>
      <c r="FR94" s="315"/>
      <c r="FS94" s="315"/>
      <c r="FT94" s="315"/>
      <c r="FU94" s="315"/>
      <c r="FV94" s="315"/>
      <c r="FW94" s="315"/>
      <c r="FX94" s="315"/>
      <c r="FY94" s="315"/>
      <c r="FZ94" s="315"/>
      <c r="GA94" s="315"/>
      <c r="GB94" s="315"/>
      <c r="GC94" s="315"/>
      <c r="GD94" s="315"/>
      <c r="GE94" s="315"/>
      <c r="GF94" s="315"/>
      <c r="GG94" s="315"/>
      <c r="GH94" s="315"/>
      <c r="GI94" s="315"/>
      <c r="GJ94" s="315"/>
      <c r="GK94" s="315"/>
      <c r="GL94" s="315"/>
      <c r="GM94" s="315"/>
      <c r="GN94" s="315"/>
      <c r="GO94" s="315"/>
      <c r="GP94" s="315"/>
      <c r="GQ94" s="315"/>
    </row>
    <row r="95" spans="2:199" hidden="1" outlineLevel="1">
      <c r="B95" s="184" t="s">
        <v>388</v>
      </c>
      <c r="C95" s="185"/>
      <c r="D95" s="186"/>
      <c r="E95" s="186">
        <f t="shared" ref="E95" si="738">D101</f>
        <v>0</v>
      </c>
      <c r="F95" s="186">
        <f t="shared" ref="F95" si="739">E101</f>
        <v>191611</v>
      </c>
      <c r="G95" s="186">
        <f t="shared" ref="G95" si="740">F101</f>
        <v>193462.31482423999</v>
      </c>
      <c r="H95" s="186">
        <f t="shared" ref="H95" si="741">G101</f>
        <v>195016.48272264164</v>
      </c>
      <c r="I95" s="186">
        <f t="shared" ref="I95" si="742">H101</f>
        <v>196731.33286115562</v>
      </c>
      <c r="J95" s="186">
        <f t="shared" ref="J95" si="743">I101</f>
        <v>198226.33360583411</v>
      </c>
      <c r="K95" s="186">
        <f t="shared" ref="K95" si="744">J101</f>
        <v>199817.75806997539</v>
      </c>
      <c r="L95" s="186">
        <f t="shared" ref="L95" si="745">K101</f>
        <v>201198.18514656441</v>
      </c>
      <c r="M95" s="186">
        <f t="shared" ref="M95" si="746">L101</f>
        <v>202710.96950423074</v>
      </c>
      <c r="N95" s="186">
        <f t="shared" ref="N95" si="747">M101</f>
        <v>204277.73491189952</v>
      </c>
      <c r="O95" s="186">
        <f t="shared" ref="O95" si="748">N101</f>
        <v>205578.6163879011</v>
      </c>
      <c r="P95" s="186">
        <f t="shared" ref="P95" si="749">O101</f>
        <v>207097.57237669796</v>
      </c>
      <c r="Q95" s="186">
        <f t="shared" ref="Q95" si="750">P101</f>
        <v>208486.83598076185</v>
      </c>
      <c r="R95" s="186">
        <f t="shared" ref="R95" si="751">Q101</f>
        <v>142500.00000000003</v>
      </c>
      <c r="S95" s="186">
        <f t="shared" ref="S95" si="752">R101</f>
        <v>143552.88785481045</v>
      </c>
      <c r="T95" s="186">
        <f t="shared" ref="T95" si="753">S101</f>
        <v>144418.26048748606</v>
      </c>
      <c r="U95" s="186">
        <f t="shared" ref="U95" si="754">T101</f>
        <v>145387.05519982844</v>
      </c>
      <c r="V95" s="186">
        <f t="shared" ref="V95" si="755">U101</f>
        <v>146461.27460099722</v>
      </c>
      <c r="W95" s="186">
        <f t="shared" ref="W95" si="756">V101</f>
        <v>147493.59496732196</v>
      </c>
      <c r="X95" s="186">
        <f t="shared" ref="X95" si="757">W101</f>
        <v>148483.01981170365</v>
      </c>
      <c r="Y95" s="186">
        <f t="shared" ref="Y95" si="758">X101</f>
        <v>149630.65409926165</v>
      </c>
      <c r="Z95" s="186">
        <f t="shared" ref="Z95" si="759">Y101</f>
        <v>150736.22812318057</v>
      </c>
      <c r="AA95" s="186">
        <f t="shared" ref="AA95" si="760">Z101</f>
        <v>151830.37231888535</v>
      </c>
      <c r="AB95" s="186">
        <f t="shared" ref="AB95" si="761">AA101</f>
        <v>153141.82872466862</v>
      </c>
      <c r="AC95" s="186">
        <f t="shared" ref="AC95" si="762">AB101</f>
        <v>154324.80426064358</v>
      </c>
      <c r="AD95" s="186">
        <f t="shared" ref="AD95" si="763">AC101</f>
        <v>95000.000000000058</v>
      </c>
      <c r="AE95" s="186">
        <f t="shared" ref="AE95" si="764">AD101</f>
        <v>95826.857424924674</v>
      </c>
      <c r="AF95" s="186">
        <f t="shared" ref="AF95" si="765">AE101</f>
        <v>96584.174226496456</v>
      </c>
      <c r="AG95" s="186">
        <f t="shared" ref="AG95" si="766">AF101</f>
        <v>97308.82538229879</v>
      </c>
      <c r="AH95" s="186">
        <f t="shared" ref="AH95" si="767">AG101</f>
        <v>98077.854132521185</v>
      </c>
      <c r="AI95" s="186">
        <f t="shared" ref="AI95" si="768">AH101</f>
        <v>98892.223294831929</v>
      </c>
      <c r="AJ95" s="186">
        <f t="shared" ref="AJ95" si="769">AI101</f>
        <v>99673.765591621093</v>
      </c>
      <c r="AK95" s="186">
        <f t="shared" ref="AK95" si="770">AJ101</f>
        <v>100581.2332608509</v>
      </c>
      <c r="AL95" s="186">
        <f t="shared" ref="AL95" si="771">AK101</f>
        <v>101416.38871362156</v>
      </c>
      <c r="AM95" s="186">
        <f t="shared" ref="AM95" si="772">AL101</f>
        <v>102299.09286116787</v>
      </c>
      <c r="AN95" s="186">
        <f t="shared" ref="AN95" si="773">AM101</f>
        <v>103230.46250303932</v>
      </c>
      <c r="AO95" s="186">
        <f t="shared" ref="AO95" si="774">AN101</f>
        <v>104046.28977514648</v>
      </c>
      <c r="AP95" s="186">
        <f t="shared" ref="AP95" si="775">AO101</f>
        <v>47500.000000000044</v>
      </c>
      <c r="AQ95" s="186">
        <f t="shared" ref="AQ95" si="776">AP101</f>
        <v>47894.406418777246</v>
      </c>
      <c r="AR95" s="186">
        <f t="shared" ref="AR95" si="777">AQ101</f>
        <v>48234.589087363107</v>
      </c>
      <c r="AS95" s="186">
        <f t="shared" ref="AS95" si="778">AR101</f>
        <v>48654.411488679681</v>
      </c>
      <c r="AT95" s="186">
        <f t="shared" ref="AT95" si="779">AS101</f>
        <v>49038.925854287794</v>
      </c>
      <c r="AU95" s="186">
        <f t="shared" ref="AU95" si="780">AT101</f>
        <v>49426.479025480759</v>
      </c>
      <c r="AV95" s="186">
        <f t="shared" ref="AV95" si="781">AU101</f>
        <v>49836.88156411668</v>
      </c>
      <c r="AW95" s="186">
        <f t="shared" ref="AW95" si="782">AV101</f>
        <v>50290.615387517777</v>
      </c>
      <c r="AX95" s="186">
        <f t="shared" ref="AX95" si="783">AW101</f>
        <v>50708.193103582882</v>
      </c>
      <c r="AY95" s="186">
        <f t="shared" ref="AY95" si="784">AX101</f>
        <v>51129.238089785977</v>
      </c>
      <c r="AZ95" s="186">
        <f t="shared" ref="AZ95" si="785">AY101</f>
        <v>51553.779135887016</v>
      </c>
      <c r="BA95" s="186">
        <f t="shared" ref="BA95" si="786">AZ101</f>
        <v>51961.207117700105</v>
      </c>
      <c r="BB95" s="186">
        <f t="shared" ref="BB95" si="787">BA101</f>
        <v>0</v>
      </c>
      <c r="BC95" s="186">
        <f t="shared" ref="BC95" si="788">BB101</f>
        <v>0</v>
      </c>
      <c r="BD95" s="186">
        <f t="shared" ref="BD95" si="789">BC101</f>
        <v>0</v>
      </c>
      <c r="BE95" s="186">
        <f t="shared" ref="BE95" si="790">BD101</f>
        <v>0</v>
      </c>
      <c r="BF95" s="186">
        <f t="shared" ref="BF95" si="791">BE101</f>
        <v>0</v>
      </c>
      <c r="BG95" s="186">
        <f t="shared" ref="BG95" si="792">BF101</f>
        <v>0</v>
      </c>
      <c r="BH95" s="186">
        <f t="shared" ref="BH95" si="793">BG101</f>
        <v>0</v>
      </c>
      <c r="BI95" s="186">
        <f t="shared" ref="BI95" si="794">BH101</f>
        <v>0</v>
      </c>
      <c r="BJ95" s="186">
        <f t="shared" ref="BJ95" si="795">BI101</f>
        <v>0</v>
      </c>
      <c r="BK95" s="186">
        <f t="shared" ref="BK95" si="796">BJ101</f>
        <v>0</v>
      </c>
      <c r="BL95" s="186">
        <f t="shared" ref="BL95" si="797">BK101</f>
        <v>0</v>
      </c>
      <c r="BM95" s="186">
        <f t="shared" ref="BM95" si="798">BL101</f>
        <v>0</v>
      </c>
      <c r="BN95" s="186">
        <f t="shared" ref="BN95" si="799">BM101</f>
        <v>0</v>
      </c>
      <c r="BO95" s="186">
        <f t="shared" ref="BO95" si="800">BN101</f>
        <v>0</v>
      </c>
      <c r="BP95" s="186">
        <f t="shared" ref="BP95" si="801">BO101</f>
        <v>0</v>
      </c>
      <c r="BQ95" s="186">
        <f t="shared" ref="BQ95" si="802">BP101</f>
        <v>0</v>
      </c>
      <c r="BR95" s="186">
        <f t="shared" ref="BR95" si="803">BQ101</f>
        <v>0</v>
      </c>
      <c r="BS95" s="186">
        <f t="shared" ref="BS95" si="804">BR101</f>
        <v>0</v>
      </c>
      <c r="BT95" s="186">
        <f t="shared" ref="BT95" si="805">BS101</f>
        <v>0</v>
      </c>
      <c r="BU95" s="186">
        <f t="shared" ref="BU95" si="806">BT101</f>
        <v>0</v>
      </c>
      <c r="BV95" s="186">
        <f t="shared" ref="BV95" si="807">BU101</f>
        <v>0</v>
      </c>
      <c r="BW95" s="186">
        <f t="shared" ref="BW95" si="808">BV101</f>
        <v>0</v>
      </c>
      <c r="BX95" s="186">
        <f t="shared" ref="BX95" si="809">BW101</f>
        <v>0</v>
      </c>
      <c r="BY95" s="186">
        <f t="shared" ref="BY95" si="810">BX101</f>
        <v>0</v>
      </c>
      <c r="BZ95" s="186">
        <f t="shared" ref="BZ95" si="811">BY101</f>
        <v>0</v>
      </c>
      <c r="CA95" s="186">
        <f t="shared" ref="CA95" si="812">BZ101</f>
        <v>0</v>
      </c>
      <c r="CB95" s="186">
        <f t="shared" ref="CB95" si="813">CA101</f>
        <v>0</v>
      </c>
      <c r="CC95" s="186">
        <f t="shared" ref="CC95" si="814">CB101</f>
        <v>0</v>
      </c>
      <c r="CD95" s="186">
        <f t="shared" ref="CD95" si="815">CC101</f>
        <v>0</v>
      </c>
      <c r="CE95" s="186">
        <f t="shared" ref="CE95" si="816">CD101</f>
        <v>0</v>
      </c>
      <c r="CF95" s="186">
        <f t="shared" ref="CF95" si="817">CE101</f>
        <v>0</v>
      </c>
      <c r="CG95" s="186">
        <f t="shared" ref="CG95" si="818">CF101</f>
        <v>0</v>
      </c>
      <c r="CH95" s="186">
        <f t="shared" ref="CH95" si="819">CG101</f>
        <v>0</v>
      </c>
      <c r="CI95" s="186">
        <f t="shared" ref="CI95" si="820">CH101</f>
        <v>0</v>
      </c>
      <c r="CJ95" s="186">
        <f t="shared" ref="CJ95" si="821">CI101</f>
        <v>0</v>
      </c>
      <c r="CK95" s="186">
        <f t="shared" ref="CK95" si="822">CJ101</f>
        <v>0</v>
      </c>
      <c r="CL95" s="186">
        <f t="shared" ref="CL95" si="823">CK101</f>
        <v>0</v>
      </c>
      <c r="CM95" s="186">
        <f t="shared" ref="CM95" si="824">CL101</f>
        <v>0</v>
      </c>
      <c r="CN95" s="186">
        <f t="shared" ref="CN95" si="825">CM101</f>
        <v>0</v>
      </c>
      <c r="CO95" s="186">
        <f t="shared" ref="CO95" si="826">CN101</f>
        <v>0</v>
      </c>
      <c r="CP95" s="186">
        <f t="shared" ref="CP95" si="827">CO101</f>
        <v>0</v>
      </c>
      <c r="CQ95" s="186">
        <f t="shared" ref="CQ95" si="828">CP101</f>
        <v>0</v>
      </c>
      <c r="CR95" s="186">
        <f t="shared" ref="CR95" si="829">CQ101</f>
        <v>0</v>
      </c>
      <c r="CS95" s="186">
        <f t="shared" ref="CS95" si="830">CR101</f>
        <v>0</v>
      </c>
      <c r="CT95" s="186">
        <f t="shared" ref="CT95" si="831">CS101</f>
        <v>0</v>
      </c>
      <c r="CU95" s="186">
        <f t="shared" ref="CU95" si="832">CT101</f>
        <v>0</v>
      </c>
      <c r="CV95" s="186">
        <f t="shared" ref="CV95" si="833">CU101</f>
        <v>0</v>
      </c>
      <c r="CW95" s="186">
        <f t="shared" ref="CW95" si="834">CV101</f>
        <v>0</v>
      </c>
      <c r="CX95" s="186">
        <f t="shared" ref="CX95" si="835">CW101</f>
        <v>0</v>
      </c>
      <c r="CY95" s="186">
        <f t="shared" ref="CY95" si="836">CX101</f>
        <v>0</v>
      </c>
      <c r="CZ95" s="186">
        <f t="shared" ref="CZ95" si="837">CY101</f>
        <v>0</v>
      </c>
      <c r="DA95" s="186">
        <f t="shared" ref="DA95" si="838">CZ101</f>
        <v>0</v>
      </c>
      <c r="DB95" s="186">
        <f t="shared" ref="DB95" si="839">DA101</f>
        <v>0</v>
      </c>
      <c r="DC95" s="186">
        <f t="shared" ref="DC95" si="840">DB101</f>
        <v>0</v>
      </c>
      <c r="DD95" s="186">
        <f t="shared" ref="DD95" si="841">DC101</f>
        <v>0</v>
      </c>
      <c r="DE95" s="186">
        <f t="shared" ref="DE95" si="842">DD101</f>
        <v>0</v>
      </c>
      <c r="DF95" s="186">
        <f t="shared" ref="DF95" si="843">DE101</f>
        <v>0</v>
      </c>
      <c r="DG95" s="186">
        <f t="shared" ref="DG95" si="844">DF101</f>
        <v>0</v>
      </c>
      <c r="DH95" s="186">
        <f t="shared" ref="DH95" si="845">DG101</f>
        <v>0</v>
      </c>
      <c r="DI95" s="186">
        <f t="shared" ref="DI95" si="846">DH101</f>
        <v>0</v>
      </c>
      <c r="DJ95" s="186">
        <f t="shared" ref="DJ95" si="847">DI101</f>
        <v>0</v>
      </c>
      <c r="DK95" s="186">
        <f t="shared" ref="DK95" si="848">DJ101</f>
        <v>0</v>
      </c>
      <c r="DL95" s="186">
        <f t="shared" ref="DL95" si="849">DK101</f>
        <v>0</v>
      </c>
      <c r="DM95" s="186">
        <f t="shared" ref="DM95" si="850">DL101</f>
        <v>0</v>
      </c>
      <c r="DN95" s="186">
        <f t="shared" ref="DN95" si="851">DM101</f>
        <v>0</v>
      </c>
      <c r="DO95" s="186">
        <f t="shared" ref="DO95" si="852">DN101</f>
        <v>0</v>
      </c>
      <c r="DP95" s="186">
        <f t="shared" ref="DP95" si="853">DO101</f>
        <v>0</v>
      </c>
      <c r="DQ95" s="186">
        <f t="shared" ref="DQ95" si="854">DP101</f>
        <v>0</v>
      </c>
      <c r="DR95" s="186">
        <f t="shared" ref="DR95" si="855">DQ101</f>
        <v>0</v>
      </c>
      <c r="DS95" s="186">
        <f t="shared" ref="DS95" si="856">DR101</f>
        <v>0</v>
      </c>
      <c r="DT95" s="186">
        <f t="shared" ref="DT95" si="857">DS101</f>
        <v>0</v>
      </c>
      <c r="DU95" s="186">
        <f t="shared" ref="DU95" si="858">DT101</f>
        <v>0</v>
      </c>
      <c r="DV95" s="186">
        <f t="shared" ref="DV95" si="859">DU101</f>
        <v>0</v>
      </c>
      <c r="DW95" s="186">
        <f t="shared" ref="DW95" si="860">DV101</f>
        <v>0</v>
      </c>
      <c r="DX95" s="186">
        <f t="shared" ref="DX95" si="861">DW101</f>
        <v>0</v>
      </c>
      <c r="DY95" s="186">
        <f t="shared" ref="DY95" si="862">DX101</f>
        <v>0</v>
      </c>
      <c r="DZ95" s="186">
        <f t="shared" ref="DZ95" si="863">DY101</f>
        <v>0</v>
      </c>
      <c r="EA95" s="186">
        <f t="shared" ref="EA95" si="864">DZ101</f>
        <v>0</v>
      </c>
      <c r="EB95" s="186">
        <f t="shared" ref="EB95" si="865">EA101</f>
        <v>0</v>
      </c>
      <c r="EC95" s="186">
        <f t="shared" ref="EC95" si="866">EB101</f>
        <v>0</v>
      </c>
      <c r="ED95" s="186">
        <f t="shared" ref="ED95" si="867">EC101</f>
        <v>0</v>
      </c>
      <c r="EE95" s="186">
        <f t="shared" ref="EE95" si="868">ED101</f>
        <v>0</v>
      </c>
      <c r="EF95" s="186">
        <f t="shared" ref="EF95" si="869">EE101</f>
        <v>0</v>
      </c>
      <c r="EG95" s="186">
        <f t="shared" ref="EG95" si="870">EF101</f>
        <v>0</v>
      </c>
      <c r="EH95" s="186">
        <f t="shared" ref="EH95" si="871">EG101</f>
        <v>0</v>
      </c>
      <c r="EI95" s="186">
        <f t="shared" ref="EI95" si="872">EH101</f>
        <v>0</v>
      </c>
      <c r="EJ95" s="186">
        <f t="shared" ref="EJ95" si="873">EI101</f>
        <v>0</v>
      </c>
      <c r="EK95" s="186">
        <f t="shared" ref="EK95" si="874">EJ101</f>
        <v>0</v>
      </c>
      <c r="EL95" s="186">
        <f t="shared" ref="EL95" si="875">EK101</f>
        <v>0</v>
      </c>
      <c r="EM95" s="186">
        <f t="shared" ref="EM95" si="876">EL101</f>
        <v>0</v>
      </c>
      <c r="EN95" s="186">
        <f t="shared" ref="EN95" si="877">EM101</f>
        <v>0</v>
      </c>
      <c r="EO95" s="186">
        <f t="shared" ref="EO95" si="878">EN101</f>
        <v>0</v>
      </c>
      <c r="EP95" s="186">
        <f t="shared" ref="EP95" si="879">EO101</f>
        <v>0</v>
      </c>
      <c r="EQ95" s="186">
        <f t="shared" ref="EQ95" si="880">EP101</f>
        <v>0</v>
      </c>
      <c r="ER95" s="186">
        <f t="shared" ref="ER95" si="881">EQ101</f>
        <v>0</v>
      </c>
      <c r="ES95" s="186">
        <f t="shared" ref="ES95" si="882">ER101</f>
        <v>0</v>
      </c>
      <c r="ET95" s="186">
        <f t="shared" ref="ET95" si="883">ES101</f>
        <v>0</v>
      </c>
      <c r="EU95" s="186">
        <f t="shared" ref="EU95" si="884">ET101</f>
        <v>0</v>
      </c>
      <c r="EV95" s="186">
        <f t="shared" ref="EV95" si="885">EU101</f>
        <v>0</v>
      </c>
      <c r="EW95" s="186">
        <f t="shared" ref="EW95" si="886">EV101</f>
        <v>0</v>
      </c>
      <c r="EX95" s="186">
        <f t="shared" ref="EX95" si="887">EW101</f>
        <v>0</v>
      </c>
      <c r="EY95" s="186">
        <f t="shared" ref="EY95" si="888">EX101</f>
        <v>0</v>
      </c>
      <c r="EZ95" s="186">
        <f t="shared" ref="EZ95" si="889">EY101</f>
        <v>0</v>
      </c>
      <c r="FA95" s="186">
        <f t="shared" ref="FA95" si="890">EZ101</f>
        <v>0</v>
      </c>
      <c r="FB95" s="186">
        <f t="shared" ref="FB95" si="891">FA101</f>
        <v>0</v>
      </c>
      <c r="FC95" s="186">
        <f t="shared" ref="FC95" si="892">FB101</f>
        <v>0</v>
      </c>
      <c r="FD95" s="186">
        <f t="shared" ref="FD95" si="893">FC101</f>
        <v>0</v>
      </c>
      <c r="FE95" s="186">
        <f t="shared" ref="FE95" si="894">FD101</f>
        <v>0</v>
      </c>
      <c r="FF95" s="186">
        <f t="shared" ref="FF95" si="895">FE101</f>
        <v>0</v>
      </c>
      <c r="FG95" s="186">
        <f t="shared" ref="FG95" si="896">FF101</f>
        <v>0</v>
      </c>
      <c r="FH95" s="186">
        <f t="shared" ref="FH95" si="897">FG101</f>
        <v>0</v>
      </c>
      <c r="FI95" s="186">
        <f t="shared" ref="FI95" si="898">FH101</f>
        <v>0</v>
      </c>
      <c r="FJ95" s="186">
        <f t="shared" ref="FJ95" si="899">FI101</f>
        <v>0</v>
      </c>
      <c r="FK95" s="186">
        <f t="shared" ref="FK95" si="900">FJ101</f>
        <v>0</v>
      </c>
      <c r="FL95" s="186">
        <f t="shared" ref="FL95" si="901">FK101</f>
        <v>0</v>
      </c>
      <c r="FM95" s="186">
        <f t="shared" ref="FM95" si="902">FL101</f>
        <v>0</v>
      </c>
      <c r="FN95" s="186">
        <f t="shared" ref="FN95" si="903">FM101</f>
        <v>0</v>
      </c>
      <c r="FO95" s="186">
        <f t="shared" ref="FO95" si="904">FN101</f>
        <v>0</v>
      </c>
      <c r="FP95" s="186">
        <f t="shared" ref="FP95" si="905">FO101</f>
        <v>0</v>
      </c>
      <c r="FQ95" s="186">
        <f t="shared" ref="FQ95" si="906">FP101</f>
        <v>0</v>
      </c>
      <c r="FR95" s="186">
        <f t="shared" ref="FR95" si="907">FQ101</f>
        <v>0</v>
      </c>
      <c r="FS95" s="186">
        <f t="shared" ref="FS95" si="908">FR101</f>
        <v>0</v>
      </c>
      <c r="FT95" s="186">
        <f t="shared" ref="FT95" si="909">FS101</f>
        <v>0</v>
      </c>
      <c r="FU95" s="186">
        <f t="shared" ref="FU95" si="910">FT101</f>
        <v>0</v>
      </c>
      <c r="FV95" s="186">
        <f t="shared" ref="FV95" si="911">FU101</f>
        <v>0</v>
      </c>
      <c r="FW95" s="186">
        <f t="shared" ref="FW95" si="912">FV101</f>
        <v>0</v>
      </c>
      <c r="FX95" s="186">
        <f t="shared" ref="FX95" si="913">FW101</f>
        <v>0</v>
      </c>
      <c r="FY95" s="186">
        <f t="shared" ref="FY95" si="914">FX101</f>
        <v>0</v>
      </c>
      <c r="FZ95" s="186">
        <f t="shared" ref="FZ95" si="915">FY101</f>
        <v>0</v>
      </c>
      <c r="GA95" s="186">
        <f t="shared" ref="GA95" si="916">FZ101</f>
        <v>0</v>
      </c>
      <c r="GB95" s="186">
        <f t="shared" ref="GB95" si="917">GA101</f>
        <v>0</v>
      </c>
      <c r="GC95" s="186">
        <f t="shared" ref="GC95" si="918">GB101</f>
        <v>0</v>
      </c>
      <c r="GD95" s="186">
        <f t="shared" ref="GD95" si="919">GC101</f>
        <v>0</v>
      </c>
      <c r="GE95" s="186">
        <f t="shared" ref="GE95" si="920">GD101</f>
        <v>0</v>
      </c>
      <c r="GF95" s="186">
        <f t="shared" ref="GF95" si="921">GE101</f>
        <v>0</v>
      </c>
      <c r="GG95" s="186">
        <f t="shared" ref="GG95" si="922">GF101</f>
        <v>0</v>
      </c>
      <c r="GH95" s="186">
        <f t="shared" ref="GH95" si="923">GG101</f>
        <v>0</v>
      </c>
      <c r="GI95" s="186">
        <f t="shared" ref="GI95" si="924">GH101</f>
        <v>0</v>
      </c>
      <c r="GJ95" s="186">
        <f t="shared" ref="GJ95" si="925">GI101</f>
        <v>0</v>
      </c>
      <c r="GK95" s="186">
        <f t="shared" ref="GK95" si="926">GJ101</f>
        <v>0</v>
      </c>
      <c r="GL95" s="186">
        <f t="shared" ref="GL95" si="927">GK101</f>
        <v>0</v>
      </c>
      <c r="GM95" s="186">
        <f t="shared" ref="GM95" si="928">GL101</f>
        <v>0</v>
      </c>
      <c r="GN95" s="186">
        <f t="shared" ref="GN95" si="929">GM101</f>
        <v>0</v>
      </c>
      <c r="GO95" s="186">
        <f t="shared" ref="GO95" si="930">GN101</f>
        <v>0</v>
      </c>
      <c r="GP95" s="186">
        <f t="shared" ref="GP95" si="931">GO101</f>
        <v>0</v>
      </c>
      <c r="GQ95" s="186">
        <f t="shared" ref="GQ95" si="932">GP101</f>
        <v>0</v>
      </c>
    </row>
    <row r="96" spans="2:199" hidden="1" outlineLevel="1">
      <c r="B96" s="187" t="s">
        <v>411</v>
      </c>
      <c r="C96" s="180"/>
      <c r="D96" s="188"/>
      <c r="E96" s="189">
        <v>190000</v>
      </c>
      <c r="F96" s="189">
        <f t="shared" ref="F96:BQ96" si="933">(IF(F81&lt;$C83,0,IF(F81=$C83,$C96,0)))</f>
        <v>0</v>
      </c>
      <c r="G96" s="189">
        <f t="shared" si="933"/>
        <v>0</v>
      </c>
      <c r="H96" s="189">
        <f t="shared" si="933"/>
        <v>0</v>
      </c>
      <c r="I96" s="189">
        <f t="shared" si="933"/>
        <v>0</v>
      </c>
      <c r="J96" s="189">
        <f t="shared" si="933"/>
        <v>0</v>
      </c>
      <c r="K96" s="189">
        <f t="shared" si="933"/>
        <v>0</v>
      </c>
      <c r="L96" s="189">
        <f t="shared" si="933"/>
        <v>0</v>
      </c>
      <c r="M96" s="189">
        <f t="shared" si="933"/>
        <v>0</v>
      </c>
      <c r="N96" s="189">
        <f t="shared" si="933"/>
        <v>0</v>
      </c>
      <c r="O96" s="189">
        <f t="shared" si="933"/>
        <v>0</v>
      </c>
      <c r="P96" s="189">
        <f t="shared" si="933"/>
        <v>0</v>
      </c>
      <c r="Q96" s="189">
        <f t="shared" si="933"/>
        <v>0</v>
      </c>
      <c r="R96" s="189">
        <f t="shared" si="933"/>
        <v>0</v>
      </c>
      <c r="S96" s="189">
        <f t="shared" si="933"/>
        <v>0</v>
      </c>
      <c r="T96" s="189">
        <f t="shared" si="933"/>
        <v>0</v>
      </c>
      <c r="U96" s="189">
        <f t="shared" ref="U96:X96" si="934">(IF(U81&lt;$C83,0,IF(U81=$C83,$C96,0)))</f>
        <v>0</v>
      </c>
      <c r="V96" s="189">
        <f t="shared" si="934"/>
        <v>0</v>
      </c>
      <c r="W96" s="189">
        <f t="shared" si="934"/>
        <v>0</v>
      </c>
      <c r="X96" s="189">
        <f t="shared" si="934"/>
        <v>0</v>
      </c>
      <c r="Y96" s="189">
        <f t="shared" si="933"/>
        <v>0</v>
      </c>
      <c r="Z96" s="189">
        <f t="shared" si="933"/>
        <v>0</v>
      </c>
      <c r="AA96" s="189">
        <f t="shared" si="933"/>
        <v>0</v>
      </c>
      <c r="AB96" s="189">
        <f t="shared" si="933"/>
        <v>0</v>
      </c>
      <c r="AC96" s="189">
        <f t="shared" si="933"/>
        <v>0</v>
      </c>
      <c r="AD96" s="189">
        <f t="shared" si="933"/>
        <v>0</v>
      </c>
      <c r="AE96" s="189">
        <f t="shared" si="933"/>
        <v>0</v>
      </c>
      <c r="AF96" s="189">
        <f t="shared" si="933"/>
        <v>0</v>
      </c>
      <c r="AG96" s="189">
        <f t="shared" si="933"/>
        <v>0</v>
      </c>
      <c r="AH96" s="189">
        <f t="shared" si="933"/>
        <v>0</v>
      </c>
      <c r="AI96" s="189">
        <f t="shared" si="933"/>
        <v>0</v>
      </c>
      <c r="AJ96" s="189">
        <f t="shared" si="933"/>
        <v>0</v>
      </c>
      <c r="AK96" s="189">
        <f t="shared" si="933"/>
        <v>0</v>
      </c>
      <c r="AL96" s="189">
        <f t="shared" si="933"/>
        <v>0</v>
      </c>
      <c r="AM96" s="189">
        <f t="shared" si="933"/>
        <v>0</v>
      </c>
      <c r="AN96" s="189">
        <f t="shared" si="933"/>
        <v>0</v>
      </c>
      <c r="AO96" s="189">
        <f t="shared" si="933"/>
        <v>0</v>
      </c>
      <c r="AP96" s="189">
        <f t="shared" si="933"/>
        <v>0</v>
      </c>
      <c r="AQ96" s="189">
        <f t="shared" si="933"/>
        <v>0</v>
      </c>
      <c r="AR96" s="189">
        <f t="shared" si="933"/>
        <v>0</v>
      </c>
      <c r="AS96" s="189">
        <f t="shared" si="933"/>
        <v>0</v>
      </c>
      <c r="AT96" s="189">
        <f t="shared" si="933"/>
        <v>0</v>
      </c>
      <c r="AU96" s="189">
        <f t="shared" si="933"/>
        <v>0</v>
      </c>
      <c r="AV96" s="189">
        <f t="shared" si="933"/>
        <v>0</v>
      </c>
      <c r="AW96" s="189">
        <f t="shared" si="933"/>
        <v>0</v>
      </c>
      <c r="AX96" s="189">
        <f t="shared" si="933"/>
        <v>0</v>
      </c>
      <c r="AY96" s="189">
        <f t="shared" si="933"/>
        <v>0</v>
      </c>
      <c r="AZ96" s="189">
        <f t="shared" si="933"/>
        <v>0</v>
      </c>
      <c r="BA96" s="189">
        <f t="shared" si="933"/>
        <v>0</v>
      </c>
      <c r="BB96" s="189">
        <f t="shared" si="933"/>
        <v>0</v>
      </c>
      <c r="BC96" s="189">
        <f t="shared" si="933"/>
        <v>0</v>
      </c>
      <c r="BD96" s="189">
        <f t="shared" si="933"/>
        <v>0</v>
      </c>
      <c r="BE96" s="189">
        <f t="shared" si="933"/>
        <v>0</v>
      </c>
      <c r="BF96" s="189">
        <f t="shared" si="933"/>
        <v>0</v>
      </c>
      <c r="BG96" s="189">
        <f t="shared" si="933"/>
        <v>0</v>
      </c>
      <c r="BH96" s="189">
        <f t="shared" si="933"/>
        <v>0</v>
      </c>
      <c r="BI96" s="189">
        <f t="shared" si="933"/>
        <v>0</v>
      </c>
      <c r="BJ96" s="189">
        <f t="shared" si="933"/>
        <v>0</v>
      </c>
      <c r="BK96" s="189">
        <f t="shared" si="933"/>
        <v>0</v>
      </c>
      <c r="BL96" s="189">
        <f t="shared" si="933"/>
        <v>0</v>
      </c>
      <c r="BM96" s="189">
        <f t="shared" si="933"/>
        <v>0</v>
      </c>
      <c r="BN96" s="189">
        <f t="shared" si="933"/>
        <v>0</v>
      </c>
      <c r="BO96" s="189">
        <f t="shared" si="933"/>
        <v>0</v>
      </c>
      <c r="BP96" s="189">
        <f t="shared" si="933"/>
        <v>0</v>
      </c>
      <c r="BQ96" s="189">
        <f t="shared" si="933"/>
        <v>0</v>
      </c>
      <c r="BR96" s="189">
        <f t="shared" ref="BR96:EC96" si="935">(IF(BR81&lt;$C83,0,IF(BR81=$C83,$C96,0)))</f>
        <v>0</v>
      </c>
      <c r="BS96" s="189">
        <f t="shared" si="935"/>
        <v>0</v>
      </c>
      <c r="BT96" s="189">
        <f t="shared" si="935"/>
        <v>0</v>
      </c>
      <c r="BU96" s="189">
        <f t="shared" si="935"/>
        <v>0</v>
      </c>
      <c r="BV96" s="189">
        <f t="shared" si="935"/>
        <v>0</v>
      </c>
      <c r="BW96" s="189">
        <f t="shared" si="935"/>
        <v>0</v>
      </c>
      <c r="BX96" s="189">
        <f t="shared" si="935"/>
        <v>0</v>
      </c>
      <c r="BY96" s="189">
        <f t="shared" si="935"/>
        <v>0</v>
      </c>
      <c r="BZ96" s="189">
        <f t="shared" si="935"/>
        <v>0</v>
      </c>
      <c r="CA96" s="189">
        <f t="shared" si="935"/>
        <v>0</v>
      </c>
      <c r="CB96" s="189">
        <f t="shared" si="935"/>
        <v>0</v>
      </c>
      <c r="CC96" s="189">
        <f t="shared" si="935"/>
        <v>0</v>
      </c>
      <c r="CD96" s="189">
        <f t="shared" si="935"/>
        <v>0</v>
      </c>
      <c r="CE96" s="189">
        <f t="shared" si="935"/>
        <v>0</v>
      </c>
      <c r="CF96" s="189">
        <f t="shared" si="935"/>
        <v>0</v>
      </c>
      <c r="CG96" s="189">
        <f t="shared" si="935"/>
        <v>0</v>
      </c>
      <c r="CH96" s="189">
        <f t="shared" si="935"/>
        <v>0</v>
      </c>
      <c r="CI96" s="189">
        <f t="shared" si="935"/>
        <v>0</v>
      </c>
      <c r="CJ96" s="189">
        <f t="shared" si="935"/>
        <v>0</v>
      </c>
      <c r="CK96" s="189">
        <f t="shared" si="935"/>
        <v>0</v>
      </c>
      <c r="CL96" s="189">
        <f t="shared" si="935"/>
        <v>0</v>
      </c>
      <c r="CM96" s="189">
        <f t="shared" si="935"/>
        <v>0</v>
      </c>
      <c r="CN96" s="189">
        <f t="shared" si="935"/>
        <v>0</v>
      </c>
      <c r="CO96" s="189">
        <f t="shared" si="935"/>
        <v>0</v>
      </c>
      <c r="CP96" s="189">
        <f t="shared" si="935"/>
        <v>0</v>
      </c>
      <c r="CQ96" s="189">
        <f t="shared" si="935"/>
        <v>0</v>
      </c>
      <c r="CR96" s="189">
        <f t="shared" si="935"/>
        <v>0</v>
      </c>
      <c r="CS96" s="189">
        <f t="shared" si="935"/>
        <v>0</v>
      </c>
      <c r="CT96" s="189">
        <f t="shared" si="935"/>
        <v>0</v>
      </c>
      <c r="CU96" s="189">
        <f t="shared" si="935"/>
        <v>0</v>
      </c>
      <c r="CV96" s="189">
        <f t="shared" si="935"/>
        <v>0</v>
      </c>
      <c r="CW96" s="189">
        <f t="shared" si="935"/>
        <v>0</v>
      </c>
      <c r="CX96" s="189">
        <f t="shared" si="935"/>
        <v>0</v>
      </c>
      <c r="CY96" s="189">
        <f t="shared" si="935"/>
        <v>0</v>
      </c>
      <c r="CZ96" s="189">
        <f t="shared" si="935"/>
        <v>0</v>
      </c>
      <c r="DA96" s="189">
        <f t="shared" si="935"/>
        <v>0</v>
      </c>
      <c r="DB96" s="189">
        <f t="shared" si="935"/>
        <v>0</v>
      </c>
      <c r="DC96" s="189">
        <f t="shared" si="935"/>
        <v>0</v>
      </c>
      <c r="DD96" s="189">
        <f t="shared" si="935"/>
        <v>0</v>
      </c>
      <c r="DE96" s="189">
        <f t="shared" si="935"/>
        <v>0</v>
      </c>
      <c r="DF96" s="189">
        <f t="shared" si="935"/>
        <v>0</v>
      </c>
      <c r="DG96" s="189">
        <f t="shared" si="935"/>
        <v>0</v>
      </c>
      <c r="DH96" s="189">
        <f t="shared" si="935"/>
        <v>0</v>
      </c>
      <c r="DI96" s="189">
        <f t="shared" si="935"/>
        <v>0</v>
      </c>
      <c r="DJ96" s="189">
        <f t="shared" si="935"/>
        <v>0</v>
      </c>
      <c r="DK96" s="189">
        <f t="shared" si="935"/>
        <v>0</v>
      </c>
      <c r="DL96" s="189">
        <f t="shared" si="935"/>
        <v>0</v>
      </c>
      <c r="DM96" s="189">
        <f t="shared" si="935"/>
        <v>0</v>
      </c>
      <c r="DN96" s="189">
        <f t="shared" si="935"/>
        <v>0</v>
      </c>
      <c r="DO96" s="189">
        <f t="shared" si="935"/>
        <v>0</v>
      </c>
      <c r="DP96" s="189">
        <f t="shared" si="935"/>
        <v>0</v>
      </c>
      <c r="DQ96" s="189">
        <f t="shared" si="935"/>
        <v>0</v>
      </c>
      <c r="DR96" s="189">
        <f t="shared" si="935"/>
        <v>0</v>
      </c>
      <c r="DS96" s="189">
        <f t="shared" si="935"/>
        <v>0</v>
      </c>
      <c r="DT96" s="189">
        <f t="shared" si="935"/>
        <v>0</v>
      </c>
      <c r="DU96" s="189">
        <f t="shared" si="935"/>
        <v>0</v>
      </c>
      <c r="DV96" s="189">
        <f t="shared" si="935"/>
        <v>0</v>
      </c>
      <c r="DW96" s="189">
        <f t="shared" si="935"/>
        <v>0</v>
      </c>
      <c r="DX96" s="189">
        <f t="shared" si="935"/>
        <v>0</v>
      </c>
      <c r="DY96" s="189">
        <f t="shared" si="935"/>
        <v>0</v>
      </c>
      <c r="DZ96" s="189">
        <f t="shared" si="935"/>
        <v>0</v>
      </c>
      <c r="EA96" s="189">
        <f t="shared" si="935"/>
        <v>0</v>
      </c>
      <c r="EB96" s="189">
        <f t="shared" si="935"/>
        <v>0</v>
      </c>
      <c r="EC96" s="189">
        <f t="shared" si="935"/>
        <v>0</v>
      </c>
      <c r="ED96" s="189">
        <f t="shared" ref="ED96:GO96" si="936">(IF(ED81&lt;$C83,0,IF(ED81=$C83,$C96,0)))</f>
        <v>0</v>
      </c>
      <c r="EE96" s="189">
        <f t="shared" si="936"/>
        <v>0</v>
      </c>
      <c r="EF96" s="189">
        <f t="shared" si="936"/>
        <v>0</v>
      </c>
      <c r="EG96" s="189">
        <f t="shared" si="936"/>
        <v>0</v>
      </c>
      <c r="EH96" s="189">
        <f t="shared" si="936"/>
        <v>0</v>
      </c>
      <c r="EI96" s="189">
        <f t="shared" si="936"/>
        <v>0</v>
      </c>
      <c r="EJ96" s="189">
        <f t="shared" si="936"/>
        <v>0</v>
      </c>
      <c r="EK96" s="189">
        <f t="shared" si="936"/>
        <v>0</v>
      </c>
      <c r="EL96" s="189">
        <f t="shared" si="936"/>
        <v>0</v>
      </c>
      <c r="EM96" s="189">
        <f t="shared" si="936"/>
        <v>0</v>
      </c>
      <c r="EN96" s="189">
        <f t="shared" si="936"/>
        <v>0</v>
      </c>
      <c r="EO96" s="189">
        <f t="shared" si="936"/>
        <v>0</v>
      </c>
      <c r="EP96" s="189">
        <f t="shared" si="936"/>
        <v>0</v>
      </c>
      <c r="EQ96" s="189">
        <f t="shared" si="936"/>
        <v>0</v>
      </c>
      <c r="ER96" s="189">
        <f t="shared" si="936"/>
        <v>0</v>
      </c>
      <c r="ES96" s="189">
        <f t="shared" si="936"/>
        <v>0</v>
      </c>
      <c r="ET96" s="189">
        <f t="shared" si="936"/>
        <v>0</v>
      </c>
      <c r="EU96" s="189">
        <f t="shared" si="936"/>
        <v>0</v>
      </c>
      <c r="EV96" s="189">
        <f t="shared" si="936"/>
        <v>0</v>
      </c>
      <c r="EW96" s="189">
        <f t="shared" si="936"/>
        <v>0</v>
      </c>
      <c r="EX96" s="189">
        <f t="shared" si="936"/>
        <v>0</v>
      </c>
      <c r="EY96" s="189">
        <f t="shared" si="936"/>
        <v>0</v>
      </c>
      <c r="EZ96" s="189">
        <f t="shared" si="936"/>
        <v>0</v>
      </c>
      <c r="FA96" s="189">
        <f t="shared" si="936"/>
        <v>0</v>
      </c>
      <c r="FB96" s="189">
        <f t="shared" si="936"/>
        <v>0</v>
      </c>
      <c r="FC96" s="189">
        <f t="shared" si="936"/>
        <v>0</v>
      </c>
      <c r="FD96" s="189">
        <f t="shared" si="936"/>
        <v>0</v>
      </c>
      <c r="FE96" s="189">
        <f t="shared" si="936"/>
        <v>0</v>
      </c>
      <c r="FF96" s="189">
        <f t="shared" si="936"/>
        <v>0</v>
      </c>
      <c r="FG96" s="189">
        <f t="shared" si="936"/>
        <v>0</v>
      </c>
      <c r="FH96" s="189">
        <f t="shared" si="936"/>
        <v>0</v>
      </c>
      <c r="FI96" s="189">
        <f t="shared" si="936"/>
        <v>0</v>
      </c>
      <c r="FJ96" s="189">
        <f t="shared" si="936"/>
        <v>0</v>
      </c>
      <c r="FK96" s="189">
        <f t="shared" si="936"/>
        <v>0</v>
      </c>
      <c r="FL96" s="189">
        <f t="shared" si="936"/>
        <v>0</v>
      </c>
      <c r="FM96" s="189">
        <f t="shared" si="936"/>
        <v>0</v>
      </c>
      <c r="FN96" s="189">
        <f t="shared" si="936"/>
        <v>0</v>
      </c>
      <c r="FO96" s="189">
        <f t="shared" si="936"/>
        <v>0</v>
      </c>
      <c r="FP96" s="189">
        <f t="shared" si="936"/>
        <v>0</v>
      </c>
      <c r="FQ96" s="189">
        <f t="shared" si="936"/>
        <v>0</v>
      </c>
      <c r="FR96" s="189">
        <f t="shared" si="936"/>
        <v>0</v>
      </c>
      <c r="FS96" s="189">
        <f t="shared" si="936"/>
        <v>0</v>
      </c>
      <c r="FT96" s="189">
        <f t="shared" si="936"/>
        <v>0</v>
      </c>
      <c r="FU96" s="189">
        <f t="shared" si="936"/>
        <v>0</v>
      </c>
      <c r="FV96" s="189">
        <f t="shared" si="936"/>
        <v>0</v>
      </c>
      <c r="FW96" s="189">
        <f t="shared" si="936"/>
        <v>0</v>
      </c>
      <c r="FX96" s="189">
        <f t="shared" si="936"/>
        <v>0</v>
      </c>
      <c r="FY96" s="189">
        <f t="shared" si="936"/>
        <v>0</v>
      </c>
      <c r="FZ96" s="189">
        <f t="shared" si="936"/>
        <v>0</v>
      </c>
      <c r="GA96" s="189">
        <f t="shared" si="936"/>
        <v>0</v>
      </c>
      <c r="GB96" s="189">
        <f t="shared" si="936"/>
        <v>0</v>
      </c>
      <c r="GC96" s="189">
        <f t="shared" si="936"/>
        <v>0</v>
      </c>
      <c r="GD96" s="189">
        <f t="shared" si="936"/>
        <v>0</v>
      </c>
      <c r="GE96" s="189">
        <f t="shared" si="936"/>
        <v>0</v>
      </c>
      <c r="GF96" s="189">
        <f t="shared" si="936"/>
        <v>0</v>
      </c>
      <c r="GG96" s="189">
        <f t="shared" si="936"/>
        <v>0</v>
      </c>
      <c r="GH96" s="189">
        <f t="shared" si="936"/>
        <v>0</v>
      </c>
      <c r="GI96" s="189">
        <f t="shared" si="936"/>
        <v>0</v>
      </c>
      <c r="GJ96" s="189">
        <f t="shared" si="936"/>
        <v>0</v>
      </c>
      <c r="GK96" s="189">
        <f t="shared" si="936"/>
        <v>0</v>
      </c>
      <c r="GL96" s="189">
        <f t="shared" si="936"/>
        <v>0</v>
      </c>
      <c r="GM96" s="189">
        <f t="shared" si="936"/>
        <v>0</v>
      </c>
      <c r="GN96" s="189">
        <f t="shared" si="936"/>
        <v>0</v>
      </c>
      <c r="GO96" s="189">
        <f t="shared" si="936"/>
        <v>0</v>
      </c>
      <c r="GP96" s="189">
        <f t="shared" ref="GP96:GQ96" si="937">(IF(GP81&lt;$C83,0,IF(GP81=$C83,$C96,0)))</f>
        <v>0</v>
      </c>
      <c r="GQ96" s="189">
        <f t="shared" si="937"/>
        <v>0</v>
      </c>
    </row>
    <row r="97" spans="2:199" hidden="1" outlineLevel="1">
      <c r="B97" s="190" t="s">
        <v>395</v>
      </c>
      <c r="C97" s="164"/>
      <c r="D97" s="191"/>
      <c r="E97" s="191">
        <f>SUM(E95:E96,-D102)*(E105-1)</f>
        <v>0</v>
      </c>
      <c r="F97" s="191">
        <f t="shared" ref="F97" si="938">SUM(F95:F96,-E102)*(F105-1)</f>
        <v>0</v>
      </c>
      <c r="G97" s="191">
        <f t="shared" ref="G97" si="939">SUM(G95:G96,-F102)*(G105-1)</f>
        <v>0</v>
      </c>
      <c r="H97" s="191">
        <f t="shared" ref="H97" si="940">SUM(H95:H96,-G102)*(H105-1)</f>
        <v>0</v>
      </c>
      <c r="I97" s="191">
        <f t="shared" ref="I97" si="941">SUM(I95:I96,-H102)*(I105-1)</f>
        <v>0</v>
      </c>
      <c r="J97" s="191">
        <f t="shared" ref="J97" si="942">SUM(J95:J96,-I102)*(J105-1)</f>
        <v>0</v>
      </c>
      <c r="K97" s="191">
        <f t="shared" ref="K97" si="943">SUM(K95:K96,-J102)*(K105-1)</f>
        <v>0</v>
      </c>
      <c r="L97" s="191">
        <f t="shared" ref="L97" si="944">SUM(L95:L96,-K102)*(L105-1)</f>
        <v>0</v>
      </c>
      <c r="M97" s="191">
        <f t="shared" ref="M97" si="945">SUM(M95:M96,-L102)*(M105-1)</f>
        <v>0</v>
      </c>
      <c r="N97" s="191">
        <f t="shared" ref="N97" si="946">SUM(N95:N96,-M102)*(N105-1)</f>
        <v>0</v>
      </c>
      <c r="O97" s="191">
        <f t="shared" ref="O97" si="947">SUM(O95:O96,-N102)*(O105-1)</f>
        <v>0</v>
      </c>
      <c r="P97" s="191">
        <f t="shared" ref="P97" si="948">SUM(P95:P96,-O102)*(P105-1)</f>
        <v>0</v>
      </c>
      <c r="Q97" s="191">
        <f t="shared" ref="Q97" si="949">SUM(Q95:Q96,-P102)*(Q105-1)</f>
        <v>0</v>
      </c>
      <c r="R97" s="191">
        <f t="shared" ref="R97" si="950">SUM(R95:R96,-Q102)*(R105-1)</f>
        <v>0</v>
      </c>
      <c r="S97" s="191">
        <f t="shared" ref="S97" si="951">SUM(S95:S96,-R102)*(S105-1)</f>
        <v>0</v>
      </c>
      <c r="T97" s="191">
        <f t="shared" ref="T97" si="952">SUM(T95:T96,-S102)*(T105-1)</f>
        <v>0</v>
      </c>
      <c r="U97" s="191">
        <f t="shared" ref="U97" si="953">SUM(U95:U96,-T102)*(U105-1)</f>
        <v>0</v>
      </c>
      <c r="V97" s="191">
        <f t="shared" ref="V97" si="954">SUM(V95:V96,-U102)*(V105-1)</f>
        <v>0</v>
      </c>
      <c r="W97" s="191">
        <f t="shared" ref="W97" si="955">SUM(W95:W96,-V102)*(W105-1)</f>
        <v>0</v>
      </c>
      <c r="X97" s="191">
        <f t="shared" ref="X97" si="956">SUM(X95:X96,-W102)*(X105-1)</f>
        <v>0</v>
      </c>
      <c r="Y97" s="191">
        <f t="shared" ref="Y97" si="957">SUM(Y95:Y96,-X102)*(Y105-1)</f>
        <v>0</v>
      </c>
      <c r="Z97" s="191">
        <f t="shared" ref="Z97" si="958">SUM(Z95:Z96,-Y102)*(Z105-1)</f>
        <v>0</v>
      </c>
      <c r="AA97" s="191">
        <f t="shared" ref="AA97" si="959">SUM(AA95:AA96,-Z102)*(AA105-1)</f>
        <v>0</v>
      </c>
      <c r="AB97" s="191">
        <f t="shared" ref="AB97" si="960">SUM(AB95:AB96,-AA102)*(AB105-1)</f>
        <v>0</v>
      </c>
      <c r="AC97" s="191">
        <f t="shared" ref="AC97" si="961">SUM(AC95:AC96,-AB102)*(AC105-1)</f>
        <v>0</v>
      </c>
      <c r="AD97" s="191">
        <f t="shared" ref="AD97" si="962">SUM(AD95:AD96,-AC102)*(AD105-1)</f>
        <v>0</v>
      </c>
      <c r="AE97" s="191">
        <f t="shared" ref="AE97" si="963">SUM(AE95:AE96,-AD102)*(AE105-1)</f>
        <v>0</v>
      </c>
      <c r="AF97" s="191">
        <f t="shared" ref="AF97" si="964">SUM(AF95:AF96,-AE102)*(AF105-1)</f>
        <v>0</v>
      </c>
      <c r="AG97" s="191">
        <f t="shared" ref="AG97" si="965">SUM(AG95:AG96,-AF102)*(AG105-1)</f>
        <v>0</v>
      </c>
      <c r="AH97" s="191">
        <f t="shared" ref="AH97" si="966">SUM(AH95:AH96,-AG102)*(AH105-1)</f>
        <v>0</v>
      </c>
      <c r="AI97" s="191">
        <f t="shared" ref="AI97" si="967">SUM(AI95:AI96,-AH102)*(AI105-1)</f>
        <v>0</v>
      </c>
      <c r="AJ97" s="191">
        <f t="shared" ref="AJ97" si="968">SUM(AJ95:AJ96,-AI102)*(AJ105-1)</f>
        <v>0</v>
      </c>
      <c r="AK97" s="191">
        <f t="shared" ref="AK97" si="969">SUM(AK95:AK96,-AJ102)*(AK105-1)</f>
        <v>0</v>
      </c>
      <c r="AL97" s="191">
        <f t="shared" ref="AL97" si="970">SUM(AL95:AL96,-AK102)*(AL105-1)</f>
        <v>0</v>
      </c>
      <c r="AM97" s="191">
        <f t="shared" ref="AM97" si="971">SUM(AM95:AM96,-AL102)*(AM105-1)</f>
        <v>0</v>
      </c>
      <c r="AN97" s="191">
        <f t="shared" ref="AN97" si="972">SUM(AN95:AN96,-AM102)*(AN105-1)</f>
        <v>0</v>
      </c>
      <c r="AO97" s="191">
        <f t="shared" ref="AO97" si="973">SUM(AO95:AO96,-AN102)*(AO105-1)</f>
        <v>0</v>
      </c>
      <c r="AP97" s="191">
        <f t="shared" ref="AP97" si="974">SUM(AP95:AP96,-AO102)*(AP105-1)</f>
        <v>0</v>
      </c>
      <c r="AQ97" s="191">
        <f t="shared" ref="AQ97" si="975">SUM(AQ95:AQ96,-AP102)*(AQ105-1)</f>
        <v>0</v>
      </c>
      <c r="AR97" s="191">
        <f t="shared" ref="AR97" si="976">SUM(AR95:AR96,-AQ102)*(AR105-1)</f>
        <v>0</v>
      </c>
      <c r="AS97" s="191">
        <f t="shared" ref="AS97" si="977">SUM(AS95:AS96,-AR102)*(AS105-1)</f>
        <v>0</v>
      </c>
      <c r="AT97" s="191">
        <f t="shared" ref="AT97" si="978">SUM(AT95:AT96,-AS102)*(AT105-1)</f>
        <v>0</v>
      </c>
      <c r="AU97" s="191">
        <f t="shared" ref="AU97" si="979">SUM(AU95:AU96,-AT102)*(AU105-1)</f>
        <v>0</v>
      </c>
      <c r="AV97" s="191">
        <f t="shared" ref="AV97" si="980">SUM(AV95:AV96,-AU102)*(AV105-1)</f>
        <v>0</v>
      </c>
      <c r="AW97" s="191">
        <f t="shared" ref="AW97" si="981">SUM(AW95:AW96,-AV102)*(AW105-1)</f>
        <v>0</v>
      </c>
      <c r="AX97" s="191">
        <f t="shared" ref="AX97" si="982">SUM(AX95:AX96,-AW102)*(AX105-1)</f>
        <v>0</v>
      </c>
      <c r="AY97" s="191">
        <f t="shared" ref="AY97" si="983">SUM(AY95:AY96,-AX102)*(AY105-1)</f>
        <v>0</v>
      </c>
      <c r="AZ97" s="191">
        <f t="shared" ref="AZ97" si="984">SUM(AZ95:AZ96,-AY102)*(AZ105-1)</f>
        <v>0</v>
      </c>
      <c r="BA97" s="191">
        <f t="shared" ref="BA97" si="985">SUM(BA95:BA96,-AZ102)*(BA105-1)</f>
        <v>0</v>
      </c>
      <c r="BB97" s="191">
        <f t="shared" ref="BB97" si="986">SUM(BB95:BB96,-BA102)*(BB105-1)</f>
        <v>0</v>
      </c>
      <c r="BC97" s="191">
        <f t="shared" ref="BC97" si="987">SUM(BC95:BC96,-BB102)*(BC105-1)</f>
        <v>0</v>
      </c>
      <c r="BD97" s="191">
        <f t="shared" ref="BD97" si="988">SUM(BD95:BD96,-BC102)*(BD105-1)</f>
        <v>0</v>
      </c>
      <c r="BE97" s="191">
        <f t="shared" ref="BE97" si="989">SUM(BE95:BE96,-BD102)*(BE105-1)</f>
        <v>0</v>
      </c>
      <c r="BF97" s="191">
        <f t="shared" ref="BF97" si="990">SUM(BF95:BF96,-BE102)*(BF105-1)</f>
        <v>0</v>
      </c>
      <c r="BG97" s="191">
        <f t="shared" ref="BG97" si="991">SUM(BG95:BG96,-BF102)*(BG105-1)</f>
        <v>0</v>
      </c>
      <c r="BH97" s="191">
        <f t="shared" ref="BH97" si="992">SUM(BH95:BH96,-BG102)*(BH105-1)</f>
        <v>0</v>
      </c>
      <c r="BI97" s="191">
        <f t="shared" ref="BI97" si="993">SUM(BI95:BI96,-BH102)*(BI105-1)</f>
        <v>0</v>
      </c>
      <c r="BJ97" s="191">
        <f t="shared" ref="BJ97" si="994">SUM(BJ95:BJ96,-BI102)*(BJ105-1)</f>
        <v>0</v>
      </c>
      <c r="BK97" s="191">
        <f t="shared" ref="BK97" si="995">SUM(BK95:BK96,-BJ102)*(BK105-1)</f>
        <v>0</v>
      </c>
      <c r="BL97" s="191">
        <f t="shared" ref="BL97" si="996">SUM(BL95:BL96,-BK102)*(BL105-1)</f>
        <v>0</v>
      </c>
      <c r="BM97" s="191">
        <f t="shared" ref="BM97" si="997">SUM(BM95:BM96,-BL102)*(BM105-1)</f>
        <v>0</v>
      </c>
      <c r="BN97" s="191">
        <f t="shared" ref="BN97" si="998">SUM(BN95:BN96,-BM102)*(BN105-1)</f>
        <v>0</v>
      </c>
      <c r="BO97" s="191">
        <f t="shared" ref="BO97" si="999">SUM(BO95:BO96,-BN102)*(BO105-1)</f>
        <v>0</v>
      </c>
      <c r="BP97" s="191">
        <f t="shared" ref="BP97" si="1000">SUM(BP95:BP96,-BO102)*(BP105-1)</f>
        <v>0</v>
      </c>
      <c r="BQ97" s="191">
        <f t="shared" ref="BQ97" si="1001">SUM(BQ95:BQ96,-BP102)*(BQ105-1)</f>
        <v>0</v>
      </c>
      <c r="BR97" s="191">
        <f t="shared" ref="BR97" si="1002">SUM(BR95:BR96,-BQ102)*(BR105-1)</f>
        <v>0</v>
      </c>
      <c r="BS97" s="191">
        <f t="shared" ref="BS97" si="1003">SUM(BS95:BS96,-BR102)*(BS105-1)</f>
        <v>0</v>
      </c>
      <c r="BT97" s="191">
        <f t="shared" ref="BT97" si="1004">SUM(BT95:BT96,-BS102)*(BT105-1)</f>
        <v>0</v>
      </c>
      <c r="BU97" s="191">
        <f t="shared" ref="BU97" si="1005">SUM(BU95:BU96,-BT102)*(BU105-1)</f>
        <v>0</v>
      </c>
      <c r="BV97" s="191">
        <f t="shared" ref="BV97" si="1006">SUM(BV95:BV96,-BU102)*(BV105-1)</f>
        <v>0</v>
      </c>
      <c r="BW97" s="191">
        <f t="shared" ref="BW97" si="1007">SUM(BW95:BW96,-BV102)*(BW105-1)</f>
        <v>0</v>
      </c>
      <c r="BX97" s="191">
        <f t="shared" ref="BX97" si="1008">SUM(BX95:BX96,-BW102)*(BX105-1)</f>
        <v>0</v>
      </c>
      <c r="BY97" s="191">
        <f t="shared" ref="BY97" si="1009">SUM(BY95:BY96,-BX102)*(BY105-1)</f>
        <v>0</v>
      </c>
      <c r="BZ97" s="191">
        <f t="shared" ref="BZ97" si="1010">SUM(BZ95:BZ96,-BY102)*(BZ105-1)</f>
        <v>0</v>
      </c>
      <c r="CA97" s="191">
        <f t="shared" ref="CA97" si="1011">SUM(CA95:CA96,-BZ102)*(CA105-1)</f>
        <v>0</v>
      </c>
      <c r="CB97" s="191">
        <f t="shared" ref="CB97" si="1012">SUM(CB95:CB96,-CA102)*(CB105-1)</f>
        <v>0</v>
      </c>
      <c r="CC97" s="191">
        <f t="shared" ref="CC97" si="1013">SUM(CC95:CC96,-CB102)*(CC105-1)</f>
        <v>0</v>
      </c>
      <c r="CD97" s="191">
        <f t="shared" ref="CD97" si="1014">SUM(CD95:CD96,-CC102)*(CD105-1)</f>
        <v>0</v>
      </c>
      <c r="CE97" s="191">
        <f t="shared" ref="CE97" si="1015">SUM(CE95:CE96,-CD102)*(CE105-1)</f>
        <v>0</v>
      </c>
      <c r="CF97" s="191">
        <f t="shared" ref="CF97" si="1016">SUM(CF95:CF96,-CE102)*(CF105-1)</f>
        <v>0</v>
      </c>
      <c r="CG97" s="191">
        <f t="shared" ref="CG97" si="1017">SUM(CG95:CG96,-CF102)*(CG105-1)</f>
        <v>0</v>
      </c>
      <c r="CH97" s="191">
        <f t="shared" ref="CH97" si="1018">SUM(CH95:CH96,-CG102)*(CH105-1)</f>
        <v>0</v>
      </c>
      <c r="CI97" s="191">
        <f t="shared" ref="CI97" si="1019">SUM(CI95:CI96,-CH102)*(CI105-1)</f>
        <v>0</v>
      </c>
      <c r="CJ97" s="191">
        <f t="shared" ref="CJ97" si="1020">SUM(CJ95:CJ96,-CI102)*(CJ105-1)</f>
        <v>0</v>
      </c>
      <c r="CK97" s="191">
        <f t="shared" ref="CK97" si="1021">SUM(CK95:CK96,-CJ102)*(CK105-1)</f>
        <v>0</v>
      </c>
      <c r="CL97" s="191">
        <f t="shared" ref="CL97" si="1022">SUM(CL95:CL96,-CK102)*(CL105-1)</f>
        <v>0</v>
      </c>
      <c r="CM97" s="191">
        <f t="shared" ref="CM97" si="1023">SUM(CM95:CM96,-CL102)*(CM105-1)</f>
        <v>0</v>
      </c>
      <c r="CN97" s="191">
        <f t="shared" ref="CN97" si="1024">SUM(CN95:CN96,-CM102)*(CN105-1)</f>
        <v>0</v>
      </c>
      <c r="CO97" s="191">
        <f t="shared" ref="CO97" si="1025">SUM(CO95:CO96,-CN102)*(CO105-1)</f>
        <v>0</v>
      </c>
      <c r="CP97" s="191">
        <f t="shared" ref="CP97" si="1026">SUM(CP95:CP96,-CO102)*(CP105-1)</f>
        <v>0</v>
      </c>
      <c r="CQ97" s="191">
        <f t="shared" ref="CQ97" si="1027">SUM(CQ95:CQ96,-CP102)*(CQ105-1)</f>
        <v>0</v>
      </c>
      <c r="CR97" s="191">
        <f t="shared" ref="CR97" si="1028">SUM(CR95:CR96,-CQ102)*(CR105-1)</f>
        <v>0</v>
      </c>
      <c r="CS97" s="191">
        <f t="shared" ref="CS97" si="1029">SUM(CS95:CS96,-CR102)*(CS105-1)</f>
        <v>0</v>
      </c>
      <c r="CT97" s="191">
        <f t="shared" ref="CT97" si="1030">SUM(CT95:CT96,-CS102)*(CT105-1)</f>
        <v>0</v>
      </c>
      <c r="CU97" s="191">
        <f t="shared" ref="CU97" si="1031">SUM(CU95:CU96,-CT102)*(CU105-1)</f>
        <v>0</v>
      </c>
      <c r="CV97" s="191">
        <f t="shared" ref="CV97" si="1032">SUM(CV95:CV96,-CU102)*(CV105-1)</f>
        <v>0</v>
      </c>
      <c r="CW97" s="191">
        <f t="shared" ref="CW97" si="1033">SUM(CW95:CW96,-CV102)*(CW105-1)</f>
        <v>0</v>
      </c>
      <c r="CX97" s="191">
        <f t="shared" ref="CX97" si="1034">SUM(CX95:CX96,-CW102)*(CX105-1)</f>
        <v>0</v>
      </c>
      <c r="CY97" s="191">
        <f t="shared" ref="CY97" si="1035">SUM(CY95:CY96,-CX102)*(CY105-1)</f>
        <v>0</v>
      </c>
      <c r="CZ97" s="191">
        <f t="shared" ref="CZ97" si="1036">SUM(CZ95:CZ96,-CY102)*(CZ105-1)</f>
        <v>0</v>
      </c>
      <c r="DA97" s="191">
        <f t="shared" ref="DA97" si="1037">SUM(DA95:DA96,-CZ102)*(DA105-1)</f>
        <v>0</v>
      </c>
      <c r="DB97" s="191">
        <f t="shared" ref="DB97" si="1038">SUM(DB95:DB96,-DA102)*(DB105-1)</f>
        <v>0</v>
      </c>
      <c r="DC97" s="191">
        <f t="shared" ref="DC97" si="1039">SUM(DC95:DC96,-DB102)*(DC105-1)</f>
        <v>0</v>
      </c>
      <c r="DD97" s="191">
        <f t="shared" ref="DD97" si="1040">SUM(DD95:DD96,-DC102)*(DD105-1)</f>
        <v>0</v>
      </c>
      <c r="DE97" s="191">
        <f t="shared" ref="DE97" si="1041">SUM(DE95:DE96,-DD102)*(DE105-1)</f>
        <v>0</v>
      </c>
      <c r="DF97" s="191">
        <f t="shared" ref="DF97" si="1042">SUM(DF95:DF96,-DE102)*(DF105-1)</f>
        <v>0</v>
      </c>
      <c r="DG97" s="191">
        <f t="shared" ref="DG97" si="1043">SUM(DG95:DG96,-DF102)*(DG105-1)</f>
        <v>0</v>
      </c>
      <c r="DH97" s="191">
        <f t="shared" ref="DH97" si="1044">SUM(DH95:DH96,-DG102)*(DH105-1)</f>
        <v>0</v>
      </c>
      <c r="DI97" s="191">
        <f t="shared" ref="DI97" si="1045">SUM(DI95:DI96,-DH102)*(DI105-1)</f>
        <v>0</v>
      </c>
      <c r="DJ97" s="191">
        <f t="shared" ref="DJ97" si="1046">SUM(DJ95:DJ96,-DI102)*(DJ105-1)</f>
        <v>0</v>
      </c>
      <c r="DK97" s="191">
        <f t="shared" ref="DK97" si="1047">SUM(DK95:DK96,-DJ102)*(DK105-1)</f>
        <v>0</v>
      </c>
      <c r="DL97" s="191">
        <f t="shared" ref="DL97" si="1048">SUM(DL95:DL96,-DK102)*(DL105-1)</f>
        <v>0</v>
      </c>
      <c r="DM97" s="191">
        <f t="shared" ref="DM97" si="1049">SUM(DM95:DM96,-DL102)*(DM105-1)</f>
        <v>0</v>
      </c>
      <c r="DN97" s="191">
        <f t="shared" ref="DN97" si="1050">SUM(DN95:DN96,-DM102)*(DN105-1)</f>
        <v>0</v>
      </c>
      <c r="DO97" s="191">
        <f t="shared" ref="DO97" si="1051">SUM(DO95:DO96,-DN102)*(DO105-1)</f>
        <v>0</v>
      </c>
      <c r="DP97" s="191">
        <f t="shared" ref="DP97" si="1052">SUM(DP95:DP96,-DO102)*(DP105-1)</f>
        <v>0</v>
      </c>
      <c r="DQ97" s="191">
        <f t="shared" ref="DQ97" si="1053">SUM(DQ95:DQ96,-DP102)*(DQ105-1)</f>
        <v>0</v>
      </c>
      <c r="DR97" s="191">
        <f t="shared" ref="DR97" si="1054">SUM(DR95:DR96,-DQ102)*(DR105-1)</f>
        <v>0</v>
      </c>
      <c r="DS97" s="191">
        <f t="shared" ref="DS97" si="1055">SUM(DS95:DS96,-DR102)*(DS105-1)</f>
        <v>0</v>
      </c>
      <c r="DT97" s="191">
        <f t="shared" ref="DT97" si="1056">SUM(DT95:DT96,-DS102)*(DT105-1)</f>
        <v>0</v>
      </c>
      <c r="DU97" s="191">
        <f t="shared" ref="DU97" si="1057">SUM(DU95:DU96,-DT102)*(DU105-1)</f>
        <v>0</v>
      </c>
      <c r="DV97" s="191">
        <f t="shared" ref="DV97" si="1058">SUM(DV95:DV96,-DU102)*(DV105-1)</f>
        <v>0</v>
      </c>
      <c r="DW97" s="191">
        <f t="shared" ref="DW97" si="1059">SUM(DW95:DW96,-DV102)*(DW105-1)</f>
        <v>0</v>
      </c>
      <c r="DX97" s="191">
        <f t="shared" ref="DX97" si="1060">SUM(DX95:DX96,-DW102)*(DX105-1)</f>
        <v>0</v>
      </c>
      <c r="DY97" s="191">
        <f t="shared" ref="DY97" si="1061">SUM(DY95:DY96,-DX102)*(DY105-1)</f>
        <v>0</v>
      </c>
      <c r="DZ97" s="191">
        <f t="shared" ref="DZ97" si="1062">SUM(DZ95:DZ96,-DY102)*(DZ105-1)</f>
        <v>0</v>
      </c>
      <c r="EA97" s="191">
        <f t="shared" ref="EA97" si="1063">SUM(EA95:EA96,-DZ102)*(EA105-1)</f>
        <v>0</v>
      </c>
      <c r="EB97" s="191">
        <f t="shared" ref="EB97" si="1064">SUM(EB95:EB96,-EA102)*(EB105-1)</f>
        <v>0</v>
      </c>
      <c r="EC97" s="191">
        <f t="shared" ref="EC97" si="1065">SUM(EC95:EC96,-EB102)*(EC105-1)</f>
        <v>0</v>
      </c>
      <c r="ED97" s="191">
        <f t="shared" ref="ED97" si="1066">SUM(ED95:ED96,-EC102)*(ED105-1)</f>
        <v>0</v>
      </c>
      <c r="EE97" s="191">
        <f t="shared" ref="EE97" si="1067">SUM(EE95:EE96,-ED102)*(EE105-1)</f>
        <v>0</v>
      </c>
      <c r="EF97" s="191">
        <f t="shared" ref="EF97" si="1068">SUM(EF95:EF96,-EE102)*(EF105-1)</f>
        <v>0</v>
      </c>
      <c r="EG97" s="191">
        <f t="shared" ref="EG97" si="1069">SUM(EG95:EG96,-EF102)*(EG105-1)</f>
        <v>0</v>
      </c>
      <c r="EH97" s="191">
        <f t="shared" ref="EH97" si="1070">SUM(EH95:EH96,-EG102)*(EH105-1)</f>
        <v>0</v>
      </c>
      <c r="EI97" s="191">
        <f t="shared" ref="EI97" si="1071">SUM(EI95:EI96,-EH102)*(EI105-1)</f>
        <v>0</v>
      </c>
      <c r="EJ97" s="191">
        <f t="shared" ref="EJ97" si="1072">SUM(EJ95:EJ96,-EI102)*(EJ105-1)</f>
        <v>0</v>
      </c>
      <c r="EK97" s="191">
        <f t="shared" ref="EK97" si="1073">SUM(EK95:EK96,-EJ102)*(EK105-1)</f>
        <v>0</v>
      </c>
      <c r="EL97" s="191">
        <f t="shared" ref="EL97" si="1074">SUM(EL95:EL96,-EK102)*(EL105-1)</f>
        <v>0</v>
      </c>
      <c r="EM97" s="191">
        <f t="shared" ref="EM97" si="1075">SUM(EM95:EM96,-EL102)*(EM105-1)</f>
        <v>0</v>
      </c>
      <c r="EN97" s="191">
        <f t="shared" ref="EN97" si="1076">SUM(EN95:EN96,-EM102)*(EN105-1)</f>
        <v>0</v>
      </c>
      <c r="EO97" s="191">
        <f t="shared" ref="EO97" si="1077">SUM(EO95:EO96,-EN102)*(EO105-1)</f>
        <v>0</v>
      </c>
      <c r="EP97" s="191">
        <f t="shared" ref="EP97" si="1078">SUM(EP95:EP96,-EO102)*(EP105-1)</f>
        <v>0</v>
      </c>
      <c r="EQ97" s="191">
        <f t="shared" ref="EQ97" si="1079">SUM(EQ95:EQ96,-EP102)*(EQ105-1)</f>
        <v>0</v>
      </c>
      <c r="ER97" s="191">
        <f t="shared" ref="ER97" si="1080">SUM(ER95:ER96,-EQ102)*(ER105-1)</f>
        <v>0</v>
      </c>
      <c r="ES97" s="191">
        <f t="shared" ref="ES97" si="1081">SUM(ES95:ES96,-ER102)*(ES105-1)</f>
        <v>0</v>
      </c>
      <c r="ET97" s="191">
        <f t="shared" ref="ET97" si="1082">SUM(ET95:ET96,-ES102)*(ET105-1)</f>
        <v>0</v>
      </c>
      <c r="EU97" s="191">
        <f t="shared" ref="EU97" si="1083">SUM(EU95:EU96,-ET102)*(EU105-1)</f>
        <v>0</v>
      </c>
      <c r="EV97" s="191">
        <f t="shared" ref="EV97" si="1084">SUM(EV95:EV96,-EU102)*(EV105-1)</f>
        <v>0</v>
      </c>
      <c r="EW97" s="191">
        <f t="shared" ref="EW97" si="1085">SUM(EW95:EW96,-EV102)*(EW105-1)</f>
        <v>0</v>
      </c>
      <c r="EX97" s="191">
        <f t="shared" ref="EX97" si="1086">SUM(EX95:EX96,-EW102)*(EX105-1)</f>
        <v>0</v>
      </c>
      <c r="EY97" s="191">
        <f t="shared" ref="EY97" si="1087">SUM(EY95:EY96,-EX102)*(EY105-1)</f>
        <v>0</v>
      </c>
      <c r="EZ97" s="191">
        <f t="shared" ref="EZ97" si="1088">SUM(EZ95:EZ96,-EY102)*(EZ105-1)</f>
        <v>0</v>
      </c>
      <c r="FA97" s="191">
        <f t="shared" ref="FA97" si="1089">SUM(FA95:FA96,-EZ102)*(FA105-1)</f>
        <v>0</v>
      </c>
      <c r="FB97" s="191">
        <f t="shared" ref="FB97" si="1090">SUM(FB95:FB96,-FA102)*(FB105-1)</f>
        <v>0</v>
      </c>
      <c r="FC97" s="191">
        <f t="shared" ref="FC97" si="1091">SUM(FC95:FC96,-FB102)*(FC105-1)</f>
        <v>0</v>
      </c>
      <c r="FD97" s="191">
        <f t="shared" ref="FD97" si="1092">SUM(FD95:FD96,-FC102)*(FD105-1)</f>
        <v>0</v>
      </c>
      <c r="FE97" s="191">
        <f t="shared" ref="FE97" si="1093">SUM(FE95:FE96,-FD102)*(FE105-1)</f>
        <v>0</v>
      </c>
      <c r="FF97" s="191">
        <f t="shared" ref="FF97" si="1094">SUM(FF95:FF96,-FE102)*(FF105-1)</f>
        <v>0</v>
      </c>
      <c r="FG97" s="191">
        <f t="shared" ref="FG97" si="1095">SUM(FG95:FG96,-FF102)*(FG105-1)</f>
        <v>0</v>
      </c>
      <c r="FH97" s="191">
        <f t="shared" ref="FH97" si="1096">SUM(FH95:FH96,-FG102)*(FH105-1)</f>
        <v>0</v>
      </c>
      <c r="FI97" s="191">
        <f t="shared" ref="FI97" si="1097">SUM(FI95:FI96,-FH102)*(FI105-1)</f>
        <v>0</v>
      </c>
      <c r="FJ97" s="191">
        <f t="shared" ref="FJ97" si="1098">SUM(FJ95:FJ96,-FI102)*(FJ105-1)</f>
        <v>0</v>
      </c>
      <c r="FK97" s="191">
        <f t="shared" ref="FK97" si="1099">SUM(FK95:FK96,-FJ102)*(FK105-1)</f>
        <v>0</v>
      </c>
      <c r="FL97" s="191">
        <f t="shared" ref="FL97" si="1100">SUM(FL95:FL96,-FK102)*(FL105-1)</f>
        <v>0</v>
      </c>
      <c r="FM97" s="191">
        <f t="shared" ref="FM97" si="1101">SUM(FM95:FM96,-FL102)*(FM105-1)</f>
        <v>0</v>
      </c>
      <c r="FN97" s="191">
        <f t="shared" ref="FN97" si="1102">SUM(FN95:FN96,-FM102)*(FN105-1)</f>
        <v>0</v>
      </c>
      <c r="FO97" s="191">
        <f t="shared" ref="FO97" si="1103">SUM(FO95:FO96,-FN102)*(FO105-1)</f>
        <v>0</v>
      </c>
      <c r="FP97" s="191">
        <f t="shared" ref="FP97" si="1104">SUM(FP95:FP96,-FO102)*(FP105-1)</f>
        <v>0</v>
      </c>
      <c r="FQ97" s="191">
        <f t="shared" ref="FQ97" si="1105">SUM(FQ95:FQ96,-FP102)*(FQ105-1)</f>
        <v>0</v>
      </c>
      <c r="FR97" s="191">
        <f t="shared" ref="FR97" si="1106">SUM(FR95:FR96,-FQ102)*(FR105-1)</f>
        <v>0</v>
      </c>
      <c r="FS97" s="191">
        <f t="shared" ref="FS97" si="1107">SUM(FS95:FS96,-FR102)*(FS105-1)</f>
        <v>0</v>
      </c>
      <c r="FT97" s="191">
        <f t="shared" ref="FT97" si="1108">SUM(FT95:FT96,-FS102)*(FT105-1)</f>
        <v>0</v>
      </c>
      <c r="FU97" s="191">
        <f t="shared" ref="FU97" si="1109">SUM(FU95:FU96,-FT102)*(FU105-1)</f>
        <v>0</v>
      </c>
      <c r="FV97" s="191">
        <f t="shared" ref="FV97" si="1110">SUM(FV95:FV96,-FU102)*(FV105-1)</f>
        <v>0</v>
      </c>
      <c r="FW97" s="191">
        <f t="shared" ref="FW97" si="1111">SUM(FW95:FW96,-FV102)*(FW105-1)</f>
        <v>0</v>
      </c>
      <c r="FX97" s="191">
        <f t="shared" ref="FX97" si="1112">SUM(FX95:FX96,-FW102)*(FX105-1)</f>
        <v>0</v>
      </c>
      <c r="FY97" s="191">
        <f t="shared" ref="FY97" si="1113">SUM(FY95:FY96,-FX102)*(FY105-1)</f>
        <v>0</v>
      </c>
      <c r="FZ97" s="191">
        <f t="shared" ref="FZ97" si="1114">SUM(FZ95:FZ96,-FY102)*(FZ105-1)</f>
        <v>0</v>
      </c>
      <c r="GA97" s="191">
        <f t="shared" ref="GA97" si="1115">SUM(GA95:GA96,-FZ102)*(GA105-1)</f>
        <v>0</v>
      </c>
      <c r="GB97" s="191">
        <f t="shared" ref="GB97" si="1116">SUM(GB95:GB96,-GA102)*(GB105-1)</f>
        <v>0</v>
      </c>
      <c r="GC97" s="191">
        <f t="shared" ref="GC97" si="1117">SUM(GC95:GC96,-GB102)*(GC105-1)</f>
        <v>0</v>
      </c>
      <c r="GD97" s="191">
        <f t="shared" ref="GD97" si="1118">SUM(GD95:GD96,-GC102)*(GD105-1)</f>
        <v>0</v>
      </c>
      <c r="GE97" s="191">
        <f t="shared" ref="GE97" si="1119">SUM(GE95:GE96,-GD102)*(GE105-1)</f>
        <v>0</v>
      </c>
      <c r="GF97" s="191">
        <f t="shared" ref="GF97" si="1120">SUM(GF95:GF96,-GE102)*(GF105-1)</f>
        <v>0</v>
      </c>
      <c r="GG97" s="191">
        <f t="shared" ref="GG97" si="1121">SUM(GG95:GG96,-GF102)*(GG105-1)</f>
        <v>0</v>
      </c>
      <c r="GH97" s="191">
        <f t="shared" ref="GH97" si="1122">SUM(GH95:GH96,-GG102)*(GH105-1)</f>
        <v>0</v>
      </c>
      <c r="GI97" s="191">
        <f t="shared" ref="GI97" si="1123">SUM(GI95:GI96,-GH102)*(GI105-1)</f>
        <v>0</v>
      </c>
      <c r="GJ97" s="191">
        <f t="shared" ref="GJ97" si="1124">SUM(GJ95:GJ96,-GI102)*(GJ105-1)</f>
        <v>0</v>
      </c>
      <c r="GK97" s="191">
        <f t="shared" ref="GK97" si="1125">SUM(GK95:GK96,-GJ102)*(GK105-1)</f>
        <v>0</v>
      </c>
      <c r="GL97" s="191">
        <f t="shared" ref="GL97" si="1126">SUM(GL95:GL96,-GK102)*(GL105-1)</f>
        <v>0</v>
      </c>
      <c r="GM97" s="191">
        <f t="shared" ref="GM97" si="1127">SUM(GM95:GM96,-GL102)*(GM105-1)</f>
        <v>0</v>
      </c>
      <c r="GN97" s="191">
        <f t="shared" ref="GN97" si="1128">SUM(GN95:GN96,-GM102)*(GN105-1)</f>
        <v>0</v>
      </c>
      <c r="GO97" s="191">
        <f t="shared" ref="GO97" si="1129">SUM(GO95:GO96,-GN102)*(GO105-1)</f>
        <v>0</v>
      </c>
      <c r="GP97" s="191">
        <f t="shared" ref="GP97" si="1130">SUM(GP95:GP96,-GO102)*(GP105-1)</f>
        <v>0</v>
      </c>
      <c r="GQ97" s="191">
        <f t="shared" ref="GQ97" si="1131">SUM(GQ95:GQ96,-GP102)*(GQ105-1)</f>
        <v>0</v>
      </c>
    </row>
    <row r="98" spans="2:199" hidden="1" outlineLevel="1">
      <c r="B98" s="190" t="s">
        <v>390</v>
      </c>
      <c r="C98" s="192"/>
      <c r="D98" s="193"/>
      <c r="E98" s="193">
        <v>0</v>
      </c>
      <c r="F98" s="193">
        <f t="shared" ref="F98" si="1132">SUM(F95:F97)*F89</f>
        <v>1851.31482424</v>
      </c>
      <c r="G98" s="193">
        <f t="shared" ref="G98" si="1133">SUM(G95:G97)*G89</f>
        <v>1554.1678984016423</v>
      </c>
      <c r="H98" s="193">
        <f t="shared" ref="H98:BS98" si="1134">SUM(H95:H97)*H89</f>
        <v>1714.850138513968</v>
      </c>
      <c r="I98" s="193">
        <f t="shared" si="1134"/>
        <v>1495.0007446784934</v>
      </c>
      <c r="J98" s="193">
        <f t="shared" si="1134"/>
        <v>1591.4244641412881</v>
      </c>
      <c r="K98" s="193">
        <f t="shared" si="1134"/>
        <v>1380.4270765890126</v>
      </c>
      <c r="L98" s="193">
        <f t="shared" si="1134"/>
        <v>1512.7843576663161</v>
      </c>
      <c r="M98" s="193">
        <f t="shared" si="1134"/>
        <v>1566.7654076687629</v>
      </c>
      <c r="N98" s="193">
        <f t="shared" si="1134"/>
        <v>1300.8814760015953</v>
      </c>
      <c r="O98" s="193">
        <f t="shared" si="1134"/>
        <v>1518.9559887968624</v>
      </c>
      <c r="P98" s="193">
        <f t="shared" si="1134"/>
        <v>1389.2636040638768</v>
      </c>
      <c r="Q98" s="193">
        <f t="shared" si="1134"/>
        <v>1398.5831404516637</v>
      </c>
      <c r="R98" s="193">
        <f t="shared" si="1134"/>
        <v>1052.8878548104271</v>
      </c>
      <c r="S98" s="193">
        <f t="shared" si="1134"/>
        <v>865.37263267558774</v>
      </c>
      <c r="T98" s="193">
        <f t="shared" si="1134"/>
        <v>968.79471234237781</v>
      </c>
      <c r="U98" s="193">
        <f t="shared" ref="U98:X98" si="1135">SUM(U95:U97)*U89</f>
        <v>1074.2194011687893</v>
      </c>
      <c r="V98" s="193">
        <f t="shared" si="1135"/>
        <v>1032.3203663247266</v>
      </c>
      <c r="W98" s="193">
        <f t="shared" si="1135"/>
        <v>989.42484438168628</v>
      </c>
      <c r="X98" s="193">
        <f t="shared" si="1135"/>
        <v>1147.6342875580037</v>
      </c>
      <c r="Y98" s="193">
        <f t="shared" si="1134"/>
        <v>1105.5740239189297</v>
      </c>
      <c r="Z98" s="193">
        <f t="shared" si="1134"/>
        <v>1094.1441957047816</v>
      </c>
      <c r="AA98" s="193">
        <f t="shared" si="1134"/>
        <v>1311.4564057832852</v>
      </c>
      <c r="AB98" s="193">
        <f t="shared" si="1134"/>
        <v>1182.9755359749411</v>
      </c>
      <c r="AC98" s="193">
        <f t="shared" si="1134"/>
        <v>1281.4040710933286</v>
      </c>
      <c r="AD98" s="193">
        <f t="shared" si="1134"/>
        <v>826.85742492462191</v>
      </c>
      <c r="AE98" s="193">
        <f t="shared" si="1134"/>
        <v>757.31680157177698</v>
      </c>
      <c r="AF98" s="193">
        <f t="shared" si="1134"/>
        <v>724.65115580233953</v>
      </c>
      <c r="AG98" s="193">
        <f t="shared" si="1134"/>
        <v>769.02875022239095</v>
      </c>
      <c r="AH98" s="193">
        <f t="shared" si="1134"/>
        <v>814.3691623107469</v>
      </c>
      <c r="AI98" s="193">
        <f t="shared" si="1134"/>
        <v>781.54229678917136</v>
      </c>
      <c r="AJ98" s="193">
        <f t="shared" si="1134"/>
        <v>907.46766922980578</v>
      </c>
      <c r="AK98" s="193">
        <f t="shared" si="1134"/>
        <v>835.15545277066508</v>
      </c>
      <c r="AL98" s="193">
        <f t="shared" si="1134"/>
        <v>882.70414754631122</v>
      </c>
      <c r="AM98" s="193">
        <f t="shared" si="1134"/>
        <v>931.36964187145475</v>
      </c>
      <c r="AN98" s="193">
        <f t="shared" si="1134"/>
        <v>815.82727210714904</v>
      </c>
      <c r="AO98" s="193">
        <f t="shared" si="1134"/>
        <v>905.59418143617052</v>
      </c>
      <c r="AP98" s="193">
        <f t="shared" si="1134"/>
        <v>394.4064187772023</v>
      </c>
      <c r="AQ98" s="193">
        <f t="shared" si="1134"/>
        <v>340.18266858585849</v>
      </c>
      <c r="AR98" s="193">
        <f t="shared" si="1134"/>
        <v>419.82240131657159</v>
      </c>
      <c r="AS98" s="193">
        <f t="shared" si="1134"/>
        <v>384.51436560811311</v>
      </c>
      <c r="AT98" s="193">
        <f t="shared" si="1134"/>
        <v>387.55317119296711</v>
      </c>
      <c r="AU98" s="193">
        <f t="shared" si="1134"/>
        <v>410.40253863592318</v>
      </c>
      <c r="AV98" s="193">
        <f t="shared" si="1134"/>
        <v>453.73382340109595</v>
      </c>
      <c r="AW98" s="193">
        <f t="shared" si="1134"/>
        <v>417.57771606510596</v>
      </c>
      <c r="AX98" s="193">
        <f t="shared" si="1134"/>
        <v>421.04498620309334</v>
      </c>
      <c r="AY98" s="193">
        <f t="shared" si="1134"/>
        <v>424.54104610103985</v>
      </c>
      <c r="AZ98" s="193">
        <f t="shared" si="1134"/>
        <v>407.42798181308984</v>
      </c>
      <c r="BA98" s="193">
        <f t="shared" si="1134"/>
        <v>452.25799908752873</v>
      </c>
      <c r="BB98" s="193">
        <f t="shared" si="1134"/>
        <v>0</v>
      </c>
      <c r="BC98" s="193">
        <f t="shared" si="1134"/>
        <v>0</v>
      </c>
      <c r="BD98" s="193">
        <f t="shared" si="1134"/>
        <v>0</v>
      </c>
      <c r="BE98" s="193">
        <f t="shared" si="1134"/>
        <v>0</v>
      </c>
      <c r="BF98" s="193">
        <f t="shared" si="1134"/>
        <v>0</v>
      </c>
      <c r="BG98" s="193">
        <f t="shared" si="1134"/>
        <v>0</v>
      </c>
      <c r="BH98" s="193">
        <f t="shared" si="1134"/>
        <v>0</v>
      </c>
      <c r="BI98" s="193">
        <f t="shared" si="1134"/>
        <v>0</v>
      </c>
      <c r="BJ98" s="193">
        <f t="shared" si="1134"/>
        <v>0</v>
      </c>
      <c r="BK98" s="193">
        <f t="shared" si="1134"/>
        <v>0</v>
      </c>
      <c r="BL98" s="193">
        <f t="shared" si="1134"/>
        <v>0</v>
      </c>
      <c r="BM98" s="193">
        <f t="shared" si="1134"/>
        <v>0</v>
      </c>
      <c r="BN98" s="193">
        <f t="shared" si="1134"/>
        <v>0</v>
      </c>
      <c r="BO98" s="193">
        <f t="shared" si="1134"/>
        <v>0</v>
      </c>
      <c r="BP98" s="193">
        <f t="shared" si="1134"/>
        <v>0</v>
      </c>
      <c r="BQ98" s="193">
        <f t="shared" si="1134"/>
        <v>0</v>
      </c>
      <c r="BR98" s="193">
        <f t="shared" si="1134"/>
        <v>0</v>
      </c>
      <c r="BS98" s="193">
        <f t="shared" si="1134"/>
        <v>0</v>
      </c>
      <c r="BT98" s="193">
        <f t="shared" ref="BT98:EE98" si="1136">SUM(BT95:BT97)*BT89</f>
        <v>0</v>
      </c>
      <c r="BU98" s="193">
        <f t="shared" si="1136"/>
        <v>0</v>
      </c>
      <c r="BV98" s="193">
        <f t="shared" si="1136"/>
        <v>0</v>
      </c>
      <c r="BW98" s="193">
        <f t="shared" si="1136"/>
        <v>0</v>
      </c>
      <c r="BX98" s="193">
        <f t="shared" si="1136"/>
        <v>0</v>
      </c>
      <c r="BY98" s="193">
        <f t="shared" si="1136"/>
        <v>0</v>
      </c>
      <c r="BZ98" s="193">
        <f t="shared" si="1136"/>
        <v>0</v>
      </c>
      <c r="CA98" s="193">
        <f t="shared" si="1136"/>
        <v>0</v>
      </c>
      <c r="CB98" s="193">
        <f t="shared" si="1136"/>
        <v>0</v>
      </c>
      <c r="CC98" s="193">
        <f t="shared" si="1136"/>
        <v>0</v>
      </c>
      <c r="CD98" s="193">
        <f t="shared" si="1136"/>
        <v>0</v>
      </c>
      <c r="CE98" s="193">
        <f t="shared" si="1136"/>
        <v>0</v>
      </c>
      <c r="CF98" s="193">
        <f t="shared" si="1136"/>
        <v>0</v>
      </c>
      <c r="CG98" s="193">
        <f t="shared" si="1136"/>
        <v>0</v>
      </c>
      <c r="CH98" s="193">
        <f t="shared" si="1136"/>
        <v>0</v>
      </c>
      <c r="CI98" s="193">
        <f t="shared" si="1136"/>
        <v>0</v>
      </c>
      <c r="CJ98" s="193">
        <f t="shared" si="1136"/>
        <v>0</v>
      </c>
      <c r="CK98" s="193">
        <f t="shared" si="1136"/>
        <v>0</v>
      </c>
      <c r="CL98" s="193">
        <f t="shared" si="1136"/>
        <v>0</v>
      </c>
      <c r="CM98" s="193">
        <f t="shared" si="1136"/>
        <v>0</v>
      </c>
      <c r="CN98" s="193">
        <f t="shared" si="1136"/>
        <v>0</v>
      </c>
      <c r="CO98" s="193">
        <f t="shared" si="1136"/>
        <v>0</v>
      </c>
      <c r="CP98" s="193">
        <f t="shared" si="1136"/>
        <v>0</v>
      </c>
      <c r="CQ98" s="193">
        <f t="shared" si="1136"/>
        <v>0</v>
      </c>
      <c r="CR98" s="193">
        <f t="shared" si="1136"/>
        <v>0</v>
      </c>
      <c r="CS98" s="193">
        <f t="shared" si="1136"/>
        <v>0</v>
      </c>
      <c r="CT98" s="193">
        <f t="shared" si="1136"/>
        <v>0</v>
      </c>
      <c r="CU98" s="193">
        <f t="shared" si="1136"/>
        <v>0</v>
      </c>
      <c r="CV98" s="193">
        <f t="shared" si="1136"/>
        <v>0</v>
      </c>
      <c r="CW98" s="193">
        <f t="shared" si="1136"/>
        <v>0</v>
      </c>
      <c r="CX98" s="193">
        <f t="shared" si="1136"/>
        <v>0</v>
      </c>
      <c r="CY98" s="193">
        <f t="shared" si="1136"/>
        <v>0</v>
      </c>
      <c r="CZ98" s="193">
        <f t="shared" si="1136"/>
        <v>0</v>
      </c>
      <c r="DA98" s="193">
        <f t="shared" si="1136"/>
        <v>0</v>
      </c>
      <c r="DB98" s="193">
        <f t="shared" si="1136"/>
        <v>0</v>
      </c>
      <c r="DC98" s="193">
        <f t="shared" si="1136"/>
        <v>0</v>
      </c>
      <c r="DD98" s="193">
        <f t="shared" si="1136"/>
        <v>0</v>
      </c>
      <c r="DE98" s="193">
        <f t="shared" si="1136"/>
        <v>0</v>
      </c>
      <c r="DF98" s="193">
        <f t="shared" si="1136"/>
        <v>0</v>
      </c>
      <c r="DG98" s="193">
        <f t="shared" si="1136"/>
        <v>0</v>
      </c>
      <c r="DH98" s="193">
        <f t="shared" si="1136"/>
        <v>0</v>
      </c>
      <c r="DI98" s="193">
        <f t="shared" si="1136"/>
        <v>0</v>
      </c>
      <c r="DJ98" s="193">
        <f t="shared" si="1136"/>
        <v>0</v>
      </c>
      <c r="DK98" s="193">
        <f t="shared" si="1136"/>
        <v>0</v>
      </c>
      <c r="DL98" s="193">
        <f t="shared" si="1136"/>
        <v>0</v>
      </c>
      <c r="DM98" s="193">
        <f t="shared" si="1136"/>
        <v>0</v>
      </c>
      <c r="DN98" s="193">
        <f t="shared" si="1136"/>
        <v>0</v>
      </c>
      <c r="DO98" s="193">
        <f t="shared" si="1136"/>
        <v>0</v>
      </c>
      <c r="DP98" s="193">
        <f t="shared" si="1136"/>
        <v>0</v>
      </c>
      <c r="DQ98" s="193">
        <f t="shared" si="1136"/>
        <v>0</v>
      </c>
      <c r="DR98" s="193">
        <f t="shared" si="1136"/>
        <v>0</v>
      </c>
      <c r="DS98" s="193">
        <f t="shared" si="1136"/>
        <v>0</v>
      </c>
      <c r="DT98" s="193">
        <f t="shared" si="1136"/>
        <v>0</v>
      </c>
      <c r="DU98" s="193">
        <f t="shared" si="1136"/>
        <v>0</v>
      </c>
      <c r="DV98" s="193">
        <f t="shared" si="1136"/>
        <v>0</v>
      </c>
      <c r="DW98" s="193">
        <f t="shared" si="1136"/>
        <v>0</v>
      </c>
      <c r="DX98" s="193">
        <f t="shared" si="1136"/>
        <v>0</v>
      </c>
      <c r="DY98" s="193">
        <f t="shared" si="1136"/>
        <v>0</v>
      </c>
      <c r="DZ98" s="193">
        <f t="shared" si="1136"/>
        <v>0</v>
      </c>
      <c r="EA98" s="193">
        <f t="shared" si="1136"/>
        <v>0</v>
      </c>
      <c r="EB98" s="193">
        <f t="shared" si="1136"/>
        <v>0</v>
      </c>
      <c r="EC98" s="193">
        <f t="shared" si="1136"/>
        <v>0</v>
      </c>
      <c r="ED98" s="193">
        <f t="shared" si="1136"/>
        <v>0</v>
      </c>
      <c r="EE98" s="193">
        <f t="shared" si="1136"/>
        <v>0</v>
      </c>
      <c r="EF98" s="193">
        <f t="shared" ref="EF98:GQ98" si="1137">SUM(EF95:EF97)*EF89</f>
        <v>0</v>
      </c>
      <c r="EG98" s="193">
        <f t="shared" si="1137"/>
        <v>0</v>
      </c>
      <c r="EH98" s="193">
        <f t="shared" si="1137"/>
        <v>0</v>
      </c>
      <c r="EI98" s="193">
        <f t="shared" si="1137"/>
        <v>0</v>
      </c>
      <c r="EJ98" s="193">
        <f t="shared" si="1137"/>
        <v>0</v>
      </c>
      <c r="EK98" s="193">
        <f t="shared" si="1137"/>
        <v>0</v>
      </c>
      <c r="EL98" s="193">
        <f t="shared" si="1137"/>
        <v>0</v>
      </c>
      <c r="EM98" s="193">
        <f t="shared" si="1137"/>
        <v>0</v>
      </c>
      <c r="EN98" s="193">
        <f t="shared" si="1137"/>
        <v>0</v>
      </c>
      <c r="EO98" s="193">
        <f t="shared" si="1137"/>
        <v>0</v>
      </c>
      <c r="EP98" s="193">
        <f t="shared" si="1137"/>
        <v>0</v>
      </c>
      <c r="EQ98" s="193">
        <f t="shared" si="1137"/>
        <v>0</v>
      </c>
      <c r="ER98" s="193">
        <f t="shared" si="1137"/>
        <v>0</v>
      </c>
      <c r="ES98" s="193">
        <f t="shared" si="1137"/>
        <v>0</v>
      </c>
      <c r="ET98" s="193">
        <f t="shared" si="1137"/>
        <v>0</v>
      </c>
      <c r="EU98" s="193">
        <f t="shared" si="1137"/>
        <v>0</v>
      </c>
      <c r="EV98" s="193">
        <f t="shared" si="1137"/>
        <v>0</v>
      </c>
      <c r="EW98" s="193">
        <f t="shared" si="1137"/>
        <v>0</v>
      </c>
      <c r="EX98" s="193">
        <f t="shared" si="1137"/>
        <v>0</v>
      </c>
      <c r="EY98" s="193">
        <f t="shared" si="1137"/>
        <v>0</v>
      </c>
      <c r="EZ98" s="193">
        <f t="shared" si="1137"/>
        <v>0</v>
      </c>
      <c r="FA98" s="193">
        <f t="shared" si="1137"/>
        <v>0</v>
      </c>
      <c r="FB98" s="193">
        <f t="shared" si="1137"/>
        <v>0</v>
      </c>
      <c r="FC98" s="193">
        <f t="shared" si="1137"/>
        <v>0</v>
      </c>
      <c r="FD98" s="193">
        <f t="shared" si="1137"/>
        <v>0</v>
      </c>
      <c r="FE98" s="193">
        <f t="shared" si="1137"/>
        <v>0</v>
      </c>
      <c r="FF98" s="193">
        <f t="shared" si="1137"/>
        <v>0</v>
      </c>
      <c r="FG98" s="193">
        <f t="shared" si="1137"/>
        <v>0</v>
      </c>
      <c r="FH98" s="193">
        <f t="shared" si="1137"/>
        <v>0</v>
      </c>
      <c r="FI98" s="193">
        <f t="shared" si="1137"/>
        <v>0</v>
      </c>
      <c r="FJ98" s="193">
        <f t="shared" si="1137"/>
        <v>0</v>
      </c>
      <c r="FK98" s="193">
        <f t="shared" si="1137"/>
        <v>0</v>
      </c>
      <c r="FL98" s="193">
        <f t="shared" si="1137"/>
        <v>0</v>
      </c>
      <c r="FM98" s="193">
        <f t="shared" si="1137"/>
        <v>0</v>
      </c>
      <c r="FN98" s="193">
        <f t="shared" si="1137"/>
        <v>0</v>
      </c>
      <c r="FO98" s="193">
        <f t="shared" si="1137"/>
        <v>0</v>
      </c>
      <c r="FP98" s="193">
        <f t="shared" si="1137"/>
        <v>0</v>
      </c>
      <c r="FQ98" s="193">
        <f t="shared" si="1137"/>
        <v>0</v>
      </c>
      <c r="FR98" s="193">
        <f t="shared" si="1137"/>
        <v>0</v>
      </c>
      <c r="FS98" s="193">
        <f t="shared" si="1137"/>
        <v>0</v>
      </c>
      <c r="FT98" s="193">
        <f t="shared" si="1137"/>
        <v>0</v>
      </c>
      <c r="FU98" s="193">
        <f t="shared" si="1137"/>
        <v>0</v>
      </c>
      <c r="FV98" s="193">
        <f t="shared" si="1137"/>
        <v>0</v>
      </c>
      <c r="FW98" s="193">
        <f t="shared" si="1137"/>
        <v>0</v>
      </c>
      <c r="FX98" s="193">
        <f t="shared" si="1137"/>
        <v>0</v>
      </c>
      <c r="FY98" s="193">
        <f t="shared" si="1137"/>
        <v>0</v>
      </c>
      <c r="FZ98" s="193">
        <f t="shared" si="1137"/>
        <v>0</v>
      </c>
      <c r="GA98" s="193">
        <f t="shared" si="1137"/>
        <v>0</v>
      </c>
      <c r="GB98" s="193">
        <f t="shared" si="1137"/>
        <v>0</v>
      </c>
      <c r="GC98" s="193">
        <f t="shared" si="1137"/>
        <v>0</v>
      </c>
      <c r="GD98" s="193">
        <f t="shared" si="1137"/>
        <v>0</v>
      </c>
      <c r="GE98" s="193">
        <f t="shared" si="1137"/>
        <v>0</v>
      </c>
      <c r="GF98" s="193">
        <f t="shared" si="1137"/>
        <v>0</v>
      </c>
      <c r="GG98" s="193">
        <f t="shared" si="1137"/>
        <v>0</v>
      </c>
      <c r="GH98" s="193">
        <f t="shared" si="1137"/>
        <v>0</v>
      </c>
      <c r="GI98" s="193">
        <f t="shared" si="1137"/>
        <v>0</v>
      </c>
      <c r="GJ98" s="193">
        <f t="shared" si="1137"/>
        <v>0</v>
      </c>
      <c r="GK98" s="193">
        <f t="shared" si="1137"/>
        <v>0</v>
      </c>
      <c r="GL98" s="193">
        <f t="shared" si="1137"/>
        <v>0</v>
      </c>
      <c r="GM98" s="193">
        <f t="shared" si="1137"/>
        <v>0</v>
      </c>
      <c r="GN98" s="193">
        <f t="shared" si="1137"/>
        <v>0</v>
      </c>
      <c r="GO98" s="193">
        <f t="shared" si="1137"/>
        <v>0</v>
      </c>
      <c r="GP98" s="193">
        <f t="shared" si="1137"/>
        <v>0</v>
      </c>
      <c r="GQ98" s="193">
        <f t="shared" si="1137"/>
        <v>0</v>
      </c>
    </row>
    <row r="99" spans="2:199" hidden="1" outlineLevel="1">
      <c r="B99" s="190" t="s">
        <v>391</v>
      </c>
      <c r="C99" s="192"/>
      <c r="D99" s="193"/>
      <c r="E99" s="200">
        <f>IF(E91=1,-D102-E98,0)*IF(AND(E81=$C86,$C92=1,$C91=0),0,1)</f>
        <v>0</v>
      </c>
      <c r="F99" s="200">
        <f t="shared" ref="F99" si="1138">IF(F91=1,-E102-F98,0)*IF(AND(F81=$C86,$C92=1,$C91=0),0,1)</f>
        <v>0</v>
      </c>
      <c r="G99" s="200">
        <f t="shared" ref="G99" si="1139">IF(G91=1,-F102-G98,0)*IF(AND(G81=$C86,$C92=1,$C91=0),0,1)</f>
        <v>0</v>
      </c>
      <c r="H99" s="200">
        <f t="shared" ref="H99" si="1140">IF(H91=1,-G102-H98,0)*IF(AND(H81=$C86,$C92=1,$C91=0),0,1)</f>
        <v>0</v>
      </c>
      <c r="I99" s="200">
        <f t="shared" ref="I99" si="1141">IF(I91=1,-H102-I98,0)*IF(AND(I81=$C86,$C92=1,$C91=0),0,1)</f>
        <v>0</v>
      </c>
      <c r="J99" s="200">
        <f t="shared" ref="J99" si="1142">IF(J91=1,-I102-J98,0)*IF(AND(J81=$C86,$C92=1,$C91=0),0,1)</f>
        <v>0</v>
      </c>
      <c r="K99" s="200">
        <f t="shared" ref="K99" si="1143">IF(K91=1,-J102-K98,0)*IF(AND(K81=$C86,$C92=1,$C91=0),0,1)</f>
        <v>0</v>
      </c>
      <c r="L99" s="200">
        <f t="shared" ref="L99" si="1144">IF(L91=1,-K102-L98,0)*IF(AND(L81=$C86,$C92=1,$C91=0),0,1)</f>
        <v>0</v>
      </c>
      <c r="M99" s="200">
        <f t="shared" ref="M99" si="1145">IF(M91=1,-L102-M98,0)*IF(AND(M81=$C86,$C92=1,$C91=0),0,1)</f>
        <v>0</v>
      </c>
      <c r="N99" s="200">
        <f t="shared" ref="N99" si="1146">IF(N91=1,-M102-N98,0)*IF(AND(N81=$C86,$C92=1,$C91=0),0,1)</f>
        <v>0</v>
      </c>
      <c r="O99" s="200">
        <f t="shared" ref="O99" si="1147">IF(O91=1,-N102-O98,0)*IF(AND(O81=$C86,$C92=1,$C91=0),0,1)</f>
        <v>0</v>
      </c>
      <c r="P99" s="200">
        <f t="shared" ref="P99" si="1148">IF(P91=1,-O102-P98,0)*IF(AND(P81=$C86,$C92=1,$C91=0),0,1)</f>
        <v>0</v>
      </c>
      <c r="Q99" s="200">
        <f t="shared" ref="Q99" si="1149">IF(Q91=1,-P102-Q98,0)*IF(AND(Q81=$C86,$C92=1,$C91=0),0,1)</f>
        <v>-19885.419121213483</v>
      </c>
      <c r="R99" s="200">
        <f t="shared" ref="R99" si="1150">IF(R91=1,-Q102-R98,0)*IF(AND(R81=$C86,$C92=1,$C91=0),0,1)</f>
        <v>0</v>
      </c>
      <c r="S99" s="200">
        <f t="shared" ref="S99" si="1151">IF(S91=1,-R102-S98,0)*IF(AND(S81=$C86,$C92=1,$C91=0),0,1)</f>
        <v>0</v>
      </c>
      <c r="T99" s="200">
        <f t="shared" ref="T99" si="1152">IF(T91=1,-S102-T98,0)*IF(AND(T81=$C86,$C92=1,$C91=0),0,1)</f>
        <v>0</v>
      </c>
      <c r="U99" s="200">
        <f t="shared" ref="U99" si="1153">IF(U91=1,-T102-U98,0)*IF(AND(U81=$C86,$C92=1,$C91=0),0,1)</f>
        <v>0</v>
      </c>
      <c r="V99" s="200">
        <f t="shared" ref="V99" si="1154">IF(V91=1,-U102-V98,0)*IF(AND(V81=$C86,$C92=1,$C91=0),0,1)</f>
        <v>0</v>
      </c>
      <c r="W99" s="200">
        <f t="shared" ref="W99" si="1155">IF(W91=1,-V102-W98,0)*IF(AND(W81=$C86,$C92=1,$C91=0),0,1)</f>
        <v>0</v>
      </c>
      <c r="X99" s="200">
        <f t="shared" ref="X99" si="1156">IF(X91=1,-W102-X98,0)*IF(AND(X81=$C86,$C92=1,$C91=0),0,1)</f>
        <v>0</v>
      </c>
      <c r="Y99" s="200">
        <f t="shared" ref="Y99" si="1157">IF(Y91=1,-X102-Y98,0)*IF(AND(Y81=$C86,$C92=1,$C91=0),0,1)</f>
        <v>0</v>
      </c>
      <c r="Z99" s="200">
        <f t="shared" ref="Z99" si="1158">IF(Z91=1,-Y102-Z98,0)*IF(AND(Z81=$C86,$C92=1,$C91=0),0,1)</f>
        <v>0</v>
      </c>
      <c r="AA99" s="200">
        <f t="shared" ref="AA99" si="1159">IF(AA91=1,-Z102-AA98,0)*IF(AND(AA81=$C86,$C92=1,$C91=0),0,1)</f>
        <v>0</v>
      </c>
      <c r="AB99" s="200">
        <f t="shared" ref="AB99" si="1160">IF(AB91=1,-AA102-AB98,0)*IF(AND(AB81=$C86,$C92=1,$C91=0),0,1)</f>
        <v>0</v>
      </c>
      <c r="AC99" s="200">
        <f t="shared" ref="AC99" si="1161">IF(AC91=1,-AB102-AC98,0)*IF(AND(AC81=$C86,$C92=1,$C91=0),0,1)</f>
        <v>-13106.208331736863</v>
      </c>
      <c r="AD99" s="200">
        <f t="shared" ref="AD99" si="1162">IF(AD91=1,-AC102-AD98,0)*IF(AND(AD81=$C86,$C92=1,$C91=0),0,1)</f>
        <v>0</v>
      </c>
      <c r="AE99" s="200">
        <f t="shared" ref="AE99" si="1163">IF(AE91=1,-AD102-AE98,0)*IF(AND(AE81=$C86,$C92=1,$C91=0),0,1)</f>
        <v>0</v>
      </c>
      <c r="AF99" s="200">
        <f t="shared" ref="AF99" si="1164">IF(AF91=1,-AE102-AF98,0)*IF(AND(AF81=$C86,$C92=1,$C91=0),0,1)</f>
        <v>0</v>
      </c>
      <c r="AG99" s="200">
        <f t="shared" ref="AG99" si="1165">IF(AG91=1,-AF102-AG98,0)*IF(AND(AG81=$C86,$C92=1,$C91=0),0,1)</f>
        <v>0</v>
      </c>
      <c r="AH99" s="200">
        <f t="shared" ref="AH99" si="1166">IF(AH91=1,-AG102-AH98,0)*IF(AND(AH81=$C86,$C92=1,$C91=0),0,1)</f>
        <v>0</v>
      </c>
      <c r="AI99" s="200">
        <f t="shared" ref="AI99" si="1167">IF(AI91=1,-AH102-AI98,0)*IF(AND(AI81=$C86,$C92=1,$C91=0),0,1)</f>
        <v>0</v>
      </c>
      <c r="AJ99" s="200">
        <f t="shared" ref="AJ99" si="1168">IF(AJ91=1,-AI102-AJ98,0)*IF(AND(AJ81=$C86,$C92=1,$C91=0),0,1)</f>
        <v>0</v>
      </c>
      <c r="AK99" s="200">
        <f t="shared" ref="AK99" si="1169">IF(AK91=1,-AJ102-AK98,0)*IF(AND(AK81=$C86,$C92=1,$C91=0),0,1)</f>
        <v>0</v>
      </c>
      <c r="AL99" s="200">
        <f t="shared" ref="AL99" si="1170">IF(AL91=1,-AK102-AL98,0)*IF(AND(AL81=$C86,$C92=1,$C91=0),0,1)</f>
        <v>0</v>
      </c>
      <c r="AM99" s="200">
        <f t="shared" ref="AM99" si="1171">IF(AM91=1,-AL102-AM98,0)*IF(AND(AM81=$C86,$C92=1,$C91=0),0,1)</f>
        <v>0</v>
      </c>
      <c r="AN99" s="200">
        <f t="shared" ref="AN99" si="1172">IF(AN91=1,-AM102-AN98,0)*IF(AND(AN81=$C86,$C92=1,$C91=0),0,1)</f>
        <v>0</v>
      </c>
      <c r="AO99" s="200">
        <f t="shared" ref="AO99" si="1173">IF(AO91=1,-AN102-AO98,0)*IF(AND(AO81=$C86,$C92=1,$C91=0),0,1)</f>
        <v>-9951.8839565826038</v>
      </c>
      <c r="AP99" s="200">
        <f t="shared" ref="AP99" si="1174">IF(AP91=1,-AO102-AP98,0)*IF(AND(AP81=$C86,$C92=1,$C91=0),0,1)</f>
        <v>0</v>
      </c>
      <c r="AQ99" s="200">
        <f t="shared" ref="AQ99" si="1175">IF(AQ91=1,-AP102-AQ98,0)*IF(AND(AQ81=$C86,$C92=1,$C91=0),0,1)</f>
        <v>0</v>
      </c>
      <c r="AR99" s="200">
        <f t="shared" ref="AR99" si="1176">IF(AR91=1,-AQ102-AR98,0)*IF(AND(AR81=$C86,$C92=1,$C91=0),0,1)</f>
        <v>0</v>
      </c>
      <c r="AS99" s="200">
        <f t="shared" ref="AS99" si="1177">IF(AS91=1,-AR102-AS98,0)*IF(AND(AS81=$C86,$C92=1,$C91=0),0,1)</f>
        <v>0</v>
      </c>
      <c r="AT99" s="200">
        <f t="shared" ref="AT99" si="1178">IF(AT91=1,-AS102-AT98,0)*IF(AND(AT81=$C86,$C92=1,$C91=0),0,1)</f>
        <v>0</v>
      </c>
      <c r="AU99" s="200">
        <f t="shared" ref="AU99" si="1179">IF(AU91=1,-AT102-AU98,0)*IF(AND(AU81=$C86,$C92=1,$C91=0),0,1)</f>
        <v>0</v>
      </c>
      <c r="AV99" s="200">
        <f t="shared" ref="AV99" si="1180">IF(AV91=1,-AU102-AV98,0)*IF(AND(AV81=$C86,$C92=1,$C91=0),0,1)</f>
        <v>0</v>
      </c>
      <c r="AW99" s="200">
        <f t="shared" ref="AW99" si="1181">IF(AW91=1,-AV102-AW98,0)*IF(AND(AW81=$C86,$C92=1,$C91=0),0,1)</f>
        <v>0</v>
      </c>
      <c r="AX99" s="200">
        <f t="shared" ref="AX99" si="1182">IF(AX91=1,-AW102-AX98,0)*IF(AND(AX81=$C86,$C92=1,$C91=0),0,1)</f>
        <v>0</v>
      </c>
      <c r="AY99" s="200">
        <f t="shared" ref="AY99" si="1183">IF(AY91=1,-AX102-AY98,0)*IF(AND(AY81=$C86,$C92=1,$C91=0),0,1)</f>
        <v>0</v>
      </c>
      <c r="AZ99" s="200">
        <f t="shared" ref="AZ99" si="1184">IF(AZ91=1,-AY102-AZ98,0)*IF(AND(AZ81=$C86,$C92=1,$C91=0),0,1)</f>
        <v>0</v>
      </c>
      <c r="BA99" s="200">
        <f t="shared" ref="BA99" si="1185">IF(BA91=1,-AZ102-BA98,0)*IF(AND(BA81=$C86,$C92=1,$C91=0),0,1)</f>
        <v>-4913.4651167875882</v>
      </c>
      <c r="BB99" s="200">
        <f t="shared" ref="BB99" si="1186">IF(BB91=1,-BA102-BB98,0)*IF(AND(BB81=$C86,$C92=1,$C91=0),0,1)</f>
        <v>0</v>
      </c>
      <c r="BC99" s="200">
        <f t="shared" ref="BC99" si="1187">IF(BC91=1,-BB102-BC98,0)*IF(AND(BC81=$C86,$C92=1,$C91=0),0,1)</f>
        <v>0</v>
      </c>
      <c r="BD99" s="200">
        <f t="shared" ref="BD99" si="1188">IF(BD91=1,-BC102-BD98,0)*IF(AND(BD81=$C86,$C92=1,$C91=0),0,1)</f>
        <v>0</v>
      </c>
      <c r="BE99" s="200">
        <f t="shared" ref="BE99" si="1189">IF(BE91=1,-BD102-BE98,0)*IF(AND(BE81=$C86,$C92=1,$C91=0),0,1)</f>
        <v>0</v>
      </c>
      <c r="BF99" s="200">
        <f t="shared" ref="BF99" si="1190">IF(BF91=1,-BE102-BF98,0)*IF(AND(BF81=$C86,$C92=1,$C91=0),0,1)</f>
        <v>0</v>
      </c>
      <c r="BG99" s="200">
        <f t="shared" ref="BG99" si="1191">IF(BG91=1,-BF102-BG98,0)*IF(AND(BG81=$C86,$C92=1,$C91=0),0,1)</f>
        <v>0</v>
      </c>
      <c r="BH99" s="200">
        <f t="shared" ref="BH99" si="1192">IF(BH91=1,-BG102-BH98,0)*IF(AND(BH81=$C86,$C92=1,$C91=0),0,1)</f>
        <v>0</v>
      </c>
      <c r="BI99" s="200">
        <f t="shared" ref="BI99" si="1193">IF(BI91=1,-BH102-BI98,0)*IF(AND(BI81=$C86,$C92=1,$C91=0),0,1)</f>
        <v>0</v>
      </c>
      <c r="BJ99" s="200">
        <f t="shared" ref="BJ99" si="1194">IF(BJ91=1,-BI102-BJ98,0)*IF(AND(BJ81=$C86,$C92=1,$C91=0),0,1)</f>
        <v>0</v>
      </c>
      <c r="BK99" s="200">
        <f t="shared" ref="BK99" si="1195">IF(BK91=1,-BJ102-BK98,0)*IF(AND(BK81=$C86,$C92=1,$C91=0),0,1)</f>
        <v>0</v>
      </c>
      <c r="BL99" s="200">
        <f t="shared" ref="BL99" si="1196">IF(BL91=1,-BK102-BL98,0)*IF(AND(BL81=$C86,$C92=1,$C91=0),0,1)</f>
        <v>0</v>
      </c>
      <c r="BM99" s="200">
        <f t="shared" ref="BM99" si="1197">IF(BM91=1,-BL102-BM98,0)*IF(AND(BM81=$C86,$C92=1,$C91=0),0,1)</f>
        <v>0</v>
      </c>
      <c r="BN99" s="200">
        <f t="shared" ref="BN99" si="1198">IF(BN91=1,-BM102-BN98,0)*IF(AND(BN81=$C86,$C92=1,$C91=0),0,1)</f>
        <v>0</v>
      </c>
      <c r="BO99" s="200">
        <f t="shared" ref="BO99" si="1199">IF(BO91=1,-BN102-BO98,0)*IF(AND(BO81=$C86,$C92=1,$C91=0),0,1)</f>
        <v>0</v>
      </c>
      <c r="BP99" s="200">
        <f t="shared" ref="BP99" si="1200">IF(BP91=1,-BO102-BP98,0)*IF(AND(BP81=$C86,$C92=1,$C91=0),0,1)</f>
        <v>0</v>
      </c>
      <c r="BQ99" s="200">
        <f t="shared" ref="BQ99" si="1201">IF(BQ91=1,-BP102-BQ98,0)*IF(AND(BQ81=$C86,$C92=1,$C91=0),0,1)</f>
        <v>0</v>
      </c>
      <c r="BR99" s="200">
        <f t="shared" ref="BR99" si="1202">IF(BR91=1,-BQ102-BR98,0)*IF(AND(BR81=$C86,$C92=1,$C91=0),0,1)</f>
        <v>0</v>
      </c>
      <c r="BS99" s="200">
        <f t="shared" ref="BS99" si="1203">IF(BS91=1,-BR102-BS98,0)*IF(AND(BS81=$C86,$C92=1,$C91=0),0,1)</f>
        <v>0</v>
      </c>
      <c r="BT99" s="200">
        <f t="shared" ref="BT99" si="1204">IF(BT91=1,-BS102-BT98,0)*IF(AND(BT81=$C86,$C92=1,$C91=0),0,1)</f>
        <v>0</v>
      </c>
      <c r="BU99" s="200">
        <f t="shared" ref="BU99" si="1205">IF(BU91=1,-BT102-BU98,0)*IF(AND(BU81=$C86,$C92=1,$C91=0),0,1)</f>
        <v>0</v>
      </c>
      <c r="BV99" s="200">
        <f t="shared" ref="BV99" si="1206">IF(BV91=1,-BU102-BV98,0)*IF(AND(BV81=$C86,$C92=1,$C91=0),0,1)</f>
        <v>0</v>
      </c>
      <c r="BW99" s="200">
        <f t="shared" ref="BW99" si="1207">IF(BW91=1,-BV102-BW98,0)*IF(AND(BW81=$C86,$C92=1,$C91=0),0,1)</f>
        <v>0</v>
      </c>
      <c r="BX99" s="200">
        <f t="shared" ref="BX99" si="1208">IF(BX91=1,-BW102-BX98,0)*IF(AND(BX81=$C86,$C92=1,$C91=0),0,1)</f>
        <v>0</v>
      </c>
      <c r="BY99" s="200">
        <f t="shared" ref="BY99" si="1209">IF(BY91=1,-BX102-BY98,0)*IF(AND(BY81=$C86,$C92=1,$C91=0),0,1)</f>
        <v>0</v>
      </c>
      <c r="BZ99" s="200">
        <f t="shared" ref="BZ99" si="1210">IF(BZ91=1,-BY102-BZ98,0)*IF(AND(BZ81=$C86,$C92=1,$C91=0),0,1)</f>
        <v>0</v>
      </c>
      <c r="CA99" s="200">
        <f t="shared" ref="CA99" si="1211">IF(CA91=1,-BZ102-CA98,0)*IF(AND(CA81=$C86,$C92=1,$C91=0),0,1)</f>
        <v>0</v>
      </c>
      <c r="CB99" s="200">
        <f t="shared" ref="CB99" si="1212">IF(CB91=1,-CA102-CB98,0)*IF(AND(CB81=$C86,$C92=1,$C91=0),0,1)</f>
        <v>0</v>
      </c>
      <c r="CC99" s="200">
        <f t="shared" ref="CC99" si="1213">IF(CC91=1,-CB102-CC98,0)*IF(AND(CC81=$C86,$C92=1,$C91=0),0,1)</f>
        <v>0</v>
      </c>
      <c r="CD99" s="200">
        <f t="shared" ref="CD99" si="1214">IF(CD91=1,-CC102-CD98,0)*IF(AND(CD81=$C86,$C92=1,$C91=0),0,1)</f>
        <v>0</v>
      </c>
      <c r="CE99" s="200">
        <f t="shared" ref="CE99" si="1215">IF(CE91=1,-CD102-CE98,0)*IF(AND(CE81=$C86,$C92=1,$C91=0),0,1)</f>
        <v>0</v>
      </c>
      <c r="CF99" s="200">
        <f t="shared" ref="CF99" si="1216">IF(CF91=1,-CE102-CF98,0)*IF(AND(CF81=$C86,$C92=1,$C91=0),0,1)</f>
        <v>0</v>
      </c>
      <c r="CG99" s="200">
        <f t="shared" ref="CG99" si="1217">IF(CG91=1,-CF102-CG98,0)*IF(AND(CG81=$C86,$C92=1,$C91=0),0,1)</f>
        <v>0</v>
      </c>
      <c r="CH99" s="200">
        <f t="shared" ref="CH99" si="1218">IF(CH91=1,-CG102-CH98,0)*IF(AND(CH81=$C86,$C92=1,$C91=0),0,1)</f>
        <v>0</v>
      </c>
      <c r="CI99" s="200">
        <f t="shared" ref="CI99" si="1219">IF(CI91=1,-CH102-CI98,0)*IF(AND(CI81=$C86,$C92=1,$C91=0),0,1)</f>
        <v>0</v>
      </c>
      <c r="CJ99" s="200">
        <f t="shared" ref="CJ99" si="1220">IF(CJ91=1,-CI102-CJ98,0)*IF(AND(CJ81=$C86,$C92=1,$C91=0),0,1)</f>
        <v>0</v>
      </c>
      <c r="CK99" s="200">
        <f t="shared" ref="CK99" si="1221">IF(CK91=1,-CJ102-CK98,0)*IF(AND(CK81=$C86,$C92=1,$C91=0),0,1)</f>
        <v>0</v>
      </c>
      <c r="CL99" s="200">
        <f t="shared" ref="CL99" si="1222">IF(CL91=1,-CK102-CL98,0)*IF(AND(CL81=$C86,$C92=1,$C91=0),0,1)</f>
        <v>0</v>
      </c>
      <c r="CM99" s="200">
        <f t="shared" ref="CM99" si="1223">IF(CM91=1,-CL102-CM98,0)*IF(AND(CM81=$C86,$C92=1,$C91=0),0,1)</f>
        <v>0</v>
      </c>
      <c r="CN99" s="200">
        <f t="shared" ref="CN99" si="1224">IF(CN91=1,-CM102-CN98,0)*IF(AND(CN81=$C86,$C92=1,$C91=0),0,1)</f>
        <v>0</v>
      </c>
      <c r="CO99" s="200">
        <f t="shared" ref="CO99" si="1225">IF(CO91=1,-CN102-CO98,0)*IF(AND(CO81=$C86,$C92=1,$C91=0),0,1)</f>
        <v>0</v>
      </c>
      <c r="CP99" s="200">
        <f t="shared" ref="CP99" si="1226">IF(CP91=1,-CO102-CP98,0)*IF(AND(CP81=$C86,$C92=1,$C91=0),0,1)</f>
        <v>0</v>
      </c>
      <c r="CQ99" s="200">
        <f t="shared" ref="CQ99" si="1227">IF(CQ91=1,-CP102-CQ98,0)*IF(AND(CQ81=$C86,$C92=1,$C91=0),0,1)</f>
        <v>0</v>
      </c>
      <c r="CR99" s="200">
        <f t="shared" ref="CR99" si="1228">IF(CR91=1,-CQ102-CR98,0)*IF(AND(CR81=$C86,$C92=1,$C91=0),0,1)</f>
        <v>0</v>
      </c>
      <c r="CS99" s="200">
        <f t="shared" ref="CS99" si="1229">IF(CS91=1,-CR102-CS98,0)*IF(AND(CS81=$C86,$C92=1,$C91=0),0,1)</f>
        <v>0</v>
      </c>
      <c r="CT99" s="200">
        <f t="shared" ref="CT99" si="1230">IF(CT91=1,-CS102-CT98,0)*IF(AND(CT81=$C86,$C92=1,$C91=0),0,1)</f>
        <v>0</v>
      </c>
      <c r="CU99" s="200">
        <f t="shared" ref="CU99" si="1231">IF(CU91=1,-CT102-CU98,0)*IF(AND(CU81=$C86,$C92=1,$C91=0),0,1)</f>
        <v>0</v>
      </c>
      <c r="CV99" s="200">
        <f t="shared" ref="CV99" si="1232">IF(CV91=1,-CU102-CV98,0)*IF(AND(CV81=$C86,$C92=1,$C91=0),0,1)</f>
        <v>0</v>
      </c>
      <c r="CW99" s="200">
        <f t="shared" ref="CW99" si="1233">IF(CW91=1,-CV102-CW98,0)*IF(AND(CW81=$C86,$C92=1,$C91=0),0,1)</f>
        <v>0</v>
      </c>
      <c r="CX99" s="200">
        <f t="shared" ref="CX99" si="1234">IF(CX91=1,-CW102-CX98,0)*IF(AND(CX81=$C86,$C92=1,$C91=0),0,1)</f>
        <v>0</v>
      </c>
      <c r="CY99" s="200">
        <f t="shared" ref="CY99" si="1235">IF(CY91=1,-CX102-CY98,0)*IF(AND(CY81=$C86,$C92=1,$C91=0),0,1)</f>
        <v>0</v>
      </c>
      <c r="CZ99" s="200">
        <f t="shared" ref="CZ99" si="1236">IF(CZ91=1,-CY102-CZ98,0)*IF(AND(CZ81=$C86,$C92=1,$C91=0),0,1)</f>
        <v>0</v>
      </c>
      <c r="DA99" s="200">
        <f t="shared" ref="DA99" si="1237">IF(DA91=1,-CZ102-DA98,0)*IF(AND(DA81=$C86,$C92=1,$C91=0),0,1)</f>
        <v>0</v>
      </c>
      <c r="DB99" s="200">
        <f t="shared" ref="DB99" si="1238">IF(DB91=1,-DA102-DB98,0)*IF(AND(DB81=$C86,$C92=1,$C91=0),0,1)</f>
        <v>0</v>
      </c>
      <c r="DC99" s="200">
        <f t="shared" ref="DC99" si="1239">IF(DC91=1,-DB102-DC98,0)*IF(AND(DC81=$C86,$C92=1,$C91=0),0,1)</f>
        <v>0</v>
      </c>
      <c r="DD99" s="200">
        <f t="shared" ref="DD99" si="1240">IF(DD91=1,-DC102-DD98,0)*IF(AND(DD81=$C86,$C92=1,$C91=0),0,1)</f>
        <v>0</v>
      </c>
      <c r="DE99" s="200">
        <f t="shared" ref="DE99" si="1241">IF(DE91=1,-DD102-DE98,0)*IF(AND(DE81=$C86,$C92=1,$C91=0),0,1)</f>
        <v>0</v>
      </c>
      <c r="DF99" s="200">
        <f t="shared" ref="DF99" si="1242">IF(DF91=1,-DE102-DF98,0)*IF(AND(DF81=$C86,$C92=1,$C91=0),0,1)</f>
        <v>0</v>
      </c>
      <c r="DG99" s="200">
        <f t="shared" ref="DG99" si="1243">IF(DG91=1,-DF102-DG98,0)*IF(AND(DG81=$C86,$C92=1,$C91=0),0,1)</f>
        <v>0</v>
      </c>
      <c r="DH99" s="200">
        <f t="shared" ref="DH99" si="1244">IF(DH91=1,-DG102-DH98,0)*IF(AND(DH81=$C86,$C92=1,$C91=0),0,1)</f>
        <v>0</v>
      </c>
      <c r="DI99" s="200">
        <f t="shared" ref="DI99" si="1245">IF(DI91=1,-DH102-DI98,0)*IF(AND(DI81=$C86,$C92=1,$C91=0),0,1)</f>
        <v>0</v>
      </c>
      <c r="DJ99" s="200">
        <f t="shared" ref="DJ99" si="1246">IF(DJ91=1,-DI102-DJ98,0)*IF(AND(DJ81=$C86,$C92=1,$C91=0),0,1)</f>
        <v>0</v>
      </c>
      <c r="DK99" s="200">
        <f t="shared" ref="DK99" si="1247">IF(DK91=1,-DJ102-DK98,0)*IF(AND(DK81=$C86,$C92=1,$C91=0),0,1)</f>
        <v>0</v>
      </c>
      <c r="DL99" s="200">
        <f t="shared" ref="DL99" si="1248">IF(DL91=1,-DK102-DL98,0)*IF(AND(DL81=$C86,$C92=1,$C91=0),0,1)</f>
        <v>0</v>
      </c>
      <c r="DM99" s="200">
        <f t="shared" ref="DM99" si="1249">IF(DM91=1,-DL102-DM98,0)*IF(AND(DM81=$C86,$C92=1,$C91=0),0,1)</f>
        <v>0</v>
      </c>
      <c r="DN99" s="200">
        <f t="shared" ref="DN99" si="1250">IF(DN91=1,-DM102-DN98,0)*IF(AND(DN81=$C86,$C92=1,$C91=0),0,1)</f>
        <v>0</v>
      </c>
      <c r="DO99" s="200">
        <f t="shared" ref="DO99" si="1251">IF(DO91=1,-DN102-DO98,0)*IF(AND(DO81=$C86,$C92=1,$C91=0),0,1)</f>
        <v>0</v>
      </c>
      <c r="DP99" s="200">
        <f t="shared" ref="DP99" si="1252">IF(DP91=1,-DO102-DP98,0)*IF(AND(DP81=$C86,$C92=1,$C91=0),0,1)</f>
        <v>0</v>
      </c>
      <c r="DQ99" s="200">
        <f t="shared" ref="DQ99" si="1253">IF(DQ91=1,-DP102-DQ98,0)*IF(AND(DQ81=$C86,$C92=1,$C91=0),0,1)</f>
        <v>0</v>
      </c>
      <c r="DR99" s="200">
        <f t="shared" ref="DR99" si="1254">IF(DR91=1,-DQ102-DR98,0)*IF(AND(DR81=$C86,$C92=1,$C91=0),0,1)</f>
        <v>0</v>
      </c>
      <c r="DS99" s="200">
        <f t="shared" ref="DS99" si="1255">IF(DS91=1,-DR102-DS98,0)*IF(AND(DS81=$C86,$C92=1,$C91=0),0,1)</f>
        <v>0</v>
      </c>
      <c r="DT99" s="200">
        <f t="shared" ref="DT99" si="1256">IF(DT91=1,-DS102-DT98,0)*IF(AND(DT81=$C86,$C92=1,$C91=0),0,1)</f>
        <v>0</v>
      </c>
      <c r="DU99" s="200">
        <f t="shared" ref="DU99" si="1257">IF(DU91=1,-DT102-DU98,0)*IF(AND(DU81=$C86,$C92=1,$C91=0),0,1)</f>
        <v>0</v>
      </c>
      <c r="DV99" s="200">
        <f t="shared" ref="DV99" si="1258">IF(DV91=1,-DU102-DV98,0)*IF(AND(DV81=$C86,$C92=1,$C91=0),0,1)</f>
        <v>0</v>
      </c>
      <c r="DW99" s="200">
        <f t="shared" ref="DW99" si="1259">IF(DW91=1,-DV102-DW98,0)*IF(AND(DW81=$C86,$C92=1,$C91=0),0,1)</f>
        <v>0</v>
      </c>
      <c r="DX99" s="200">
        <f t="shared" ref="DX99" si="1260">IF(DX91=1,-DW102-DX98,0)*IF(AND(DX81=$C86,$C92=1,$C91=0),0,1)</f>
        <v>0</v>
      </c>
      <c r="DY99" s="200">
        <f t="shared" ref="DY99" si="1261">IF(DY91=1,-DX102-DY98,0)*IF(AND(DY81=$C86,$C92=1,$C91=0),0,1)</f>
        <v>0</v>
      </c>
      <c r="DZ99" s="200">
        <f t="shared" ref="DZ99" si="1262">IF(DZ91=1,-DY102-DZ98,0)*IF(AND(DZ81=$C86,$C92=1,$C91=0),0,1)</f>
        <v>0</v>
      </c>
      <c r="EA99" s="200">
        <f t="shared" ref="EA99" si="1263">IF(EA91=1,-DZ102-EA98,0)*IF(AND(EA81=$C86,$C92=1,$C91=0),0,1)</f>
        <v>0</v>
      </c>
      <c r="EB99" s="200">
        <f t="shared" ref="EB99" si="1264">IF(EB91=1,-EA102-EB98,0)*IF(AND(EB81=$C86,$C92=1,$C91=0),0,1)</f>
        <v>0</v>
      </c>
      <c r="EC99" s="200">
        <f t="shared" ref="EC99" si="1265">IF(EC91=1,-EB102-EC98,0)*IF(AND(EC81=$C86,$C92=1,$C91=0),0,1)</f>
        <v>0</v>
      </c>
      <c r="ED99" s="200">
        <f t="shared" ref="ED99" si="1266">IF(ED91=1,-EC102-ED98,0)*IF(AND(ED81=$C86,$C92=1,$C91=0),0,1)</f>
        <v>0</v>
      </c>
      <c r="EE99" s="200">
        <f t="shared" ref="EE99" si="1267">IF(EE91=1,-ED102-EE98,0)*IF(AND(EE81=$C86,$C92=1,$C91=0),0,1)</f>
        <v>0</v>
      </c>
      <c r="EF99" s="200">
        <f t="shared" ref="EF99" si="1268">IF(EF91=1,-EE102-EF98,0)*IF(AND(EF81=$C86,$C92=1,$C91=0),0,1)</f>
        <v>0</v>
      </c>
      <c r="EG99" s="200">
        <f t="shared" ref="EG99" si="1269">IF(EG91=1,-EF102-EG98,0)*IF(AND(EG81=$C86,$C92=1,$C91=0),0,1)</f>
        <v>0</v>
      </c>
      <c r="EH99" s="200">
        <f t="shared" ref="EH99" si="1270">IF(EH91=1,-EG102-EH98,0)*IF(AND(EH81=$C86,$C92=1,$C91=0),0,1)</f>
        <v>0</v>
      </c>
      <c r="EI99" s="200">
        <f t="shared" ref="EI99" si="1271">IF(EI91=1,-EH102-EI98,0)*IF(AND(EI81=$C86,$C92=1,$C91=0),0,1)</f>
        <v>0</v>
      </c>
      <c r="EJ99" s="200">
        <f t="shared" ref="EJ99" si="1272">IF(EJ91=1,-EI102-EJ98,0)*IF(AND(EJ81=$C86,$C92=1,$C91=0),0,1)</f>
        <v>0</v>
      </c>
      <c r="EK99" s="200">
        <f t="shared" ref="EK99" si="1273">IF(EK91=1,-EJ102-EK98,0)*IF(AND(EK81=$C86,$C92=1,$C91=0),0,1)</f>
        <v>0</v>
      </c>
      <c r="EL99" s="200">
        <f t="shared" ref="EL99" si="1274">IF(EL91=1,-EK102-EL98,0)*IF(AND(EL81=$C86,$C92=1,$C91=0),0,1)</f>
        <v>0</v>
      </c>
      <c r="EM99" s="200">
        <f t="shared" ref="EM99" si="1275">IF(EM91=1,-EL102-EM98,0)*IF(AND(EM81=$C86,$C92=1,$C91=0),0,1)</f>
        <v>0</v>
      </c>
      <c r="EN99" s="200">
        <f t="shared" ref="EN99" si="1276">IF(EN91=1,-EM102-EN98,0)*IF(AND(EN81=$C86,$C92=1,$C91=0),0,1)</f>
        <v>0</v>
      </c>
      <c r="EO99" s="200">
        <f t="shared" ref="EO99" si="1277">IF(EO91=1,-EN102-EO98,0)*IF(AND(EO81=$C86,$C92=1,$C91=0),0,1)</f>
        <v>0</v>
      </c>
      <c r="EP99" s="200">
        <f t="shared" ref="EP99" si="1278">IF(EP91=1,-EO102-EP98,0)*IF(AND(EP81=$C86,$C92=1,$C91=0),0,1)</f>
        <v>0</v>
      </c>
      <c r="EQ99" s="200">
        <f t="shared" ref="EQ99" si="1279">IF(EQ91=1,-EP102-EQ98,0)*IF(AND(EQ81=$C86,$C92=1,$C91=0),0,1)</f>
        <v>0</v>
      </c>
      <c r="ER99" s="200">
        <f t="shared" ref="ER99" si="1280">IF(ER91=1,-EQ102-ER98,0)*IF(AND(ER81=$C86,$C92=1,$C91=0),0,1)</f>
        <v>0</v>
      </c>
      <c r="ES99" s="200">
        <f t="shared" ref="ES99" si="1281">IF(ES91=1,-ER102-ES98,0)*IF(AND(ES81=$C86,$C92=1,$C91=0),0,1)</f>
        <v>0</v>
      </c>
      <c r="ET99" s="200">
        <f t="shared" ref="ET99" si="1282">IF(ET91=1,-ES102-ET98,0)*IF(AND(ET81=$C86,$C92=1,$C91=0),0,1)</f>
        <v>0</v>
      </c>
      <c r="EU99" s="200">
        <f t="shared" ref="EU99" si="1283">IF(EU91=1,-ET102-EU98,0)*IF(AND(EU81=$C86,$C92=1,$C91=0),0,1)</f>
        <v>0</v>
      </c>
      <c r="EV99" s="200">
        <f t="shared" ref="EV99" si="1284">IF(EV91=1,-EU102-EV98,0)*IF(AND(EV81=$C86,$C92=1,$C91=0),0,1)</f>
        <v>0</v>
      </c>
      <c r="EW99" s="200">
        <f t="shared" ref="EW99" si="1285">IF(EW91=1,-EV102-EW98,0)*IF(AND(EW81=$C86,$C92=1,$C91=0),0,1)</f>
        <v>0</v>
      </c>
      <c r="EX99" s="200">
        <f t="shared" ref="EX99" si="1286">IF(EX91=1,-EW102-EX98,0)*IF(AND(EX81=$C86,$C92=1,$C91=0),0,1)</f>
        <v>0</v>
      </c>
      <c r="EY99" s="200">
        <f t="shared" ref="EY99" si="1287">IF(EY91=1,-EX102-EY98,0)*IF(AND(EY81=$C86,$C92=1,$C91=0),0,1)</f>
        <v>0</v>
      </c>
      <c r="EZ99" s="200">
        <f t="shared" ref="EZ99" si="1288">IF(EZ91=1,-EY102-EZ98,0)*IF(AND(EZ81=$C86,$C92=1,$C91=0),0,1)</f>
        <v>0</v>
      </c>
      <c r="FA99" s="200">
        <f t="shared" ref="FA99" si="1289">IF(FA91=1,-EZ102-FA98,0)*IF(AND(FA81=$C86,$C92=1,$C91=0),0,1)</f>
        <v>0</v>
      </c>
      <c r="FB99" s="200">
        <f t="shared" ref="FB99" si="1290">IF(FB91=1,-FA102-FB98,0)*IF(AND(FB81=$C86,$C92=1,$C91=0),0,1)</f>
        <v>0</v>
      </c>
      <c r="FC99" s="200">
        <f t="shared" ref="FC99" si="1291">IF(FC91=1,-FB102-FC98,0)*IF(AND(FC81=$C86,$C92=1,$C91=0),0,1)</f>
        <v>0</v>
      </c>
      <c r="FD99" s="200">
        <f t="shared" ref="FD99" si="1292">IF(FD91=1,-FC102-FD98,0)*IF(AND(FD81=$C86,$C92=1,$C91=0),0,1)</f>
        <v>0</v>
      </c>
      <c r="FE99" s="200">
        <f t="shared" ref="FE99" si="1293">IF(FE91=1,-FD102-FE98,0)*IF(AND(FE81=$C86,$C92=1,$C91=0),0,1)</f>
        <v>0</v>
      </c>
      <c r="FF99" s="200">
        <f t="shared" ref="FF99" si="1294">IF(FF91=1,-FE102-FF98,0)*IF(AND(FF81=$C86,$C92=1,$C91=0),0,1)</f>
        <v>0</v>
      </c>
      <c r="FG99" s="200">
        <f t="shared" ref="FG99" si="1295">IF(FG91=1,-FF102-FG98,0)*IF(AND(FG81=$C86,$C92=1,$C91=0),0,1)</f>
        <v>0</v>
      </c>
      <c r="FH99" s="200">
        <f t="shared" ref="FH99" si="1296">IF(FH91=1,-FG102-FH98,0)*IF(AND(FH81=$C86,$C92=1,$C91=0),0,1)</f>
        <v>0</v>
      </c>
      <c r="FI99" s="200">
        <f t="shared" ref="FI99" si="1297">IF(FI91=1,-FH102-FI98,0)*IF(AND(FI81=$C86,$C92=1,$C91=0),0,1)</f>
        <v>0</v>
      </c>
      <c r="FJ99" s="200">
        <f t="shared" ref="FJ99" si="1298">IF(FJ91=1,-FI102-FJ98,0)*IF(AND(FJ81=$C86,$C92=1,$C91=0),0,1)</f>
        <v>0</v>
      </c>
      <c r="FK99" s="200">
        <f t="shared" ref="FK99" si="1299">IF(FK91=1,-FJ102-FK98,0)*IF(AND(FK81=$C86,$C92=1,$C91=0),0,1)</f>
        <v>0</v>
      </c>
      <c r="FL99" s="200">
        <f t="shared" ref="FL99" si="1300">IF(FL91=1,-FK102-FL98,0)*IF(AND(FL81=$C86,$C92=1,$C91=0),0,1)</f>
        <v>0</v>
      </c>
      <c r="FM99" s="200">
        <f t="shared" ref="FM99" si="1301">IF(FM91=1,-FL102-FM98,0)*IF(AND(FM81=$C86,$C92=1,$C91=0),0,1)</f>
        <v>0</v>
      </c>
      <c r="FN99" s="200">
        <f t="shared" ref="FN99" si="1302">IF(FN91=1,-FM102-FN98,0)*IF(AND(FN81=$C86,$C92=1,$C91=0),0,1)</f>
        <v>0</v>
      </c>
      <c r="FO99" s="200">
        <f t="shared" ref="FO99" si="1303">IF(FO91=1,-FN102-FO98,0)*IF(AND(FO81=$C86,$C92=1,$C91=0),0,1)</f>
        <v>0</v>
      </c>
      <c r="FP99" s="200">
        <f t="shared" ref="FP99" si="1304">IF(FP91=1,-FO102-FP98,0)*IF(AND(FP81=$C86,$C92=1,$C91=0),0,1)</f>
        <v>0</v>
      </c>
      <c r="FQ99" s="200">
        <f t="shared" ref="FQ99" si="1305">IF(FQ91=1,-FP102-FQ98,0)*IF(AND(FQ81=$C86,$C92=1,$C91=0),0,1)</f>
        <v>0</v>
      </c>
      <c r="FR99" s="200">
        <f t="shared" ref="FR99" si="1306">IF(FR91=1,-FQ102-FR98,0)*IF(AND(FR81=$C86,$C92=1,$C91=0),0,1)</f>
        <v>0</v>
      </c>
      <c r="FS99" s="200">
        <f t="shared" ref="FS99" si="1307">IF(FS91=1,-FR102-FS98,0)*IF(AND(FS81=$C86,$C92=1,$C91=0),0,1)</f>
        <v>0</v>
      </c>
      <c r="FT99" s="200">
        <f t="shared" ref="FT99" si="1308">IF(FT91=1,-FS102-FT98,0)*IF(AND(FT81=$C86,$C92=1,$C91=0),0,1)</f>
        <v>0</v>
      </c>
      <c r="FU99" s="200">
        <f t="shared" ref="FU99" si="1309">IF(FU91=1,-FT102-FU98,0)*IF(AND(FU81=$C86,$C92=1,$C91=0),0,1)</f>
        <v>0</v>
      </c>
      <c r="FV99" s="200">
        <f t="shared" ref="FV99" si="1310">IF(FV91=1,-FU102-FV98,0)*IF(AND(FV81=$C86,$C92=1,$C91=0),0,1)</f>
        <v>0</v>
      </c>
      <c r="FW99" s="200">
        <f t="shared" ref="FW99" si="1311">IF(FW91=1,-FV102-FW98,0)*IF(AND(FW81=$C86,$C92=1,$C91=0),0,1)</f>
        <v>0</v>
      </c>
      <c r="FX99" s="200">
        <f t="shared" ref="FX99" si="1312">IF(FX91=1,-FW102-FX98,0)*IF(AND(FX81=$C86,$C92=1,$C91=0),0,1)</f>
        <v>0</v>
      </c>
      <c r="FY99" s="200">
        <f t="shared" ref="FY99" si="1313">IF(FY91=1,-FX102-FY98,0)*IF(AND(FY81=$C86,$C92=1,$C91=0),0,1)</f>
        <v>0</v>
      </c>
      <c r="FZ99" s="200">
        <f t="shared" ref="FZ99" si="1314">IF(FZ91=1,-FY102-FZ98,0)*IF(AND(FZ81=$C86,$C92=1,$C91=0),0,1)</f>
        <v>0</v>
      </c>
      <c r="GA99" s="200">
        <f t="shared" ref="GA99" si="1315">IF(GA91=1,-FZ102-GA98,0)*IF(AND(GA81=$C86,$C92=1,$C91=0),0,1)</f>
        <v>0</v>
      </c>
      <c r="GB99" s="200">
        <f t="shared" ref="GB99" si="1316">IF(GB91=1,-GA102-GB98,0)*IF(AND(GB81=$C86,$C92=1,$C91=0),0,1)</f>
        <v>0</v>
      </c>
      <c r="GC99" s="200">
        <f t="shared" ref="GC99" si="1317">IF(GC91=1,-GB102-GC98,0)*IF(AND(GC81=$C86,$C92=1,$C91=0),0,1)</f>
        <v>0</v>
      </c>
      <c r="GD99" s="200">
        <f t="shared" ref="GD99" si="1318">IF(GD91=1,-GC102-GD98,0)*IF(AND(GD81=$C86,$C92=1,$C91=0),0,1)</f>
        <v>0</v>
      </c>
      <c r="GE99" s="200">
        <f t="shared" ref="GE99" si="1319">IF(GE91=1,-GD102-GE98,0)*IF(AND(GE81=$C86,$C92=1,$C91=0),0,1)</f>
        <v>0</v>
      </c>
      <c r="GF99" s="200">
        <f t="shared" ref="GF99" si="1320">IF(GF91=1,-GE102-GF98,0)*IF(AND(GF81=$C86,$C92=1,$C91=0),0,1)</f>
        <v>0</v>
      </c>
      <c r="GG99" s="200">
        <f t="shared" ref="GG99" si="1321">IF(GG91=1,-GF102-GG98,0)*IF(AND(GG81=$C86,$C92=1,$C91=0),0,1)</f>
        <v>0</v>
      </c>
      <c r="GH99" s="200">
        <f t="shared" ref="GH99" si="1322">IF(GH91=1,-GG102-GH98,0)*IF(AND(GH81=$C86,$C92=1,$C91=0),0,1)</f>
        <v>0</v>
      </c>
      <c r="GI99" s="200">
        <f t="shared" ref="GI99" si="1323">IF(GI91=1,-GH102-GI98,0)*IF(AND(GI81=$C86,$C92=1,$C91=0),0,1)</f>
        <v>0</v>
      </c>
      <c r="GJ99" s="200">
        <f t="shared" ref="GJ99" si="1324">IF(GJ91=1,-GI102-GJ98,0)*IF(AND(GJ81=$C86,$C92=1,$C91=0),0,1)</f>
        <v>0</v>
      </c>
      <c r="GK99" s="200">
        <f t="shared" ref="GK99" si="1325">IF(GK91=1,-GJ102-GK98,0)*IF(AND(GK81=$C86,$C92=1,$C91=0),0,1)</f>
        <v>0</v>
      </c>
      <c r="GL99" s="200">
        <f t="shared" ref="GL99" si="1326">IF(GL91=1,-GK102-GL98,0)*IF(AND(GL81=$C86,$C92=1,$C91=0),0,1)</f>
        <v>0</v>
      </c>
      <c r="GM99" s="200">
        <f t="shared" ref="GM99" si="1327">IF(GM91=1,-GL102-GM98,0)*IF(AND(GM81=$C86,$C92=1,$C91=0),0,1)</f>
        <v>0</v>
      </c>
      <c r="GN99" s="200">
        <f t="shared" ref="GN99" si="1328">IF(GN91=1,-GM102-GN98,0)*IF(AND(GN81=$C86,$C92=1,$C91=0),0,1)</f>
        <v>0</v>
      </c>
      <c r="GO99" s="200">
        <f t="shared" ref="GO99" si="1329">IF(GO91=1,-GN102-GO98,0)*IF(AND(GO81=$C86,$C92=1,$C91=0),0,1)</f>
        <v>0</v>
      </c>
      <c r="GP99" s="200">
        <f t="shared" ref="GP99" si="1330">IF(GP91=1,-GO102-GP98,0)*IF(AND(GP81=$C86,$C92=1,$C91=0),0,1)</f>
        <v>0</v>
      </c>
      <c r="GQ99" s="200">
        <f t="shared" ref="GQ99" si="1331">IF(GQ91=1,-GP102-GQ98,0)*IF(AND(GQ81=$C86,$C92=1,$C91=0),0,1)</f>
        <v>0</v>
      </c>
    </row>
    <row r="100" spans="2:199" hidden="1" outlineLevel="1">
      <c r="B100" s="190" t="s">
        <v>392</v>
      </c>
      <c r="C100" s="192"/>
      <c r="D100" s="194"/>
      <c r="E100" s="201">
        <f>-E86*LOOKUP($C83,$E81:$GQ81,$E96:$GQ96)</f>
        <v>0</v>
      </c>
      <c r="F100" s="201">
        <f t="shared" ref="F100:T100" si="1332">-F86*LOOKUP($C83,$E81:$GQ81,$E96:$GQ96)</f>
        <v>0</v>
      </c>
      <c r="G100" s="201">
        <f t="shared" si="1332"/>
        <v>0</v>
      </c>
      <c r="H100" s="201">
        <f t="shared" si="1332"/>
        <v>0</v>
      </c>
      <c r="I100" s="201">
        <f t="shared" si="1332"/>
        <v>0</v>
      </c>
      <c r="J100" s="201">
        <f t="shared" si="1332"/>
        <v>0</v>
      </c>
      <c r="K100" s="201">
        <f t="shared" si="1332"/>
        <v>0</v>
      </c>
      <c r="L100" s="201">
        <f t="shared" si="1332"/>
        <v>0</v>
      </c>
      <c r="M100" s="201">
        <f t="shared" si="1332"/>
        <v>0</v>
      </c>
      <c r="N100" s="201">
        <f t="shared" si="1332"/>
        <v>0</v>
      </c>
      <c r="O100" s="201">
        <f t="shared" si="1332"/>
        <v>0</v>
      </c>
      <c r="P100" s="201">
        <f t="shared" si="1332"/>
        <v>0</v>
      </c>
      <c r="Q100" s="201">
        <f t="shared" si="1332"/>
        <v>-47500</v>
      </c>
      <c r="R100" s="201">
        <f t="shared" si="1332"/>
        <v>0</v>
      </c>
      <c r="S100" s="201">
        <f t="shared" si="1332"/>
        <v>0</v>
      </c>
      <c r="T100" s="201">
        <f t="shared" si="1332"/>
        <v>0</v>
      </c>
      <c r="U100" s="201">
        <f t="shared" ref="U100:X100" si="1333">-U86*LOOKUP($C83,$E81:$GQ81,$E96:$GQ96)</f>
        <v>0</v>
      </c>
      <c r="V100" s="201">
        <f t="shared" si="1333"/>
        <v>0</v>
      </c>
      <c r="W100" s="201">
        <f t="shared" si="1333"/>
        <v>0</v>
      </c>
      <c r="X100" s="201">
        <f t="shared" si="1333"/>
        <v>0</v>
      </c>
      <c r="Y100" s="201">
        <f t="shared" ref="Y100:CG100" si="1334">-Y86*LOOKUP($C83,$E81:$GQ81,$E96:$GQ96)</f>
        <v>0</v>
      </c>
      <c r="Z100" s="201">
        <f t="shared" si="1334"/>
        <v>0</v>
      </c>
      <c r="AA100" s="201">
        <f t="shared" si="1334"/>
        <v>0</v>
      </c>
      <c r="AB100" s="201">
        <f t="shared" si="1334"/>
        <v>0</v>
      </c>
      <c r="AC100" s="201">
        <f t="shared" si="1334"/>
        <v>-47500</v>
      </c>
      <c r="AD100" s="201">
        <f t="shared" si="1334"/>
        <v>0</v>
      </c>
      <c r="AE100" s="201">
        <f t="shared" si="1334"/>
        <v>0</v>
      </c>
      <c r="AF100" s="201">
        <f t="shared" si="1334"/>
        <v>0</v>
      </c>
      <c r="AG100" s="201">
        <f t="shared" si="1334"/>
        <v>0</v>
      </c>
      <c r="AH100" s="201">
        <f t="shared" si="1334"/>
        <v>0</v>
      </c>
      <c r="AI100" s="201">
        <f t="shared" si="1334"/>
        <v>0</v>
      </c>
      <c r="AJ100" s="201">
        <f t="shared" si="1334"/>
        <v>0</v>
      </c>
      <c r="AK100" s="201">
        <f t="shared" si="1334"/>
        <v>0</v>
      </c>
      <c r="AL100" s="201">
        <f t="shared" si="1334"/>
        <v>0</v>
      </c>
      <c r="AM100" s="201">
        <f t="shared" si="1334"/>
        <v>0</v>
      </c>
      <c r="AN100" s="201">
        <f t="shared" si="1334"/>
        <v>0</v>
      </c>
      <c r="AO100" s="201">
        <f t="shared" si="1334"/>
        <v>-47500</v>
      </c>
      <c r="AP100" s="201">
        <f t="shared" si="1334"/>
        <v>0</v>
      </c>
      <c r="AQ100" s="201">
        <f t="shared" si="1334"/>
        <v>0</v>
      </c>
      <c r="AR100" s="201">
        <f t="shared" si="1334"/>
        <v>0</v>
      </c>
      <c r="AS100" s="201">
        <f t="shared" si="1334"/>
        <v>0</v>
      </c>
      <c r="AT100" s="201">
        <f t="shared" si="1334"/>
        <v>0</v>
      </c>
      <c r="AU100" s="201">
        <f t="shared" si="1334"/>
        <v>0</v>
      </c>
      <c r="AV100" s="201">
        <f t="shared" si="1334"/>
        <v>0</v>
      </c>
      <c r="AW100" s="201">
        <f t="shared" si="1334"/>
        <v>0</v>
      </c>
      <c r="AX100" s="201">
        <f t="shared" si="1334"/>
        <v>0</v>
      </c>
      <c r="AY100" s="201">
        <f t="shared" si="1334"/>
        <v>0</v>
      </c>
      <c r="AZ100" s="201">
        <f t="shared" si="1334"/>
        <v>0</v>
      </c>
      <c r="BA100" s="201">
        <f t="shared" si="1334"/>
        <v>-47500</v>
      </c>
      <c r="BB100" s="201">
        <f t="shared" si="1334"/>
        <v>0</v>
      </c>
      <c r="BC100" s="201">
        <f t="shared" si="1334"/>
        <v>0</v>
      </c>
      <c r="BD100" s="201">
        <f t="shared" si="1334"/>
        <v>0</v>
      </c>
      <c r="BE100" s="201">
        <f t="shared" si="1334"/>
        <v>0</v>
      </c>
      <c r="BF100" s="201">
        <f t="shared" si="1334"/>
        <v>0</v>
      </c>
      <c r="BG100" s="201">
        <f t="shared" si="1334"/>
        <v>0</v>
      </c>
      <c r="BH100" s="201">
        <f t="shared" si="1334"/>
        <v>0</v>
      </c>
      <c r="BI100" s="201">
        <f t="shared" si="1334"/>
        <v>0</v>
      </c>
      <c r="BJ100" s="201">
        <f t="shared" si="1334"/>
        <v>0</v>
      </c>
      <c r="BK100" s="201">
        <f t="shared" si="1334"/>
        <v>0</v>
      </c>
      <c r="BL100" s="201">
        <f t="shared" si="1334"/>
        <v>0</v>
      </c>
      <c r="BM100" s="201">
        <f t="shared" si="1334"/>
        <v>0</v>
      </c>
      <c r="BN100" s="201">
        <f t="shared" si="1334"/>
        <v>0</v>
      </c>
      <c r="BO100" s="201">
        <f t="shared" si="1334"/>
        <v>0</v>
      </c>
      <c r="BP100" s="201">
        <f t="shared" si="1334"/>
        <v>0</v>
      </c>
      <c r="BQ100" s="201">
        <f t="shared" si="1334"/>
        <v>0</v>
      </c>
      <c r="BR100" s="201">
        <f t="shared" si="1334"/>
        <v>0</v>
      </c>
      <c r="BS100" s="201">
        <f t="shared" si="1334"/>
        <v>0</v>
      </c>
      <c r="BT100" s="201">
        <f t="shared" si="1334"/>
        <v>0</v>
      </c>
      <c r="BU100" s="201">
        <f t="shared" si="1334"/>
        <v>0</v>
      </c>
      <c r="BV100" s="201">
        <f t="shared" si="1334"/>
        <v>0</v>
      </c>
      <c r="BW100" s="201">
        <f t="shared" si="1334"/>
        <v>0</v>
      </c>
      <c r="BX100" s="201">
        <f t="shared" si="1334"/>
        <v>0</v>
      </c>
      <c r="BY100" s="201">
        <f t="shared" si="1334"/>
        <v>0</v>
      </c>
      <c r="BZ100" s="201">
        <f t="shared" si="1334"/>
        <v>0</v>
      </c>
      <c r="CA100" s="201">
        <f t="shared" si="1334"/>
        <v>0</v>
      </c>
      <c r="CB100" s="201">
        <f t="shared" si="1334"/>
        <v>0</v>
      </c>
      <c r="CC100" s="201">
        <f t="shared" si="1334"/>
        <v>0</v>
      </c>
      <c r="CD100" s="201">
        <f t="shared" si="1334"/>
        <v>0</v>
      </c>
      <c r="CE100" s="201">
        <f t="shared" si="1334"/>
        <v>0</v>
      </c>
      <c r="CF100" s="201">
        <f t="shared" si="1334"/>
        <v>0</v>
      </c>
      <c r="CG100" s="201">
        <f t="shared" si="1334"/>
        <v>0</v>
      </c>
      <c r="CH100" s="201">
        <f t="shared" ref="CH100:ES100" si="1335">-CH86*LOOKUP($C83,$E81:$GQ81,$E96:$GQ96)</f>
        <v>0</v>
      </c>
      <c r="CI100" s="201">
        <f t="shared" si="1335"/>
        <v>0</v>
      </c>
      <c r="CJ100" s="201">
        <f t="shared" si="1335"/>
        <v>0</v>
      </c>
      <c r="CK100" s="201">
        <f t="shared" si="1335"/>
        <v>0</v>
      </c>
      <c r="CL100" s="201">
        <f t="shared" si="1335"/>
        <v>0</v>
      </c>
      <c r="CM100" s="201">
        <f t="shared" si="1335"/>
        <v>0</v>
      </c>
      <c r="CN100" s="201">
        <f t="shared" si="1335"/>
        <v>0</v>
      </c>
      <c r="CO100" s="201">
        <f t="shared" si="1335"/>
        <v>0</v>
      </c>
      <c r="CP100" s="201">
        <f t="shared" si="1335"/>
        <v>0</v>
      </c>
      <c r="CQ100" s="201">
        <f t="shared" si="1335"/>
        <v>0</v>
      </c>
      <c r="CR100" s="201">
        <f t="shared" si="1335"/>
        <v>0</v>
      </c>
      <c r="CS100" s="201">
        <f t="shared" si="1335"/>
        <v>0</v>
      </c>
      <c r="CT100" s="201">
        <f t="shared" si="1335"/>
        <v>0</v>
      </c>
      <c r="CU100" s="201">
        <f t="shared" si="1335"/>
        <v>0</v>
      </c>
      <c r="CV100" s="201">
        <f t="shared" si="1335"/>
        <v>0</v>
      </c>
      <c r="CW100" s="201">
        <f t="shared" si="1335"/>
        <v>0</v>
      </c>
      <c r="CX100" s="201">
        <f t="shared" si="1335"/>
        <v>0</v>
      </c>
      <c r="CY100" s="201">
        <f t="shared" si="1335"/>
        <v>0</v>
      </c>
      <c r="CZ100" s="201">
        <f t="shared" si="1335"/>
        <v>0</v>
      </c>
      <c r="DA100" s="201">
        <f t="shared" si="1335"/>
        <v>0</v>
      </c>
      <c r="DB100" s="201">
        <f t="shared" si="1335"/>
        <v>0</v>
      </c>
      <c r="DC100" s="201">
        <f t="shared" si="1335"/>
        <v>0</v>
      </c>
      <c r="DD100" s="201">
        <f t="shared" si="1335"/>
        <v>0</v>
      </c>
      <c r="DE100" s="201">
        <f t="shared" si="1335"/>
        <v>0</v>
      </c>
      <c r="DF100" s="201">
        <f t="shared" si="1335"/>
        <v>0</v>
      </c>
      <c r="DG100" s="201">
        <f t="shared" si="1335"/>
        <v>0</v>
      </c>
      <c r="DH100" s="201">
        <f t="shared" si="1335"/>
        <v>0</v>
      </c>
      <c r="DI100" s="201">
        <f t="shared" si="1335"/>
        <v>0</v>
      </c>
      <c r="DJ100" s="201">
        <f t="shared" si="1335"/>
        <v>0</v>
      </c>
      <c r="DK100" s="201">
        <f t="shared" si="1335"/>
        <v>0</v>
      </c>
      <c r="DL100" s="201">
        <f t="shared" si="1335"/>
        <v>0</v>
      </c>
      <c r="DM100" s="201">
        <f t="shared" si="1335"/>
        <v>0</v>
      </c>
      <c r="DN100" s="201">
        <f t="shared" si="1335"/>
        <v>0</v>
      </c>
      <c r="DO100" s="201">
        <f t="shared" si="1335"/>
        <v>0</v>
      </c>
      <c r="DP100" s="201">
        <f t="shared" si="1335"/>
        <v>0</v>
      </c>
      <c r="DQ100" s="201">
        <f t="shared" si="1335"/>
        <v>0</v>
      </c>
      <c r="DR100" s="201">
        <f t="shared" si="1335"/>
        <v>0</v>
      </c>
      <c r="DS100" s="201">
        <f t="shared" si="1335"/>
        <v>0</v>
      </c>
      <c r="DT100" s="201">
        <f t="shared" si="1335"/>
        <v>0</v>
      </c>
      <c r="DU100" s="201">
        <f t="shared" si="1335"/>
        <v>0</v>
      </c>
      <c r="DV100" s="201">
        <f t="shared" si="1335"/>
        <v>0</v>
      </c>
      <c r="DW100" s="201">
        <f t="shared" si="1335"/>
        <v>0</v>
      </c>
      <c r="DX100" s="201">
        <f t="shared" si="1335"/>
        <v>0</v>
      </c>
      <c r="DY100" s="201">
        <f t="shared" si="1335"/>
        <v>0</v>
      </c>
      <c r="DZ100" s="201">
        <f t="shared" si="1335"/>
        <v>0</v>
      </c>
      <c r="EA100" s="201">
        <f t="shared" si="1335"/>
        <v>0</v>
      </c>
      <c r="EB100" s="201">
        <f t="shared" si="1335"/>
        <v>0</v>
      </c>
      <c r="EC100" s="201">
        <f t="shared" si="1335"/>
        <v>0</v>
      </c>
      <c r="ED100" s="201">
        <f t="shared" si="1335"/>
        <v>0</v>
      </c>
      <c r="EE100" s="201">
        <f t="shared" si="1335"/>
        <v>0</v>
      </c>
      <c r="EF100" s="201">
        <f t="shared" si="1335"/>
        <v>0</v>
      </c>
      <c r="EG100" s="201">
        <f t="shared" si="1335"/>
        <v>0</v>
      </c>
      <c r="EH100" s="201">
        <f t="shared" si="1335"/>
        <v>0</v>
      </c>
      <c r="EI100" s="201">
        <f t="shared" si="1335"/>
        <v>0</v>
      </c>
      <c r="EJ100" s="201">
        <f t="shared" si="1335"/>
        <v>0</v>
      </c>
      <c r="EK100" s="201">
        <f t="shared" si="1335"/>
        <v>0</v>
      </c>
      <c r="EL100" s="201">
        <f t="shared" si="1335"/>
        <v>0</v>
      </c>
      <c r="EM100" s="201">
        <f t="shared" si="1335"/>
        <v>0</v>
      </c>
      <c r="EN100" s="201">
        <f t="shared" si="1335"/>
        <v>0</v>
      </c>
      <c r="EO100" s="201">
        <f t="shared" si="1335"/>
        <v>0</v>
      </c>
      <c r="EP100" s="201">
        <f t="shared" si="1335"/>
        <v>0</v>
      </c>
      <c r="EQ100" s="201">
        <f t="shared" si="1335"/>
        <v>0</v>
      </c>
      <c r="ER100" s="201">
        <f t="shared" si="1335"/>
        <v>0</v>
      </c>
      <c r="ES100" s="201">
        <f t="shared" si="1335"/>
        <v>0</v>
      </c>
      <c r="ET100" s="201">
        <f t="shared" ref="ET100:GQ100" si="1336">-ET86*LOOKUP($C83,$E81:$GQ81,$E96:$GQ96)</f>
        <v>0</v>
      </c>
      <c r="EU100" s="201">
        <f t="shared" si="1336"/>
        <v>0</v>
      </c>
      <c r="EV100" s="201">
        <f t="shared" si="1336"/>
        <v>0</v>
      </c>
      <c r="EW100" s="201">
        <f t="shared" si="1336"/>
        <v>0</v>
      </c>
      <c r="EX100" s="201">
        <f t="shared" si="1336"/>
        <v>0</v>
      </c>
      <c r="EY100" s="201">
        <f t="shared" si="1336"/>
        <v>0</v>
      </c>
      <c r="EZ100" s="201">
        <f t="shared" si="1336"/>
        <v>0</v>
      </c>
      <c r="FA100" s="201">
        <f t="shared" si="1336"/>
        <v>0</v>
      </c>
      <c r="FB100" s="201">
        <f t="shared" si="1336"/>
        <v>0</v>
      </c>
      <c r="FC100" s="201">
        <f t="shared" si="1336"/>
        <v>0</v>
      </c>
      <c r="FD100" s="201">
        <f t="shared" si="1336"/>
        <v>0</v>
      </c>
      <c r="FE100" s="201">
        <f t="shared" si="1336"/>
        <v>0</v>
      </c>
      <c r="FF100" s="201">
        <f t="shared" si="1336"/>
        <v>0</v>
      </c>
      <c r="FG100" s="201">
        <f t="shared" si="1336"/>
        <v>0</v>
      </c>
      <c r="FH100" s="201">
        <f t="shared" si="1336"/>
        <v>0</v>
      </c>
      <c r="FI100" s="201">
        <f t="shared" si="1336"/>
        <v>0</v>
      </c>
      <c r="FJ100" s="201">
        <f t="shared" si="1336"/>
        <v>0</v>
      </c>
      <c r="FK100" s="201">
        <f t="shared" si="1336"/>
        <v>0</v>
      </c>
      <c r="FL100" s="201">
        <f t="shared" si="1336"/>
        <v>0</v>
      </c>
      <c r="FM100" s="201">
        <f t="shared" si="1336"/>
        <v>0</v>
      </c>
      <c r="FN100" s="201">
        <f t="shared" si="1336"/>
        <v>0</v>
      </c>
      <c r="FO100" s="201">
        <f t="shared" si="1336"/>
        <v>0</v>
      </c>
      <c r="FP100" s="201">
        <f t="shared" si="1336"/>
        <v>0</v>
      </c>
      <c r="FQ100" s="201">
        <f t="shared" si="1336"/>
        <v>0</v>
      </c>
      <c r="FR100" s="201">
        <f t="shared" si="1336"/>
        <v>0</v>
      </c>
      <c r="FS100" s="201">
        <f t="shared" si="1336"/>
        <v>0</v>
      </c>
      <c r="FT100" s="201">
        <f t="shared" si="1336"/>
        <v>0</v>
      </c>
      <c r="FU100" s="201">
        <f t="shared" si="1336"/>
        <v>0</v>
      </c>
      <c r="FV100" s="201">
        <f t="shared" si="1336"/>
        <v>0</v>
      </c>
      <c r="FW100" s="201">
        <f t="shared" si="1336"/>
        <v>0</v>
      </c>
      <c r="FX100" s="201">
        <f t="shared" si="1336"/>
        <v>0</v>
      </c>
      <c r="FY100" s="201">
        <f t="shared" si="1336"/>
        <v>0</v>
      </c>
      <c r="FZ100" s="201">
        <f t="shared" si="1336"/>
        <v>0</v>
      </c>
      <c r="GA100" s="201">
        <f t="shared" si="1336"/>
        <v>0</v>
      </c>
      <c r="GB100" s="201">
        <f t="shared" si="1336"/>
        <v>0</v>
      </c>
      <c r="GC100" s="201">
        <f t="shared" si="1336"/>
        <v>0</v>
      </c>
      <c r="GD100" s="201">
        <f t="shared" si="1336"/>
        <v>0</v>
      </c>
      <c r="GE100" s="201">
        <f t="shared" si="1336"/>
        <v>0</v>
      </c>
      <c r="GF100" s="201">
        <f t="shared" si="1336"/>
        <v>0</v>
      </c>
      <c r="GG100" s="201">
        <f t="shared" si="1336"/>
        <v>0</v>
      </c>
      <c r="GH100" s="201">
        <f t="shared" si="1336"/>
        <v>0</v>
      </c>
      <c r="GI100" s="201">
        <f t="shared" si="1336"/>
        <v>0</v>
      </c>
      <c r="GJ100" s="201">
        <f t="shared" si="1336"/>
        <v>0</v>
      </c>
      <c r="GK100" s="201">
        <f t="shared" si="1336"/>
        <v>0</v>
      </c>
      <c r="GL100" s="201">
        <f t="shared" si="1336"/>
        <v>0</v>
      </c>
      <c r="GM100" s="201">
        <f t="shared" si="1336"/>
        <v>0</v>
      </c>
      <c r="GN100" s="201">
        <f t="shared" si="1336"/>
        <v>0</v>
      </c>
      <c r="GO100" s="201">
        <f t="shared" si="1336"/>
        <v>0</v>
      </c>
      <c r="GP100" s="201">
        <f t="shared" si="1336"/>
        <v>0</v>
      </c>
      <c r="GQ100" s="201">
        <f t="shared" si="1336"/>
        <v>0</v>
      </c>
    </row>
    <row r="101" spans="2:199" s="154" customFormat="1" hidden="1" outlineLevel="1">
      <c r="B101" s="190" t="s">
        <v>393</v>
      </c>
      <c r="C101" s="195"/>
      <c r="D101" s="188"/>
      <c r="E101" s="189">
        <v>191611</v>
      </c>
      <c r="F101" s="189">
        <f t="shared" ref="F101:BP101" si="1337">IF(SUM(F95:F100)&lt;0.00000001,ROUND(SUM(F95:F100),7),SUM(F95:F100))</f>
        <v>193462.31482423999</v>
      </c>
      <c r="G101" s="189">
        <f t="shared" si="1337"/>
        <v>195016.48272264164</v>
      </c>
      <c r="H101" s="189">
        <f t="shared" si="1337"/>
        <v>196731.33286115562</v>
      </c>
      <c r="I101" s="189">
        <f t="shared" si="1337"/>
        <v>198226.33360583411</v>
      </c>
      <c r="J101" s="189">
        <f t="shared" si="1337"/>
        <v>199817.75806997539</v>
      </c>
      <c r="K101" s="189">
        <f t="shared" si="1337"/>
        <v>201198.18514656441</v>
      </c>
      <c r="L101" s="189">
        <f t="shared" si="1337"/>
        <v>202710.96950423074</v>
      </c>
      <c r="M101" s="189">
        <f t="shared" si="1337"/>
        <v>204277.73491189952</v>
      </c>
      <c r="N101" s="189">
        <f t="shared" si="1337"/>
        <v>205578.6163879011</v>
      </c>
      <c r="O101" s="189">
        <f t="shared" si="1337"/>
        <v>207097.57237669796</v>
      </c>
      <c r="P101" s="189">
        <f t="shared" si="1337"/>
        <v>208486.83598076185</v>
      </c>
      <c r="Q101" s="189">
        <f t="shared" si="1337"/>
        <v>142500.00000000003</v>
      </c>
      <c r="R101" s="189">
        <f t="shared" si="1337"/>
        <v>143552.88785481045</v>
      </c>
      <c r="S101" s="189">
        <f t="shared" si="1337"/>
        <v>144418.26048748606</v>
      </c>
      <c r="T101" s="189">
        <f t="shared" si="1337"/>
        <v>145387.05519982844</v>
      </c>
      <c r="U101" s="189">
        <f t="shared" ref="U101:X101" si="1338">IF(SUM(U95:U100)&lt;0.00000001,ROUND(SUM(U95:U100),7),SUM(U95:U100))</f>
        <v>146461.27460099722</v>
      </c>
      <c r="V101" s="189">
        <f t="shared" si="1338"/>
        <v>147493.59496732196</v>
      </c>
      <c r="W101" s="189">
        <f t="shared" si="1338"/>
        <v>148483.01981170365</v>
      </c>
      <c r="X101" s="189">
        <f t="shared" si="1338"/>
        <v>149630.65409926165</v>
      </c>
      <c r="Y101" s="189">
        <f t="shared" si="1337"/>
        <v>150736.22812318057</v>
      </c>
      <c r="Z101" s="189">
        <f t="shared" si="1337"/>
        <v>151830.37231888535</v>
      </c>
      <c r="AA101" s="189">
        <f t="shared" si="1337"/>
        <v>153141.82872466862</v>
      </c>
      <c r="AB101" s="189">
        <f t="shared" si="1337"/>
        <v>154324.80426064358</v>
      </c>
      <c r="AC101" s="189">
        <f t="shared" si="1337"/>
        <v>95000.000000000058</v>
      </c>
      <c r="AD101" s="189">
        <f t="shared" si="1337"/>
        <v>95826.857424924674</v>
      </c>
      <c r="AE101" s="189">
        <f t="shared" si="1337"/>
        <v>96584.174226496456</v>
      </c>
      <c r="AF101" s="189">
        <f t="shared" si="1337"/>
        <v>97308.82538229879</v>
      </c>
      <c r="AG101" s="189">
        <f t="shared" si="1337"/>
        <v>98077.854132521185</v>
      </c>
      <c r="AH101" s="189">
        <f t="shared" si="1337"/>
        <v>98892.223294831929</v>
      </c>
      <c r="AI101" s="189">
        <f t="shared" si="1337"/>
        <v>99673.765591621093</v>
      </c>
      <c r="AJ101" s="189">
        <f t="shared" si="1337"/>
        <v>100581.2332608509</v>
      </c>
      <c r="AK101" s="189">
        <f t="shared" si="1337"/>
        <v>101416.38871362156</v>
      </c>
      <c r="AL101" s="189">
        <f t="shared" si="1337"/>
        <v>102299.09286116787</v>
      </c>
      <c r="AM101" s="189">
        <f t="shared" si="1337"/>
        <v>103230.46250303932</v>
      </c>
      <c r="AN101" s="189">
        <f t="shared" si="1337"/>
        <v>104046.28977514648</v>
      </c>
      <c r="AO101" s="189">
        <f t="shared" si="1337"/>
        <v>47500.000000000044</v>
      </c>
      <c r="AP101" s="189">
        <f t="shared" si="1337"/>
        <v>47894.406418777246</v>
      </c>
      <c r="AQ101" s="189">
        <f t="shared" si="1337"/>
        <v>48234.589087363107</v>
      </c>
      <c r="AR101" s="189">
        <f t="shared" si="1337"/>
        <v>48654.411488679681</v>
      </c>
      <c r="AS101" s="189">
        <f t="shared" si="1337"/>
        <v>49038.925854287794</v>
      </c>
      <c r="AT101" s="189">
        <f t="shared" si="1337"/>
        <v>49426.479025480759</v>
      </c>
      <c r="AU101" s="189">
        <f t="shared" si="1337"/>
        <v>49836.88156411668</v>
      </c>
      <c r="AV101" s="189">
        <f t="shared" si="1337"/>
        <v>50290.615387517777</v>
      </c>
      <c r="AW101" s="189">
        <f t="shared" si="1337"/>
        <v>50708.193103582882</v>
      </c>
      <c r="AX101" s="189">
        <f t="shared" si="1337"/>
        <v>51129.238089785977</v>
      </c>
      <c r="AY101" s="189">
        <f t="shared" si="1337"/>
        <v>51553.779135887016</v>
      </c>
      <c r="AZ101" s="189">
        <f t="shared" si="1337"/>
        <v>51961.207117700105</v>
      </c>
      <c r="BA101" s="189">
        <f t="shared" si="1337"/>
        <v>0</v>
      </c>
      <c r="BB101" s="189">
        <f t="shared" si="1337"/>
        <v>0</v>
      </c>
      <c r="BC101" s="189">
        <f t="shared" si="1337"/>
        <v>0</v>
      </c>
      <c r="BD101" s="189">
        <f t="shared" si="1337"/>
        <v>0</v>
      </c>
      <c r="BE101" s="189">
        <f t="shared" si="1337"/>
        <v>0</v>
      </c>
      <c r="BF101" s="189">
        <f t="shared" si="1337"/>
        <v>0</v>
      </c>
      <c r="BG101" s="189">
        <f t="shared" si="1337"/>
        <v>0</v>
      </c>
      <c r="BH101" s="189">
        <f t="shared" si="1337"/>
        <v>0</v>
      </c>
      <c r="BI101" s="189">
        <f t="shared" si="1337"/>
        <v>0</v>
      </c>
      <c r="BJ101" s="189">
        <f t="shared" si="1337"/>
        <v>0</v>
      </c>
      <c r="BK101" s="189">
        <f t="shared" si="1337"/>
        <v>0</v>
      </c>
      <c r="BL101" s="189">
        <f t="shared" si="1337"/>
        <v>0</v>
      </c>
      <c r="BM101" s="189">
        <f t="shared" si="1337"/>
        <v>0</v>
      </c>
      <c r="BN101" s="189">
        <f t="shared" si="1337"/>
        <v>0</v>
      </c>
      <c r="BO101" s="189">
        <f t="shared" si="1337"/>
        <v>0</v>
      </c>
      <c r="BP101" s="189">
        <f t="shared" si="1337"/>
        <v>0</v>
      </c>
      <c r="BQ101" s="189">
        <f t="shared" ref="BQ101:EB101" si="1339">IF(SUM(BQ95:BQ100)&lt;0.00000001,ROUND(SUM(BQ95:BQ100),7),SUM(BQ95:BQ100))</f>
        <v>0</v>
      </c>
      <c r="BR101" s="189">
        <f t="shared" si="1339"/>
        <v>0</v>
      </c>
      <c r="BS101" s="189">
        <f t="shared" si="1339"/>
        <v>0</v>
      </c>
      <c r="BT101" s="189">
        <f t="shared" si="1339"/>
        <v>0</v>
      </c>
      <c r="BU101" s="189">
        <f t="shared" si="1339"/>
        <v>0</v>
      </c>
      <c r="BV101" s="189">
        <f t="shared" si="1339"/>
        <v>0</v>
      </c>
      <c r="BW101" s="189">
        <f t="shared" si="1339"/>
        <v>0</v>
      </c>
      <c r="BX101" s="189">
        <f t="shared" si="1339"/>
        <v>0</v>
      </c>
      <c r="BY101" s="189">
        <f t="shared" si="1339"/>
        <v>0</v>
      </c>
      <c r="BZ101" s="189">
        <f t="shared" si="1339"/>
        <v>0</v>
      </c>
      <c r="CA101" s="189">
        <f t="shared" si="1339"/>
        <v>0</v>
      </c>
      <c r="CB101" s="189">
        <f t="shared" si="1339"/>
        <v>0</v>
      </c>
      <c r="CC101" s="189">
        <f t="shared" si="1339"/>
        <v>0</v>
      </c>
      <c r="CD101" s="189">
        <f t="shared" si="1339"/>
        <v>0</v>
      </c>
      <c r="CE101" s="189">
        <f t="shared" si="1339"/>
        <v>0</v>
      </c>
      <c r="CF101" s="189">
        <f t="shared" si="1339"/>
        <v>0</v>
      </c>
      <c r="CG101" s="189">
        <f t="shared" si="1339"/>
        <v>0</v>
      </c>
      <c r="CH101" s="189">
        <f t="shared" si="1339"/>
        <v>0</v>
      </c>
      <c r="CI101" s="189">
        <f t="shared" si="1339"/>
        <v>0</v>
      </c>
      <c r="CJ101" s="189">
        <f t="shared" si="1339"/>
        <v>0</v>
      </c>
      <c r="CK101" s="189">
        <f t="shared" si="1339"/>
        <v>0</v>
      </c>
      <c r="CL101" s="189">
        <f t="shared" si="1339"/>
        <v>0</v>
      </c>
      <c r="CM101" s="189">
        <f t="shared" si="1339"/>
        <v>0</v>
      </c>
      <c r="CN101" s="189">
        <f t="shared" si="1339"/>
        <v>0</v>
      </c>
      <c r="CO101" s="189">
        <f t="shared" si="1339"/>
        <v>0</v>
      </c>
      <c r="CP101" s="189">
        <f t="shared" si="1339"/>
        <v>0</v>
      </c>
      <c r="CQ101" s="189">
        <f t="shared" si="1339"/>
        <v>0</v>
      </c>
      <c r="CR101" s="189">
        <f t="shared" si="1339"/>
        <v>0</v>
      </c>
      <c r="CS101" s="189">
        <f t="shared" si="1339"/>
        <v>0</v>
      </c>
      <c r="CT101" s="189">
        <f t="shared" si="1339"/>
        <v>0</v>
      </c>
      <c r="CU101" s="189">
        <f t="shared" si="1339"/>
        <v>0</v>
      </c>
      <c r="CV101" s="189">
        <f t="shared" si="1339"/>
        <v>0</v>
      </c>
      <c r="CW101" s="189">
        <f t="shared" si="1339"/>
        <v>0</v>
      </c>
      <c r="CX101" s="189">
        <f t="shared" si="1339"/>
        <v>0</v>
      </c>
      <c r="CY101" s="189">
        <f t="shared" si="1339"/>
        <v>0</v>
      </c>
      <c r="CZ101" s="189">
        <f t="shared" si="1339"/>
        <v>0</v>
      </c>
      <c r="DA101" s="189">
        <f t="shared" si="1339"/>
        <v>0</v>
      </c>
      <c r="DB101" s="189">
        <f t="shared" si="1339"/>
        <v>0</v>
      </c>
      <c r="DC101" s="189">
        <f t="shared" si="1339"/>
        <v>0</v>
      </c>
      <c r="DD101" s="189">
        <f t="shared" si="1339"/>
        <v>0</v>
      </c>
      <c r="DE101" s="189">
        <f t="shared" si="1339"/>
        <v>0</v>
      </c>
      <c r="DF101" s="189">
        <f t="shared" si="1339"/>
        <v>0</v>
      </c>
      <c r="DG101" s="189">
        <f t="shared" si="1339"/>
        <v>0</v>
      </c>
      <c r="DH101" s="189">
        <f t="shared" si="1339"/>
        <v>0</v>
      </c>
      <c r="DI101" s="189">
        <f t="shared" si="1339"/>
        <v>0</v>
      </c>
      <c r="DJ101" s="189">
        <f t="shared" si="1339"/>
        <v>0</v>
      </c>
      <c r="DK101" s="189">
        <f t="shared" si="1339"/>
        <v>0</v>
      </c>
      <c r="DL101" s="189">
        <f t="shared" si="1339"/>
        <v>0</v>
      </c>
      <c r="DM101" s="189">
        <f t="shared" si="1339"/>
        <v>0</v>
      </c>
      <c r="DN101" s="189">
        <f t="shared" si="1339"/>
        <v>0</v>
      </c>
      <c r="DO101" s="189">
        <f t="shared" si="1339"/>
        <v>0</v>
      </c>
      <c r="DP101" s="189">
        <f t="shared" si="1339"/>
        <v>0</v>
      </c>
      <c r="DQ101" s="189">
        <f t="shared" si="1339"/>
        <v>0</v>
      </c>
      <c r="DR101" s="189">
        <f t="shared" si="1339"/>
        <v>0</v>
      </c>
      <c r="DS101" s="189">
        <f t="shared" si="1339"/>
        <v>0</v>
      </c>
      <c r="DT101" s="189">
        <f t="shared" si="1339"/>
        <v>0</v>
      </c>
      <c r="DU101" s="189">
        <f t="shared" si="1339"/>
        <v>0</v>
      </c>
      <c r="DV101" s="189">
        <f t="shared" si="1339"/>
        <v>0</v>
      </c>
      <c r="DW101" s="189">
        <f t="shared" si="1339"/>
        <v>0</v>
      </c>
      <c r="DX101" s="189">
        <f t="shared" si="1339"/>
        <v>0</v>
      </c>
      <c r="DY101" s="189">
        <f t="shared" si="1339"/>
        <v>0</v>
      </c>
      <c r="DZ101" s="189">
        <f t="shared" si="1339"/>
        <v>0</v>
      </c>
      <c r="EA101" s="189">
        <f t="shared" si="1339"/>
        <v>0</v>
      </c>
      <c r="EB101" s="189">
        <f t="shared" si="1339"/>
        <v>0</v>
      </c>
      <c r="EC101" s="189">
        <f t="shared" ref="EC101:GN101" si="1340">IF(SUM(EC95:EC100)&lt;0.00000001,ROUND(SUM(EC95:EC100),7),SUM(EC95:EC100))</f>
        <v>0</v>
      </c>
      <c r="ED101" s="189">
        <f t="shared" si="1340"/>
        <v>0</v>
      </c>
      <c r="EE101" s="189">
        <f t="shared" si="1340"/>
        <v>0</v>
      </c>
      <c r="EF101" s="189">
        <f t="shared" si="1340"/>
        <v>0</v>
      </c>
      <c r="EG101" s="189">
        <f t="shared" si="1340"/>
        <v>0</v>
      </c>
      <c r="EH101" s="189">
        <f t="shared" si="1340"/>
        <v>0</v>
      </c>
      <c r="EI101" s="189">
        <f t="shared" si="1340"/>
        <v>0</v>
      </c>
      <c r="EJ101" s="189">
        <f t="shared" si="1340"/>
        <v>0</v>
      </c>
      <c r="EK101" s="189">
        <f t="shared" si="1340"/>
        <v>0</v>
      </c>
      <c r="EL101" s="189">
        <f t="shared" si="1340"/>
        <v>0</v>
      </c>
      <c r="EM101" s="189">
        <f t="shared" si="1340"/>
        <v>0</v>
      </c>
      <c r="EN101" s="189">
        <f t="shared" si="1340"/>
        <v>0</v>
      </c>
      <c r="EO101" s="189">
        <f t="shared" si="1340"/>
        <v>0</v>
      </c>
      <c r="EP101" s="189">
        <f t="shared" si="1340"/>
        <v>0</v>
      </c>
      <c r="EQ101" s="189">
        <f t="shared" si="1340"/>
        <v>0</v>
      </c>
      <c r="ER101" s="189">
        <f t="shared" si="1340"/>
        <v>0</v>
      </c>
      <c r="ES101" s="189">
        <f t="shared" si="1340"/>
        <v>0</v>
      </c>
      <c r="ET101" s="189">
        <f t="shared" si="1340"/>
        <v>0</v>
      </c>
      <c r="EU101" s="189">
        <f t="shared" si="1340"/>
        <v>0</v>
      </c>
      <c r="EV101" s="189">
        <f t="shared" si="1340"/>
        <v>0</v>
      </c>
      <c r="EW101" s="189">
        <f t="shared" si="1340"/>
        <v>0</v>
      </c>
      <c r="EX101" s="189">
        <f t="shared" si="1340"/>
        <v>0</v>
      </c>
      <c r="EY101" s="189">
        <f t="shared" si="1340"/>
        <v>0</v>
      </c>
      <c r="EZ101" s="189">
        <f t="shared" si="1340"/>
        <v>0</v>
      </c>
      <c r="FA101" s="189">
        <f t="shared" si="1340"/>
        <v>0</v>
      </c>
      <c r="FB101" s="189">
        <f t="shared" si="1340"/>
        <v>0</v>
      </c>
      <c r="FC101" s="189">
        <f t="shared" si="1340"/>
        <v>0</v>
      </c>
      <c r="FD101" s="189">
        <f t="shared" si="1340"/>
        <v>0</v>
      </c>
      <c r="FE101" s="189">
        <f t="shared" si="1340"/>
        <v>0</v>
      </c>
      <c r="FF101" s="189">
        <f t="shared" si="1340"/>
        <v>0</v>
      </c>
      <c r="FG101" s="189">
        <f t="shared" si="1340"/>
        <v>0</v>
      </c>
      <c r="FH101" s="189">
        <f t="shared" si="1340"/>
        <v>0</v>
      </c>
      <c r="FI101" s="189">
        <f t="shared" si="1340"/>
        <v>0</v>
      </c>
      <c r="FJ101" s="189">
        <f t="shared" si="1340"/>
        <v>0</v>
      </c>
      <c r="FK101" s="189">
        <f t="shared" si="1340"/>
        <v>0</v>
      </c>
      <c r="FL101" s="189">
        <f t="shared" si="1340"/>
        <v>0</v>
      </c>
      <c r="FM101" s="189">
        <f t="shared" si="1340"/>
        <v>0</v>
      </c>
      <c r="FN101" s="189">
        <f t="shared" si="1340"/>
        <v>0</v>
      </c>
      <c r="FO101" s="189">
        <f t="shared" si="1340"/>
        <v>0</v>
      </c>
      <c r="FP101" s="189">
        <f t="shared" si="1340"/>
        <v>0</v>
      </c>
      <c r="FQ101" s="189">
        <f t="shared" si="1340"/>
        <v>0</v>
      </c>
      <c r="FR101" s="189">
        <f t="shared" si="1340"/>
        <v>0</v>
      </c>
      <c r="FS101" s="189">
        <f t="shared" si="1340"/>
        <v>0</v>
      </c>
      <c r="FT101" s="189">
        <f t="shared" si="1340"/>
        <v>0</v>
      </c>
      <c r="FU101" s="189">
        <f t="shared" si="1340"/>
        <v>0</v>
      </c>
      <c r="FV101" s="189">
        <f t="shared" si="1340"/>
        <v>0</v>
      </c>
      <c r="FW101" s="189">
        <f t="shared" si="1340"/>
        <v>0</v>
      </c>
      <c r="FX101" s="189">
        <f t="shared" si="1340"/>
        <v>0</v>
      </c>
      <c r="FY101" s="189">
        <f t="shared" si="1340"/>
        <v>0</v>
      </c>
      <c r="FZ101" s="189">
        <f t="shared" si="1340"/>
        <v>0</v>
      </c>
      <c r="GA101" s="189">
        <f t="shared" si="1340"/>
        <v>0</v>
      </c>
      <c r="GB101" s="189">
        <f t="shared" si="1340"/>
        <v>0</v>
      </c>
      <c r="GC101" s="189">
        <f t="shared" si="1340"/>
        <v>0</v>
      </c>
      <c r="GD101" s="189">
        <f t="shared" si="1340"/>
        <v>0</v>
      </c>
      <c r="GE101" s="189">
        <f t="shared" si="1340"/>
        <v>0</v>
      </c>
      <c r="GF101" s="189">
        <f t="shared" si="1340"/>
        <v>0</v>
      </c>
      <c r="GG101" s="189">
        <f t="shared" si="1340"/>
        <v>0</v>
      </c>
      <c r="GH101" s="189">
        <f t="shared" si="1340"/>
        <v>0</v>
      </c>
      <c r="GI101" s="189">
        <f t="shared" si="1340"/>
        <v>0</v>
      </c>
      <c r="GJ101" s="189">
        <f t="shared" si="1340"/>
        <v>0</v>
      </c>
      <c r="GK101" s="189">
        <f t="shared" si="1340"/>
        <v>0</v>
      </c>
      <c r="GL101" s="189">
        <f t="shared" si="1340"/>
        <v>0</v>
      </c>
      <c r="GM101" s="189">
        <f t="shared" si="1340"/>
        <v>0</v>
      </c>
      <c r="GN101" s="189">
        <f t="shared" si="1340"/>
        <v>0</v>
      </c>
      <c r="GO101" s="189">
        <f t="shared" ref="GO101:GQ101" si="1341">IF(SUM(GO95:GO100)&lt;0.00000001,ROUND(SUM(GO95:GO100),7),SUM(GO95:GO100))</f>
        <v>0</v>
      </c>
      <c r="GP101" s="189">
        <f t="shared" si="1341"/>
        <v>0</v>
      </c>
      <c r="GQ101" s="189">
        <f t="shared" si="1341"/>
        <v>0</v>
      </c>
    </row>
    <row r="102" spans="2:199" hidden="1" outlineLevel="1">
      <c r="B102" s="196" t="s">
        <v>396</v>
      </c>
      <c r="C102" s="197"/>
      <c r="D102" s="198"/>
      <c r="E102" s="210">
        <v>1611</v>
      </c>
      <c r="F102" s="210">
        <f>(F98+E102+F99)*IF(AND(F81=$C86,$C92),0,1)</f>
        <v>3462.3148242400002</v>
      </c>
      <c r="G102" s="210">
        <f t="shared" ref="G102:BR102" si="1342">(G98+F102+G99)*IF(AND(G81=$C86,$C92),0,1)</f>
        <v>5016.4827226416428</v>
      </c>
      <c r="H102" s="210">
        <f t="shared" si="1342"/>
        <v>6731.3328611556108</v>
      </c>
      <c r="I102" s="210">
        <f t="shared" si="1342"/>
        <v>8226.3336058341047</v>
      </c>
      <c r="J102" s="210">
        <f t="shared" si="1342"/>
        <v>9817.7580699753926</v>
      </c>
      <c r="K102" s="210">
        <f t="shared" si="1342"/>
        <v>11198.185146564405</v>
      </c>
      <c r="L102" s="210">
        <f t="shared" si="1342"/>
        <v>12710.969504230721</v>
      </c>
      <c r="M102" s="210">
        <f t="shared" si="1342"/>
        <v>14277.734911899484</v>
      </c>
      <c r="N102" s="210">
        <f t="shared" si="1342"/>
        <v>15578.61638790108</v>
      </c>
      <c r="O102" s="210">
        <f t="shared" si="1342"/>
        <v>17097.572376697943</v>
      </c>
      <c r="P102" s="210">
        <f t="shared" si="1342"/>
        <v>18486.835980761818</v>
      </c>
      <c r="Q102" s="210">
        <f t="shared" si="1342"/>
        <v>0</v>
      </c>
      <c r="R102" s="210">
        <f t="shared" si="1342"/>
        <v>1052.8878548104271</v>
      </c>
      <c r="S102" s="210">
        <f t="shared" si="1342"/>
        <v>1918.2604874860149</v>
      </c>
      <c r="T102" s="210">
        <f t="shared" si="1342"/>
        <v>2887.0551998283927</v>
      </c>
      <c r="U102" s="210">
        <f t="shared" ref="U102:X102" si="1343">(U98+T102+U99)*IF(AND(U81=$C86,$C92),0,1)</f>
        <v>3961.274600997182</v>
      </c>
      <c r="V102" s="210">
        <f t="shared" si="1343"/>
        <v>4993.5949673219084</v>
      </c>
      <c r="W102" s="210">
        <f t="shared" si="1343"/>
        <v>5983.0198117035943</v>
      </c>
      <c r="X102" s="210">
        <f t="shared" si="1343"/>
        <v>7130.6540992615983</v>
      </c>
      <c r="Y102" s="210">
        <f t="shared" si="1342"/>
        <v>8236.2281231805282</v>
      </c>
      <c r="Z102" s="210">
        <f t="shared" si="1342"/>
        <v>9330.3723188853091</v>
      </c>
      <c r="AA102" s="210">
        <f t="shared" si="1342"/>
        <v>10641.828724668594</v>
      </c>
      <c r="AB102" s="210">
        <f t="shared" si="1342"/>
        <v>11824.804260643536</v>
      </c>
      <c r="AC102" s="210">
        <f t="shared" si="1342"/>
        <v>0</v>
      </c>
      <c r="AD102" s="210">
        <f t="shared" si="1342"/>
        <v>826.85742492462191</v>
      </c>
      <c r="AE102" s="210">
        <f t="shared" si="1342"/>
        <v>1584.1742264963989</v>
      </c>
      <c r="AF102" s="210">
        <f t="shared" si="1342"/>
        <v>2308.8253822987385</v>
      </c>
      <c r="AG102" s="210">
        <f t="shared" si="1342"/>
        <v>3077.8541325211295</v>
      </c>
      <c r="AH102" s="210">
        <f t="shared" si="1342"/>
        <v>3892.2232948318765</v>
      </c>
      <c r="AI102" s="210">
        <f t="shared" si="1342"/>
        <v>4673.7655916210479</v>
      </c>
      <c r="AJ102" s="210">
        <f t="shared" si="1342"/>
        <v>5581.2332608508532</v>
      </c>
      <c r="AK102" s="210">
        <f t="shared" si="1342"/>
        <v>6416.388713621518</v>
      </c>
      <c r="AL102" s="210">
        <f t="shared" si="1342"/>
        <v>7299.0928611678291</v>
      </c>
      <c r="AM102" s="210">
        <f t="shared" si="1342"/>
        <v>8230.4625030392835</v>
      </c>
      <c r="AN102" s="210">
        <f t="shared" si="1342"/>
        <v>9046.2897751464334</v>
      </c>
      <c r="AO102" s="210">
        <f t="shared" si="1342"/>
        <v>0</v>
      </c>
      <c r="AP102" s="210">
        <f t="shared" si="1342"/>
        <v>394.4064187772023</v>
      </c>
      <c r="AQ102" s="210">
        <f t="shared" si="1342"/>
        <v>734.5890873630608</v>
      </c>
      <c r="AR102" s="210">
        <f t="shared" si="1342"/>
        <v>1154.4114886796324</v>
      </c>
      <c r="AS102" s="210">
        <f t="shared" si="1342"/>
        <v>1538.9258542877456</v>
      </c>
      <c r="AT102" s="210">
        <f t="shared" si="1342"/>
        <v>1926.4790254807126</v>
      </c>
      <c r="AU102" s="210">
        <f t="shared" si="1342"/>
        <v>2336.8815641166357</v>
      </c>
      <c r="AV102" s="210">
        <f t="shared" si="1342"/>
        <v>2790.6153875177315</v>
      </c>
      <c r="AW102" s="210">
        <f t="shared" si="1342"/>
        <v>3208.1931035828375</v>
      </c>
      <c r="AX102" s="210">
        <f t="shared" si="1342"/>
        <v>3629.2380897859307</v>
      </c>
      <c r="AY102" s="210">
        <f t="shared" si="1342"/>
        <v>4053.7791358869704</v>
      </c>
      <c r="AZ102" s="210">
        <f t="shared" si="1342"/>
        <v>4461.2071177000598</v>
      </c>
      <c r="BA102" s="210">
        <f t="shared" si="1342"/>
        <v>0</v>
      </c>
      <c r="BB102" s="210">
        <f t="shared" si="1342"/>
        <v>0</v>
      </c>
      <c r="BC102" s="210">
        <f t="shared" si="1342"/>
        <v>0</v>
      </c>
      <c r="BD102" s="210">
        <f t="shared" si="1342"/>
        <v>0</v>
      </c>
      <c r="BE102" s="210">
        <f t="shared" si="1342"/>
        <v>0</v>
      </c>
      <c r="BF102" s="210">
        <f t="shared" si="1342"/>
        <v>0</v>
      </c>
      <c r="BG102" s="210">
        <f t="shared" si="1342"/>
        <v>0</v>
      </c>
      <c r="BH102" s="210">
        <f t="shared" si="1342"/>
        <v>0</v>
      </c>
      <c r="BI102" s="210">
        <f t="shared" si="1342"/>
        <v>0</v>
      </c>
      <c r="BJ102" s="210">
        <f t="shared" si="1342"/>
        <v>0</v>
      </c>
      <c r="BK102" s="210">
        <f t="shared" si="1342"/>
        <v>0</v>
      </c>
      <c r="BL102" s="210">
        <f t="shared" si="1342"/>
        <v>0</v>
      </c>
      <c r="BM102" s="210">
        <f t="shared" si="1342"/>
        <v>0</v>
      </c>
      <c r="BN102" s="210">
        <f t="shared" si="1342"/>
        <v>0</v>
      </c>
      <c r="BO102" s="210">
        <f t="shared" si="1342"/>
        <v>0</v>
      </c>
      <c r="BP102" s="210">
        <f t="shared" si="1342"/>
        <v>0</v>
      </c>
      <c r="BQ102" s="210">
        <f t="shared" si="1342"/>
        <v>0</v>
      </c>
      <c r="BR102" s="210">
        <f t="shared" si="1342"/>
        <v>0</v>
      </c>
      <c r="BS102" s="210">
        <f t="shared" ref="BS102:ED102" si="1344">(BS98+BR102+BS99)*IF(AND(BS81=$C86,$C92),0,1)</f>
        <v>0</v>
      </c>
      <c r="BT102" s="210">
        <f t="shared" si="1344"/>
        <v>0</v>
      </c>
      <c r="BU102" s="210">
        <f t="shared" si="1344"/>
        <v>0</v>
      </c>
      <c r="BV102" s="210">
        <f t="shared" si="1344"/>
        <v>0</v>
      </c>
      <c r="BW102" s="210">
        <f t="shared" si="1344"/>
        <v>0</v>
      </c>
      <c r="BX102" s="210">
        <f t="shared" si="1344"/>
        <v>0</v>
      </c>
      <c r="BY102" s="210">
        <f t="shared" si="1344"/>
        <v>0</v>
      </c>
      <c r="BZ102" s="210">
        <f t="shared" si="1344"/>
        <v>0</v>
      </c>
      <c r="CA102" s="210">
        <f t="shared" si="1344"/>
        <v>0</v>
      </c>
      <c r="CB102" s="210">
        <f t="shared" si="1344"/>
        <v>0</v>
      </c>
      <c r="CC102" s="210">
        <f t="shared" si="1344"/>
        <v>0</v>
      </c>
      <c r="CD102" s="210">
        <f t="shared" si="1344"/>
        <v>0</v>
      </c>
      <c r="CE102" s="210">
        <f t="shared" si="1344"/>
        <v>0</v>
      </c>
      <c r="CF102" s="210">
        <f t="shared" si="1344"/>
        <v>0</v>
      </c>
      <c r="CG102" s="210">
        <f t="shared" si="1344"/>
        <v>0</v>
      </c>
      <c r="CH102" s="210">
        <f t="shared" si="1344"/>
        <v>0</v>
      </c>
      <c r="CI102" s="210">
        <f t="shared" si="1344"/>
        <v>0</v>
      </c>
      <c r="CJ102" s="210">
        <f t="shared" si="1344"/>
        <v>0</v>
      </c>
      <c r="CK102" s="210">
        <f t="shared" si="1344"/>
        <v>0</v>
      </c>
      <c r="CL102" s="210">
        <f t="shared" si="1344"/>
        <v>0</v>
      </c>
      <c r="CM102" s="210">
        <f t="shared" si="1344"/>
        <v>0</v>
      </c>
      <c r="CN102" s="210">
        <f t="shared" si="1344"/>
        <v>0</v>
      </c>
      <c r="CO102" s="210">
        <f t="shared" si="1344"/>
        <v>0</v>
      </c>
      <c r="CP102" s="210">
        <f t="shared" si="1344"/>
        <v>0</v>
      </c>
      <c r="CQ102" s="210">
        <f t="shared" si="1344"/>
        <v>0</v>
      </c>
      <c r="CR102" s="210">
        <f t="shared" si="1344"/>
        <v>0</v>
      </c>
      <c r="CS102" s="210">
        <f t="shared" si="1344"/>
        <v>0</v>
      </c>
      <c r="CT102" s="210">
        <f t="shared" si="1344"/>
        <v>0</v>
      </c>
      <c r="CU102" s="210">
        <f t="shared" si="1344"/>
        <v>0</v>
      </c>
      <c r="CV102" s="210">
        <f t="shared" si="1344"/>
        <v>0</v>
      </c>
      <c r="CW102" s="210">
        <f t="shared" si="1344"/>
        <v>0</v>
      </c>
      <c r="CX102" s="210">
        <f t="shared" si="1344"/>
        <v>0</v>
      </c>
      <c r="CY102" s="210">
        <f t="shared" si="1344"/>
        <v>0</v>
      </c>
      <c r="CZ102" s="210">
        <f t="shared" si="1344"/>
        <v>0</v>
      </c>
      <c r="DA102" s="210">
        <f t="shared" si="1344"/>
        <v>0</v>
      </c>
      <c r="DB102" s="210">
        <f t="shared" si="1344"/>
        <v>0</v>
      </c>
      <c r="DC102" s="210">
        <f t="shared" si="1344"/>
        <v>0</v>
      </c>
      <c r="DD102" s="210">
        <f t="shared" si="1344"/>
        <v>0</v>
      </c>
      <c r="DE102" s="210">
        <f t="shared" si="1344"/>
        <v>0</v>
      </c>
      <c r="DF102" s="210">
        <f t="shared" si="1344"/>
        <v>0</v>
      </c>
      <c r="DG102" s="210">
        <f t="shared" si="1344"/>
        <v>0</v>
      </c>
      <c r="DH102" s="210">
        <f t="shared" si="1344"/>
        <v>0</v>
      </c>
      <c r="DI102" s="210">
        <f t="shared" si="1344"/>
        <v>0</v>
      </c>
      <c r="DJ102" s="210">
        <f t="shared" si="1344"/>
        <v>0</v>
      </c>
      <c r="DK102" s="210">
        <f t="shared" si="1344"/>
        <v>0</v>
      </c>
      <c r="DL102" s="210">
        <f t="shared" si="1344"/>
        <v>0</v>
      </c>
      <c r="DM102" s="210">
        <f t="shared" si="1344"/>
        <v>0</v>
      </c>
      <c r="DN102" s="210">
        <f t="shared" si="1344"/>
        <v>0</v>
      </c>
      <c r="DO102" s="210">
        <f t="shared" si="1344"/>
        <v>0</v>
      </c>
      <c r="DP102" s="210">
        <f t="shared" si="1344"/>
        <v>0</v>
      </c>
      <c r="DQ102" s="210">
        <f t="shared" si="1344"/>
        <v>0</v>
      </c>
      <c r="DR102" s="210">
        <f t="shared" si="1344"/>
        <v>0</v>
      </c>
      <c r="DS102" s="210">
        <f t="shared" si="1344"/>
        <v>0</v>
      </c>
      <c r="DT102" s="210">
        <f t="shared" si="1344"/>
        <v>0</v>
      </c>
      <c r="DU102" s="210">
        <f t="shared" si="1344"/>
        <v>0</v>
      </c>
      <c r="DV102" s="210">
        <f t="shared" si="1344"/>
        <v>0</v>
      </c>
      <c r="DW102" s="210">
        <f t="shared" si="1344"/>
        <v>0</v>
      </c>
      <c r="DX102" s="210">
        <f t="shared" si="1344"/>
        <v>0</v>
      </c>
      <c r="DY102" s="210">
        <f t="shared" si="1344"/>
        <v>0</v>
      </c>
      <c r="DZ102" s="210">
        <f t="shared" si="1344"/>
        <v>0</v>
      </c>
      <c r="EA102" s="210">
        <f t="shared" si="1344"/>
        <v>0</v>
      </c>
      <c r="EB102" s="210">
        <f t="shared" si="1344"/>
        <v>0</v>
      </c>
      <c r="EC102" s="210">
        <f t="shared" si="1344"/>
        <v>0</v>
      </c>
      <c r="ED102" s="210">
        <f t="shared" si="1344"/>
        <v>0</v>
      </c>
      <c r="EE102" s="210">
        <f t="shared" ref="EE102:GP102" si="1345">(EE98+ED102+EE99)*IF(AND(EE81=$C86,$C92),0,1)</f>
        <v>0</v>
      </c>
      <c r="EF102" s="210">
        <f t="shared" si="1345"/>
        <v>0</v>
      </c>
      <c r="EG102" s="210">
        <f t="shared" si="1345"/>
        <v>0</v>
      </c>
      <c r="EH102" s="210">
        <f t="shared" si="1345"/>
        <v>0</v>
      </c>
      <c r="EI102" s="210">
        <f t="shared" si="1345"/>
        <v>0</v>
      </c>
      <c r="EJ102" s="210">
        <f t="shared" si="1345"/>
        <v>0</v>
      </c>
      <c r="EK102" s="210">
        <f t="shared" si="1345"/>
        <v>0</v>
      </c>
      <c r="EL102" s="210">
        <f t="shared" si="1345"/>
        <v>0</v>
      </c>
      <c r="EM102" s="210">
        <f t="shared" si="1345"/>
        <v>0</v>
      </c>
      <c r="EN102" s="210">
        <f t="shared" si="1345"/>
        <v>0</v>
      </c>
      <c r="EO102" s="210">
        <f t="shared" si="1345"/>
        <v>0</v>
      </c>
      <c r="EP102" s="210">
        <f t="shared" si="1345"/>
        <v>0</v>
      </c>
      <c r="EQ102" s="210">
        <f t="shared" si="1345"/>
        <v>0</v>
      </c>
      <c r="ER102" s="210">
        <f t="shared" si="1345"/>
        <v>0</v>
      </c>
      <c r="ES102" s="210">
        <f t="shared" si="1345"/>
        <v>0</v>
      </c>
      <c r="ET102" s="210">
        <f t="shared" si="1345"/>
        <v>0</v>
      </c>
      <c r="EU102" s="210">
        <f t="shared" si="1345"/>
        <v>0</v>
      </c>
      <c r="EV102" s="210">
        <f t="shared" si="1345"/>
        <v>0</v>
      </c>
      <c r="EW102" s="210">
        <f t="shared" si="1345"/>
        <v>0</v>
      </c>
      <c r="EX102" s="210">
        <f t="shared" si="1345"/>
        <v>0</v>
      </c>
      <c r="EY102" s="210">
        <f t="shared" si="1345"/>
        <v>0</v>
      </c>
      <c r="EZ102" s="210">
        <f t="shared" si="1345"/>
        <v>0</v>
      </c>
      <c r="FA102" s="210">
        <f t="shared" si="1345"/>
        <v>0</v>
      </c>
      <c r="FB102" s="210">
        <f t="shared" si="1345"/>
        <v>0</v>
      </c>
      <c r="FC102" s="210">
        <f t="shared" si="1345"/>
        <v>0</v>
      </c>
      <c r="FD102" s="210">
        <f t="shared" si="1345"/>
        <v>0</v>
      </c>
      <c r="FE102" s="210">
        <f t="shared" si="1345"/>
        <v>0</v>
      </c>
      <c r="FF102" s="210">
        <f t="shared" si="1345"/>
        <v>0</v>
      </c>
      <c r="FG102" s="210">
        <f t="shared" si="1345"/>
        <v>0</v>
      </c>
      <c r="FH102" s="210">
        <f t="shared" si="1345"/>
        <v>0</v>
      </c>
      <c r="FI102" s="210">
        <f t="shared" si="1345"/>
        <v>0</v>
      </c>
      <c r="FJ102" s="210">
        <f t="shared" si="1345"/>
        <v>0</v>
      </c>
      <c r="FK102" s="210">
        <f t="shared" si="1345"/>
        <v>0</v>
      </c>
      <c r="FL102" s="210">
        <f t="shared" si="1345"/>
        <v>0</v>
      </c>
      <c r="FM102" s="210">
        <f t="shared" si="1345"/>
        <v>0</v>
      </c>
      <c r="FN102" s="210">
        <f t="shared" si="1345"/>
        <v>0</v>
      </c>
      <c r="FO102" s="210">
        <f t="shared" si="1345"/>
        <v>0</v>
      </c>
      <c r="FP102" s="210">
        <f t="shared" si="1345"/>
        <v>0</v>
      </c>
      <c r="FQ102" s="210">
        <f t="shared" si="1345"/>
        <v>0</v>
      </c>
      <c r="FR102" s="210">
        <f t="shared" si="1345"/>
        <v>0</v>
      </c>
      <c r="FS102" s="210">
        <f t="shared" si="1345"/>
        <v>0</v>
      </c>
      <c r="FT102" s="210">
        <f t="shared" si="1345"/>
        <v>0</v>
      </c>
      <c r="FU102" s="210">
        <f t="shared" si="1345"/>
        <v>0</v>
      </c>
      <c r="FV102" s="210">
        <f t="shared" si="1345"/>
        <v>0</v>
      </c>
      <c r="FW102" s="210">
        <f t="shared" si="1345"/>
        <v>0</v>
      </c>
      <c r="FX102" s="210">
        <f t="shared" si="1345"/>
        <v>0</v>
      </c>
      <c r="FY102" s="210">
        <f t="shared" si="1345"/>
        <v>0</v>
      </c>
      <c r="FZ102" s="210">
        <f t="shared" si="1345"/>
        <v>0</v>
      </c>
      <c r="GA102" s="210">
        <f t="shared" si="1345"/>
        <v>0</v>
      </c>
      <c r="GB102" s="210">
        <f t="shared" si="1345"/>
        <v>0</v>
      </c>
      <c r="GC102" s="210">
        <f t="shared" si="1345"/>
        <v>0</v>
      </c>
      <c r="GD102" s="210">
        <f t="shared" si="1345"/>
        <v>0</v>
      </c>
      <c r="GE102" s="210">
        <f t="shared" si="1345"/>
        <v>0</v>
      </c>
      <c r="GF102" s="210">
        <f t="shared" si="1345"/>
        <v>0</v>
      </c>
      <c r="GG102" s="210">
        <f t="shared" si="1345"/>
        <v>0</v>
      </c>
      <c r="GH102" s="210">
        <f t="shared" si="1345"/>
        <v>0</v>
      </c>
      <c r="GI102" s="210">
        <f t="shared" si="1345"/>
        <v>0</v>
      </c>
      <c r="GJ102" s="210">
        <f t="shared" si="1345"/>
        <v>0</v>
      </c>
      <c r="GK102" s="210">
        <f t="shared" si="1345"/>
        <v>0</v>
      </c>
      <c r="GL102" s="210">
        <f t="shared" si="1345"/>
        <v>0</v>
      </c>
      <c r="GM102" s="210">
        <f t="shared" si="1345"/>
        <v>0</v>
      </c>
      <c r="GN102" s="210">
        <f t="shared" si="1345"/>
        <v>0</v>
      </c>
      <c r="GO102" s="210">
        <f t="shared" si="1345"/>
        <v>0</v>
      </c>
      <c r="GP102" s="210">
        <f t="shared" si="1345"/>
        <v>0</v>
      </c>
      <c r="GQ102" s="210">
        <f t="shared" ref="GQ102" si="1346">(GQ98+GP102+GQ99)*IF(AND(GQ81=$C86,$C92),0,1)</f>
        <v>0</v>
      </c>
    </row>
    <row r="103" spans="2:199" hidden="1" outlineLevel="1">
      <c r="B103" s="183"/>
      <c r="C103" s="169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  <c r="BD103" s="171"/>
      <c r="BE103" s="171"/>
      <c r="BF103" s="171"/>
      <c r="BG103" s="171"/>
      <c r="BH103" s="171"/>
      <c r="BI103" s="171"/>
      <c r="BJ103" s="171"/>
      <c r="BK103" s="171"/>
      <c r="BL103" s="171"/>
      <c r="BM103" s="171"/>
      <c r="BN103" s="171"/>
      <c r="BO103" s="171"/>
      <c r="BP103" s="171"/>
      <c r="BQ103" s="171"/>
      <c r="BR103" s="171"/>
      <c r="BS103" s="171"/>
      <c r="BT103" s="171"/>
      <c r="BU103" s="171"/>
      <c r="BV103" s="171"/>
      <c r="BW103" s="171"/>
      <c r="BX103" s="171"/>
      <c r="BY103" s="171"/>
      <c r="BZ103" s="171"/>
      <c r="CA103" s="171"/>
      <c r="CB103" s="171"/>
      <c r="CC103" s="171"/>
      <c r="CD103" s="171"/>
      <c r="CE103" s="171"/>
      <c r="CF103" s="171"/>
      <c r="CG103" s="171"/>
      <c r="CH103" s="171"/>
      <c r="CI103" s="171"/>
      <c r="CJ103" s="171"/>
      <c r="CK103" s="171"/>
      <c r="CL103" s="171"/>
      <c r="CM103" s="171"/>
      <c r="CN103" s="171"/>
      <c r="CO103" s="171"/>
      <c r="CP103" s="171"/>
      <c r="CQ103" s="171"/>
      <c r="CR103" s="171"/>
      <c r="CS103" s="171"/>
      <c r="CT103" s="171"/>
      <c r="CU103" s="171"/>
      <c r="CV103" s="171"/>
      <c r="CW103" s="171"/>
      <c r="CX103" s="171"/>
      <c r="CY103" s="171"/>
      <c r="CZ103" s="171"/>
      <c r="DA103" s="171"/>
      <c r="DB103" s="171"/>
      <c r="DC103" s="171"/>
      <c r="DD103" s="171"/>
      <c r="DE103" s="171"/>
      <c r="DF103" s="171"/>
      <c r="DG103" s="171"/>
      <c r="DH103" s="171"/>
      <c r="DI103" s="171"/>
      <c r="DJ103" s="171"/>
      <c r="DK103" s="171"/>
      <c r="DL103" s="171"/>
      <c r="DM103" s="171"/>
      <c r="DN103" s="171"/>
      <c r="DO103" s="171"/>
      <c r="DP103" s="171"/>
      <c r="DQ103" s="171"/>
      <c r="DR103" s="171"/>
      <c r="DS103" s="171"/>
      <c r="DT103" s="171"/>
      <c r="DU103" s="171"/>
      <c r="DV103" s="171"/>
      <c r="DW103" s="171"/>
      <c r="DX103" s="171"/>
      <c r="DY103" s="171"/>
      <c r="DZ103" s="171"/>
      <c r="EA103" s="171"/>
      <c r="EB103" s="171"/>
      <c r="EC103" s="171"/>
      <c r="ED103" s="171"/>
      <c r="EE103" s="171"/>
      <c r="EF103" s="171"/>
      <c r="EG103" s="171"/>
      <c r="EH103" s="171"/>
      <c r="EI103" s="171"/>
      <c r="EJ103" s="171"/>
      <c r="EK103" s="171"/>
      <c r="EL103" s="171"/>
      <c r="EM103" s="171"/>
      <c r="EN103" s="171"/>
      <c r="EO103" s="171"/>
      <c r="EP103" s="171"/>
      <c r="EQ103" s="171"/>
      <c r="ER103" s="171"/>
      <c r="ES103" s="171"/>
      <c r="ET103" s="171"/>
      <c r="EU103" s="171"/>
      <c r="EV103" s="171"/>
      <c r="EW103" s="171"/>
      <c r="EX103" s="171"/>
      <c r="EY103" s="171"/>
      <c r="EZ103" s="171"/>
      <c r="FA103" s="171"/>
      <c r="FB103" s="171"/>
      <c r="FC103" s="171"/>
      <c r="FD103" s="171"/>
      <c r="FE103" s="171"/>
      <c r="FF103" s="171"/>
      <c r="FG103" s="171"/>
      <c r="FH103" s="171"/>
      <c r="FI103" s="171"/>
      <c r="FJ103" s="171"/>
      <c r="FK103" s="171"/>
      <c r="FL103" s="171"/>
      <c r="FM103" s="171"/>
      <c r="FN103" s="171"/>
      <c r="FO103" s="171"/>
      <c r="FP103" s="171"/>
      <c r="FQ103" s="171"/>
      <c r="FR103" s="171"/>
      <c r="FS103" s="171"/>
      <c r="FT103" s="171"/>
      <c r="FU103" s="171"/>
      <c r="FV103" s="171"/>
      <c r="FW103" s="171"/>
      <c r="FX103" s="171"/>
      <c r="FY103" s="171"/>
      <c r="FZ103" s="171"/>
      <c r="GA103" s="171"/>
      <c r="GB103" s="171"/>
      <c r="GC103" s="171"/>
      <c r="GD103" s="171"/>
      <c r="GE103" s="171"/>
      <c r="GF103" s="171"/>
      <c r="GG103" s="171"/>
      <c r="GH103" s="171"/>
      <c r="GI103" s="171"/>
      <c r="GJ103" s="171"/>
      <c r="GK103" s="171"/>
      <c r="GL103" s="171"/>
      <c r="GM103" s="171"/>
      <c r="GN103" s="171"/>
      <c r="GO103" s="171"/>
      <c r="GP103" s="171"/>
      <c r="GQ103" s="171"/>
    </row>
    <row r="104" spans="2:199" hidden="1" outlineLevel="1">
      <c r="B104" s="182" t="s">
        <v>397</v>
      </c>
      <c r="C104" s="158"/>
      <c r="D104" s="171"/>
      <c r="E104" s="172">
        <f t="shared" ref="E104:BP104" si="1347">E100+E99</f>
        <v>0</v>
      </c>
      <c r="F104" s="172">
        <f t="shared" si="1347"/>
        <v>0</v>
      </c>
      <c r="G104" s="172">
        <f t="shared" si="1347"/>
        <v>0</v>
      </c>
      <c r="H104" s="172">
        <f t="shared" si="1347"/>
        <v>0</v>
      </c>
      <c r="I104" s="172">
        <f t="shared" si="1347"/>
        <v>0</v>
      </c>
      <c r="J104" s="172">
        <f t="shared" si="1347"/>
        <v>0</v>
      </c>
      <c r="K104" s="172">
        <f t="shared" si="1347"/>
        <v>0</v>
      </c>
      <c r="L104" s="172">
        <f t="shared" si="1347"/>
        <v>0</v>
      </c>
      <c r="M104" s="172">
        <f t="shared" si="1347"/>
        <v>0</v>
      </c>
      <c r="N104" s="172">
        <f t="shared" si="1347"/>
        <v>0</v>
      </c>
      <c r="O104" s="172">
        <f t="shared" si="1347"/>
        <v>0</v>
      </c>
      <c r="P104" s="172">
        <f t="shared" si="1347"/>
        <v>0</v>
      </c>
      <c r="Q104" s="172">
        <f t="shared" si="1347"/>
        <v>-67385.41912121349</v>
      </c>
      <c r="R104" s="172">
        <f t="shared" si="1347"/>
        <v>0</v>
      </c>
      <c r="S104" s="172">
        <f t="shared" si="1347"/>
        <v>0</v>
      </c>
      <c r="T104" s="172">
        <f t="shared" si="1347"/>
        <v>0</v>
      </c>
      <c r="U104" s="172">
        <f t="shared" si="1347"/>
        <v>0</v>
      </c>
      <c r="V104" s="172">
        <f t="shared" si="1347"/>
        <v>0</v>
      </c>
      <c r="W104" s="172">
        <f t="shared" si="1347"/>
        <v>0</v>
      </c>
      <c r="X104" s="172">
        <f t="shared" si="1347"/>
        <v>0</v>
      </c>
      <c r="Y104" s="172">
        <f t="shared" si="1347"/>
        <v>0</v>
      </c>
      <c r="Z104" s="172">
        <f t="shared" si="1347"/>
        <v>0</v>
      </c>
      <c r="AA104" s="172">
        <f t="shared" si="1347"/>
        <v>0</v>
      </c>
      <c r="AB104" s="172">
        <f t="shared" si="1347"/>
        <v>0</v>
      </c>
      <c r="AC104" s="172">
        <f t="shared" si="1347"/>
        <v>-60606.208331736867</v>
      </c>
      <c r="AD104" s="172">
        <f t="shared" si="1347"/>
        <v>0</v>
      </c>
      <c r="AE104" s="172">
        <f t="shared" si="1347"/>
        <v>0</v>
      </c>
      <c r="AF104" s="172">
        <f t="shared" si="1347"/>
        <v>0</v>
      </c>
      <c r="AG104" s="172">
        <f t="shared" si="1347"/>
        <v>0</v>
      </c>
      <c r="AH104" s="172">
        <f t="shared" si="1347"/>
        <v>0</v>
      </c>
      <c r="AI104" s="172">
        <f t="shared" si="1347"/>
        <v>0</v>
      </c>
      <c r="AJ104" s="172">
        <f t="shared" si="1347"/>
        <v>0</v>
      </c>
      <c r="AK104" s="172">
        <f t="shared" si="1347"/>
        <v>0</v>
      </c>
      <c r="AL104" s="172">
        <f t="shared" si="1347"/>
        <v>0</v>
      </c>
      <c r="AM104" s="172">
        <f t="shared" si="1347"/>
        <v>0</v>
      </c>
      <c r="AN104" s="172">
        <f t="shared" si="1347"/>
        <v>0</v>
      </c>
      <c r="AO104" s="172">
        <f t="shared" si="1347"/>
        <v>-57451.883956582606</v>
      </c>
      <c r="AP104" s="172">
        <f t="shared" si="1347"/>
        <v>0</v>
      </c>
      <c r="AQ104" s="172">
        <f t="shared" si="1347"/>
        <v>0</v>
      </c>
      <c r="AR104" s="172">
        <f t="shared" si="1347"/>
        <v>0</v>
      </c>
      <c r="AS104" s="172">
        <f t="shared" si="1347"/>
        <v>0</v>
      </c>
      <c r="AT104" s="172">
        <f t="shared" si="1347"/>
        <v>0</v>
      </c>
      <c r="AU104" s="172">
        <f t="shared" si="1347"/>
        <v>0</v>
      </c>
      <c r="AV104" s="172">
        <f t="shared" si="1347"/>
        <v>0</v>
      </c>
      <c r="AW104" s="172">
        <f t="shared" si="1347"/>
        <v>0</v>
      </c>
      <c r="AX104" s="172">
        <f t="shared" si="1347"/>
        <v>0</v>
      </c>
      <c r="AY104" s="172">
        <f t="shared" si="1347"/>
        <v>0</v>
      </c>
      <c r="AZ104" s="172">
        <f t="shared" si="1347"/>
        <v>0</v>
      </c>
      <c r="BA104" s="172">
        <f t="shared" si="1347"/>
        <v>-52413.465116787585</v>
      </c>
      <c r="BB104" s="172">
        <f t="shared" si="1347"/>
        <v>0</v>
      </c>
      <c r="BC104" s="172">
        <f t="shared" si="1347"/>
        <v>0</v>
      </c>
      <c r="BD104" s="172">
        <f t="shared" si="1347"/>
        <v>0</v>
      </c>
      <c r="BE104" s="172">
        <f t="shared" si="1347"/>
        <v>0</v>
      </c>
      <c r="BF104" s="172">
        <f t="shared" si="1347"/>
        <v>0</v>
      </c>
      <c r="BG104" s="172">
        <f t="shared" si="1347"/>
        <v>0</v>
      </c>
      <c r="BH104" s="172">
        <f t="shared" si="1347"/>
        <v>0</v>
      </c>
      <c r="BI104" s="172">
        <f t="shared" si="1347"/>
        <v>0</v>
      </c>
      <c r="BJ104" s="172">
        <f t="shared" si="1347"/>
        <v>0</v>
      </c>
      <c r="BK104" s="172">
        <f t="shared" si="1347"/>
        <v>0</v>
      </c>
      <c r="BL104" s="172">
        <f t="shared" si="1347"/>
        <v>0</v>
      </c>
      <c r="BM104" s="172">
        <f t="shared" si="1347"/>
        <v>0</v>
      </c>
      <c r="BN104" s="172">
        <f t="shared" si="1347"/>
        <v>0</v>
      </c>
      <c r="BO104" s="172">
        <f t="shared" si="1347"/>
        <v>0</v>
      </c>
      <c r="BP104" s="172">
        <f t="shared" si="1347"/>
        <v>0</v>
      </c>
      <c r="BQ104" s="172">
        <f t="shared" ref="BQ104:EB104" si="1348">BQ100+BQ99</f>
        <v>0</v>
      </c>
      <c r="BR104" s="172">
        <f t="shared" si="1348"/>
        <v>0</v>
      </c>
      <c r="BS104" s="172">
        <f t="shared" si="1348"/>
        <v>0</v>
      </c>
      <c r="BT104" s="172">
        <f t="shared" si="1348"/>
        <v>0</v>
      </c>
      <c r="BU104" s="172">
        <f t="shared" si="1348"/>
        <v>0</v>
      </c>
      <c r="BV104" s="172">
        <f t="shared" si="1348"/>
        <v>0</v>
      </c>
      <c r="BW104" s="172">
        <f t="shared" si="1348"/>
        <v>0</v>
      </c>
      <c r="BX104" s="172">
        <f t="shared" si="1348"/>
        <v>0</v>
      </c>
      <c r="BY104" s="172">
        <f t="shared" si="1348"/>
        <v>0</v>
      </c>
      <c r="BZ104" s="172">
        <f t="shared" si="1348"/>
        <v>0</v>
      </c>
      <c r="CA104" s="172">
        <f t="shared" si="1348"/>
        <v>0</v>
      </c>
      <c r="CB104" s="172">
        <f t="shared" si="1348"/>
        <v>0</v>
      </c>
      <c r="CC104" s="172">
        <f t="shared" si="1348"/>
        <v>0</v>
      </c>
      <c r="CD104" s="172">
        <f t="shared" si="1348"/>
        <v>0</v>
      </c>
      <c r="CE104" s="172">
        <f t="shared" si="1348"/>
        <v>0</v>
      </c>
      <c r="CF104" s="172">
        <f t="shared" si="1348"/>
        <v>0</v>
      </c>
      <c r="CG104" s="172">
        <f t="shared" si="1348"/>
        <v>0</v>
      </c>
      <c r="CH104" s="172">
        <f t="shared" si="1348"/>
        <v>0</v>
      </c>
      <c r="CI104" s="172">
        <f t="shared" si="1348"/>
        <v>0</v>
      </c>
      <c r="CJ104" s="172">
        <f t="shared" si="1348"/>
        <v>0</v>
      </c>
      <c r="CK104" s="172">
        <f t="shared" si="1348"/>
        <v>0</v>
      </c>
      <c r="CL104" s="172">
        <f t="shared" si="1348"/>
        <v>0</v>
      </c>
      <c r="CM104" s="172">
        <f t="shared" si="1348"/>
        <v>0</v>
      </c>
      <c r="CN104" s="172">
        <f t="shared" si="1348"/>
        <v>0</v>
      </c>
      <c r="CO104" s="172">
        <f t="shared" si="1348"/>
        <v>0</v>
      </c>
      <c r="CP104" s="172">
        <f t="shared" si="1348"/>
        <v>0</v>
      </c>
      <c r="CQ104" s="172">
        <f t="shared" si="1348"/>
        <v>0</v>
      </c>
      <c r="CR104" s="172">
        <f t="shared" si="1348"/>
        <v>0</v>
      </c>
      <c r="CS104" s="172">
        <f t="shared" si="1348"/>
        <v>0</v>
      </c>
      <c r="CT104" s="172">
        <f t="shared" si="1348"/>
        <v>0</v>
      </c>
      <c r="CU104" s="172">
        <f t="shared" si="1348"/>
        <v>0</v>
      </c>
      <c r="CV104" s="172">
        <f t="shared" si="1348"/>
        <v>0</v>
      </c>
      <c r="CW104" s="172">
        <f t="shared" si="1348"/>
        <v>0</v>
      </c>
      <c r="CX104" s="172">
        <f t="shared" si="1348"/>
        <v>0</v>
      </c>
      <c r="CY104" s="172">
        <f t="shared" si="1348"/>
        <v>0</v>
      </c>
      <c r="CZ104" s="172">
        <f t="shared" si="1348"/>
        <v>0</v>
      </c>
      <c r="DA104" s="172">
        <f t="shared" si="1348"/>
        <v>0</v>
      </c>
      <c r="DB104" s="172">
        <f t="shared" si="1348"/>
        <v>0</v>
      </c>
      <c r="DC104" s="172">
        <f t="shared" si="1348"/>
        <v>0</v>
      </c>
      <c r="DD104" s="172">
        <f t="shared" si="1348"/>
        <v>0</v>
      </c>
      <c r="DE104" s="172">
        <f t="shared" si="1348"/>
        <v>0</v>
      </c>
      <c r="DF104" s="172">
        <f t="shared" si="1348"/>
        <v>0</v>
      </c>
      <c r="DG104" s="172">
        <f t="shared" si="1348"/>
        <v>0</v>
      </c>
      <c r="DH104" s="172">
        <f t="shared" si="1348"/>
        <v>0</v>
      </c>
      <c r="DI104" s="172">
        <f t="shared" si="1348"/>
        <v>0</v>
      </c>
      <c r="DJ104" s="172">
        <f t="shared" si="1348"/>
        <v>0</v>
      </c>
      <c r="DK104" s="172">
        <f t="shared" si="1348"/>
        <v>0</v>
      </c>
      <c r="DL104" s="172">
        <f t="shared" si="1348"/>
        <v>0</v>
      </c>
      <c r="DM104" s="172">
        <f t="shared" si="1348"/>
        <v>0</v>
      </c>
      <c r="DN104" s="172">
        <f t="shared" si="1348"/>
        <v>0</v>
      </c>
      <c r="DO104" s="172">
        <f t="shared" si="1348"/>
        <v>0</v>
      </c>
      <c r="DP104" s="172">
        <f t="shared" si="1348"/>
        <v>0</v>
      </c>
      <c r="DQ104" s="172">
        <f t="shared" si="1348"/>
        <v>0</v>
      </c>
      <c r="DR104" s="172">
        <f t="shared" si="1348"/>
        <v>0</v>
      </c>
      <c r="DS104" s="172">
        <f t="shared" si="1348"/>
        <v>0</v>
      </c>
      <c r="DT104" s="172">
        <f t="shared" si="1348"/>
        <v>0</v>
      </c>
      <c r="DU104" s="172">
        <f t="shared" si="1348"/>
        <v>0</v>
      </c>
      <c r="DV104" s="172">
        <f t="shared" si="1348"/>
        <v>0</v>
      </c>
      <c r="DW104" s="172">
        <f t="shared" si="1348"/>
        <v>0</v>
      </c>
      <c r="DX104" s="172">
        <f t="shared" si="1348"/>
        <v>0</v>
      </c>
      <c r="DY104" s="172">
        <f t="shared" si="1348"/>
        <v>0</v>
      </c>
      <c r="DZ104" s="172">
        <f t="shared" si="1348"/>
        <v>0</v>
      </c>
      <c r="EA104" s="172">
        <f t="shared" si="1348"/>
        <v>0</v>
      </c>
      <c r="EB104" s="172">
        <f t="shared" si="1348"/>
        <v>0</v>
      </c>
      <c r="EC104" s="172">
        <f t="shared" ref="EC104:GN104" si="1349">EC100+EC99</f>
        <v>0</v>
      </c>
      <c r="ED104" s="172">
        <f t="shared" si="1349"/>
        <v>0</v>
      </c>
      <c r="EE104" s="172">
        <f t="shared" si="1349"/>
        <v>0</v>
      </c>
      <c r="EF104" s="172">
        <f t="shared" si="1349"/>
        <v>0</v>
      </c>
      <c r="EG104" s="172">
        <f t="shared" si="1349"/>
        <v>0</v>
      </c>
      <c r="EH104" s="172">
        <f t="shared" si="1349"/>
        <v>0</v>
      </c>
      <c r="EI104" s="172">
        <f t="shared" si="1349"/>
        <v>0</v>
      </c>
      <c r="EJ104" s="172">
        <f t="shared" si="1349"/>
        <v>0</v>
      </c>
      <c r="EK104" s="172">
        <f t="shared" si="1349"/>
        <v>0</v>
      </c>
      <c r="EL104" s="172">
        <f t="shared" si="1349"/>
        <v>0</v>
      </c>
      <c r="EM104" s="172">
        <f t="shared" si="1349"/>
        <v>0</v>
      </c>
      <c r="EN104" s="172">
        <f t="shared" si="1349"/>
        <v>0</v>
      </c>
      <c r="EO104" s="172">
        <f t="shared" si="1349"/>
        <v>0</v>
      </c>
      <c r="EP104" s="172">
        <f t="shared" si="1349"/>
        <v>0</v>
      </c>
      <c r="EQ104" s="172">
        <f t="shared" si="1349"/>
        <v>0</v>
      </c>
      <c r="ER104" s="172">
        <f t="shared" si="1349"/>
        <v>0</v>
      </c>
      <c r="ES104" s="172">
        <f t="shared" si="1349"/>
        <v>0</v>
      </c>
      <c r="ET104" s="172">
        <f t="shared" si="1349"/>
        <v>0</v>
      </c>
      <c r="EU104" s="172">
        <f t="shared" si="1349"/>
        <v>0</v>
      </c>
      <c r="EV104" s="172">
        <f t="shared" si="1349"/>
        <v>0</v>
      </c>
      <c r="EW104" s="172">
        <f t="shared" si="1349"/>
        <v>0</v>
      </c>
      <c r="EX104" s="172">
        <f t="shared" si="1349"/>
        <v>0</v>
      </c>
      <c r="EY104" s="172">
        <f t="shared" si="1349"/>
        <v>0</v>
      </c>
      <c r="EZ104" s="172">
        <f t="shared" si="1349"/>
        <v>0</v>
      </c>
      <c r="FA104" s="172">
        <f t="shared" si="1349"/>
        <v>0</v>
      </c>
      <c r="FB104" s="172">
        <f t="shared" si="1349"/>
        <v>0</v>
      </c>
      <c r="FC104" s="172">
        <f t="shared" si="1349"/>
        <v>0</v>
      </c>
      <c r="FD104" s="172">
        <f t="shared" si="1349"/>
        <v>0</v>
      </c>
      <c r="FE104" s="172">
        <f t="shared" si="1349"/>
        <v>0</v>
      </c>
      <c r="FF104" s="172">
        <f t="shared" si="1349"/>
        <v>0</v>
      </c>
      <c r="FG104" s="172">
        <f t="shared" si="1349"/>
        <v>0</v>
      </c>
      <c r="FH104" s="172">
        <f t="shared" si="1349"/>
        <v>0</v>
      </c>
      <c r="FI104" s="172">
        <f t="shared" si="1349"/>
        <v>0</v>
      </c>
      <c r="FJ104" s="172">
        <f t="shared" si="1349"/>
        <v>0</v>
      </c>
      <c r="FK104" s="172">
        <f t="shared" si="1349"/>
        <v>0</v>
      </c>
      <c r="FL104" s="172">
        <f t="shared" si="1349"/>
        <v>0</v>
      </c>
      <c r="FM104" s="172">
        <f t="shared" si="1349"/>
        <v>0</v>
      </c>
      <c r="FN104" s="172">
        <f t="shared" si="1349"/>
        <v>0</v>
      </c>
      <c r="FO104" s="172">
        <f t="shared" si="1349"/>
        <v>0</v>
      </c>
      <c r="FP104" s="172">
        <f t="shared" si="1349"/>
        <v>0</v>
      </c>
      <c r="FQ104" s="172">
        <f t="shared" si="1349"/>
        <v>0</v>
      </c>
      <c r="FR104" s="172">
        <f t="shared" si="1349"/>
        <v>0</v>
      </c>
      <c r="FS104" s="172">
        <f t="shared" si="1349"/>
        <v>0</v>
      </c>
      <c r="FT104" s="172">
        <f t="shared" si="1349"/>
        <v>0</v>
      </c>
      <c r="FU104" s="172">
        <f t="shared" si="1349"/>
        <v>0</v>
      </c>
      <c r="FV104" s="172">
        <f t="shared" si="1349"/>
        <v>0</v>
      </c>
      <c r="FW104" s="172">
        <f t="shared" si="1349"/>
        <v>0</v>
      </c>
      <c r="FX104" s="172">
        <f t="shared" si="1349"/>
        <v>0</v>
      </c>
      <c r="FY104" s="172">
        <f t="shared" si="1349"/>
        <v>0</v>
      </c>
      <c r="FZ104" s="172">
        <f t="shared" si="1349"/>
        <v>0</v>
      </c>
      <c r="GA104" s="172">
        <f t="shared" si="1349"/>
        <v>0</v>
      </c>
      <c r="GB104" s="172">
        <f t="shared" si="1349"/>
        <v>0</v>
      </c>
      <c r="GC104" s="172">
        <f t="shared" si="1349"/>
        <v>0</v>
      </c>
      <c r="GD104" s="172">
        <f t="shared" si="1349"/>
        <v>0</v>
      </c>
      <c r="GE104" s="172">
        <f t="shared" si="1349"/>
        <v>0</v>
      </c>
      <c r="GF104" s="172">
        <f t="shared" si="1349"/>
        <v>0</v>
      </c>
      <c r="GG104" s="172">
        <f t="shared" si="1349"/>
        <v>0</v>
      </c>
      <c r="GH104" s="172">
        <f t="shared" si="1349"/>
        <v>0</v>
      </c>
      <c r="GI104" s="172">
        <f t="shared" si="1349"/>
        <v>0</v>
      </c>
      <c r="GJ104" s="172">
        <f t="shared" si="1349"/>
        <v>0</v>
      </c>
      <c r="GK104" s="172">
        <f t="shared" si="1349"/>
        <v>0</v>
      </c>
      <c r="GL104" s="172">
        <f t="shared" si="1349"/>
        <v>0</v>
      </c>
      <c r="GM104" s="172">
        <f t="shared" si="1349"/>
        <v>0</v>
      </c>
      <c r="GN104" s="172">
        <f t="shared" si="1349"/>
        <v>0</v>
      </c>
      <c r="GO104" s="172">
        <f t="shared" ref="GO104:GQ104" si="1350">GO100+GO99</f>
        <v>0</v>
      </c>
      <c r="GP104" s="172">
        <f t="shared" si="1350"/>
        <v>0</v>
      </c>
      <c r="GQ104" s="172">
        <f t="shared" si="1350"/>
        <v>0</v>
      </c>
    </row>
    <row r="105" spans="2:199" hidden="1" outlineLevel="1">
      <c r="B105" s="182" t="s">
        <v>417</v>
      </c>
      <c r="C105" s="154">
        <v>1</v>
      </c>
      <c r="D105" s="168"/>
      <c r="E105" s="213">
        <f>IF(E81&gt;=$C83,1+E88,1)</f>
        <v>1</v>
      </c>
      <c r="F105" s="213">
        <f t="shared" ref="F105:BQ105" si="1351">IF(F81&gt;=$C83,1+F88,1)</f>
        <v>1</v>
      </c>
      <c r="G105" s="213">
        <f t="shared" si="1351"/>
        <v>1</v>
      </c>
      <c r="H105" s="213">
        <f t="shared" si="1351"/>
        <v>1</v>
      </c>
      <c r="I105" s="213">
        <f t="shared" si="1351"/>
        <v>1</v>
      </c>
      <c r="J105" s="213">
        <f t="shared" si="1351"/>
        <v>1</v>
      </c>
      <c r="K105" s="213">
        <f t="shared" si="1351"/>
        <v>1</v>
      </c>
      <c r="L105" s="213">
        <f t="shared" si="1351"/>
        <v>1</v>
      </c>
      <c r="M105" s="213">
        <f t="shared" si="1351"/>
        <v>1</v>
      </c>
      <c r="N105" s="213">
        <f t="shared" si="1351"/>
        <v>1</v>
      </c>
      <c r="O105" s="213">
        <f t="shared" si="1351"/>
        <v>1</v>
      </c>
      <c r="P105" s="213">
        <f t="shared" si="1351"/>
        <v>1</v>
      </c>
      <c r="Q105" s="213">
        <f t="shared" si="1351"/>
        <v>1</v>
      </c>
      <c r="R105" s="213">
        <f t="shared" si="1351"/>
        <v>1</v>
      </c>
      <c r="S105" s="213">
        <f t="shared" si="1351"/>
        <v>1</v>
      </c>
      <c r="T105" s="213">
        <f t="shared" si="1351"/>
        <v>1</v>
      </c>
      <c r="U105" s="213">
        <f t="shared" si="1351"/>
        <v>1</v>
      </c>
      <c r="V105" s="213">
        <f t="shared" si="1351"/>
        <v>1</v>
      </c>
      <c r="W105" s="213">
        <f t="shared" si="1351"/>
        <v>1</v>
      </c>
      <c r="X105" s="213">
        <f t="shared" si="1351"/>
        <v>1</v>
      </c>
      <c r="Y105" s="213">
        <f t="shared" si="1351"/>
        <v>1</v>
      </c>
      <c r="Z105" s="213">
        <f t="shared" si="1351"/>
        <v>1</v>
      </c>
      <c r="AA105" s="213">
        <f t="shared" si="1351"/>
        <v>1</v>
      </c>
      <c r="AB105" s="213">
        <f t="shared" si="1351"/>
        <v>1</v>
      </c>
      <c r="AC105" s="213">
        <f t="shared" si="1351"/>
        <v>1</v>
      </c>
      <c r="AD105" s="213">
        <f t="shared" si="1351"/>
        <v>1</v>
      </c>
      <c r="AE105" s="213">
        <f t="shared" si="1351"/>
        <v>1</v>
      </c>
      <c r="AF105" s="213">
        <f t="shared" si="1351"/>
        <v>1</v>
      </c>
      <c r="AG105" s="213">
        <f t="shared" si="1351"/>
        <v>1</v>
      </c>
      <c r="AH105" s="213">
        <f t="shared" si="1351"/>
        <v>1</v>
      </c>
      <c r="AI105" s="213">
        <f t="shared" si="1351"/>
        <v>1</v>
      </c>
      <c r="AJ105" s="213">
        <f t="shared" si="1351"/>
        <v>1</v>
      </c>
      <c r="AK105" s="213">
        <f t="shared" si="1351"/>
        <v>1</v>
      </c>
      <c r="AL105" s="213">
        <f t="shared" si="1351"/>
        <v>1</v>
      </c>
      <c r="AM105" s="213">
        <f t="shared" si="1351"/>
        <v>1</v>
      </c>
      <c r="AN105" s="213">
        <f t="shared" si="1351"/>
        <v>1</v>
      </c>
      <c r="AO105" s="213">
        <f t="shared" si="1351"/>
        <v>1</v>
      </c>
      <c r="AP105" s="213">
        <f t="shared" si="1351"/>
        <v>1</v>
      </c>
      <c r="AQ105" s="213">
        <f t="shared" si="1351"/>
        <v>1</v>
      </c>
      <c r="AR105" s="213">
        <f t="shared" si="1351"/>
        <v>1</v>
      </c>
      <c r="AS105" s="213">
        <f t="shared" si="1351"/>
        <v>1</v>
      </c>
      <c r="AT105" s="213">
        <f t="shared" si="1351"/>
        <v>1</v>
      </c>
      <c r="AU105" s="213">
        <f t="shared" si="1351"/>
        <v>1</v>
      </c>
      <c r="AV105" s="213">
        <f t="shared" si="1351"/>
        <v>1</v>
      </c>
      <c r="AW105" s="213">
        <f t="shared" si="1351"/>
        <v>1</v>
      </c>
      <c r="AX105" s="213">
        <f t="shared" si="1351"/>
        <v>1</v>
      </c>
      <c r="AY105" s="213">
        <f t="shared" si="1351"/>
        <v>1</v>
      </c>
      <c r="AZ105" s="213">
        <f t="shared" si="1351"/>
        <v>1</v>
      </c>
      <c r="BA105" s="213">
        <f t="shared" si="1351"/>
        <v>1</v>
      </c>
      <c r="BB105" s="213">
        <f t="shared" si="1351"/>
        <v>1</v>
      </c>
      <c r="BC105" s="213">
        <f t="shared" si="1351"/>
        <v>1</v>
      </c>
      <c r="BD105" s="213">
        <f t="shared" si="1351"/>
        <v>1</v>
      </c>
      <c r="BE105" s="213">
        <f t="shared" si="1351"/>
        <v>1</v>
      </c>
      <c r="BF105" s="213">
        <f t="shared" si="1351"/>
        <v>1</v>
      </c>
      <c r="BG105" s="213">
        <f t="shared" si="1351"/>
        <v>1</v>
      </c>
      <c r="BH105" s="213">
        <f t="shared" si="1351"/>
        <v>1</v>
      </c>
      <c r="BI105" s="213">
        <f t="shared" si="1351"/>
        <v>1</v>
      </c>
      <c r="BJ105" s="213">
        <f t="shared" si="1351"/>
        <v>1</v>
      </c>
      <c r="BK105" s="213">
        <f t="shared" si="1351"/>
        <v>1</v>
      </c>
      <c r="BL105" s="213">
        <f t="shared" si="1351"/>
        <v>1</v>
      </c>
      <c r="BM105" s="213">
        <f t="shared" si="1351"/>
        <v>1</v>
      </c>
      <c r="BN105" s="213">
        <f t="shared" si="1351"/>
        <v>1</v>
      </c>
      <c r="BO105" s="213">
        <f t="shared" si="1351"/>
        <v>1</v>
      </c>
      <c r="BP105" s="213">
        <f t="shared" si="1351"/>
        <v>1</v>
      </c>
      <c r="BQ105" s="213">
        <f t="shared" si="1351"/>
        <v>1</v>
      </c>
      <c r="BR105" s="213">
        <f t="shared" ref="BR105:EC105" si="1352">IF(BR81&gt;=$C83,1+BR88,1)</f>
        <v>1</v>
      </c>
      <c r="BS105" s="213">
        <f t="shared" si="1352"/>
        <v>1</v>
      </c>
      <c r="BT105" s="213">
        <f t="shared" si="1352"/>
        <v>1</v>
      </c>
      <c r="BU105" s="213">
        <f t="shared" si="1352"/>
        <v>1</v>
      </c>
      <c r="BV105" s="213">
        <f t="shared" si="1352"/>
        <v>1</v>
      </c>
      <c r="BW105" s="213">
        <f t="shared" si="1352"/>
        <v>1</v>
      </c>
      <c r="BX105" s="213">
        <f t="shared" si="1352"/>
        <v>1</v>
      </c>
      <c r="BY105" s="213">
        <f t="shared" si="1352"/>
        <v>1</v>
      </c>
      <c r="BZ105" s="213">
        <f t="shared" si="1352"/>
        <v>1</v>
      </c>
      <c r="CA105" s="213">
        <f t="shared" si="1352"/>
        <v>1</v>
      </c>
      <c r="CB105" s="213">
        <f t="shared" si="1352"/>
        <v>1</v>
      </c>
      <c r="CC105" s="213">
        <f t="shared" si="1352"/>
        <v>1</v>
      </c>
      <c r="CD105" s="213">
        <f t="shared" si="1352"/>
        <v>1</v>
      </c>
      <c r="CE105" s="213">
        <f t="shared" si="1352"/>
        <v>1</v>
      </c>
      <c r="CF105" s="213">
        <f t="shared" si="1352"/>
        <v>1</v>
      </c>
      <c r="CG105" s="213">
        <f t="shared" si="1352"/>
        <v>1</v>
      </c>
      <c r="CH105" s="213">
        <f t="shared" si="1352"/>
        <v>1</v>
      </c>
      <c r="CI105" s="213">
        <f t="shared" si="1352"/>
        <v>1</v>
      </c>
      <c r="CJ105" s="213">
        <f t="shared" si="1352"/>
        <v>1</v>
      </c>
      <c r="CK105" s="213">
        <f t="shared" si="1352"/>
        <v>1</v>
      </c>
      <c r="CL105" s="213">
        <f t="shared" si="1352"/>
        <v>1</v>
      </c>
      <c r="CM105" s="213">
        <f t="shared" si="1352"/>
        <v>1</v>
      </c>
      <c r="CN105" s="213">
        <f t="shared" si="1352"/>
        <v>1</v>
      </c>
      <c r="CO105" s="213">
        <f t="shared" si="1352"/>
        <v>1</v>
      </c>
      <c r="CP105" s="213">
        <f t="shared" si="1352"/>
        <v>1</v>
      </c>
      <c r="CQ105" s="213">
        <f t="shared" si="1352"/>
        <v>1</v>
      </c>
      <c r="CR105" s="213">
        <f t="shared" si="1352"/>
        <v>1</v>
      </c>
      <c r="CS105" s="213">
        <f t="shared" si="1352"/>
        <v>1</v>
      </c>
      <c r="CT105" s="213">
        <f t="shared" si="1352"/>
        <v>1</v>
      </c>
      <c r="CU105" s="213">
        <f t="shared" si="1352"/>
        <v>1</v>
      </c>
      <c r="CV105" s="213">
        <f t="shared" si="1352"/>
        <v>1</v>
      </c>
      <c r="CW105" s="213">
        <f t="shared" si="1352"/>
        <v>1</v>
      </c>
      <c r="CX105" s="213">
        <f t="shared" si="1352"/>
        <v>1</v>
      </c>
      <c r="CY105" s="213">
        <f t="shared" si="1352"/>
        <v>1</v>
      </c>
      <c r="CZ105" s="213">
        <f t="shared" si="1352"/>
        <v>1</v>
      </c>
      <c r="DA105" s="213">
        <f t="shared" si="1352"/>
        <v>1</v>
      </c>
      <c r="DB105" s="213">
        <f t="shared" si="1352"/>
        <v>1</v>
      </c>
      <c r="DC105" s="213">
        <f t="shared" si="1352"/>
        <v>1</v>
      </c>
      <c r="DD105" s="213">
        <f t="shared" si="1352"/>
        <v>1</v>
      </c>
      <c r="DE105" s="213">
        <f t="shared" si="1352"/>
        <v>1</v>
      </c>
      <c r="DF105" s="213">
        <f t="shared" si="1352"/>
        <v>1</v>
      </c>
      <c r="DG105" s="213">
        <f t="shared" si="1352"/>
        <v>1</v>
      </c>
      <c r="DH105" s="213">
        <f t="shared" si="1352"/>
        <v>1</v>
      </c>
      <c r="DI105" s="213">
        <f t="shared" si="1352"/>
        <v>1</v>
      </c>
      <c r="DJ105" s="213">
        <f t="shared" si="1352"/>
        <v>1</v>
      </c>
      <c r="DK105" s="213">
        <f t="shared" si="1352"/>
        <v>1</v>
      </c>
      <c r="DL105" s="213">
        <f t="shared" si="1352"/>
        <v>1</v>
      </c>
      <c r="DM105" s="213">
        <f t="shared" si="1352"/>
        <v>1</v>
      </c>
      <c r="DN105" s="213">
        <f t="shared" si="1352"/>
        <v>1</v>
      </c>
      <c r="DO105" s="213">
        <f t="shared" si="1352"/>
        <v>1</v>
      </c>
      <c r="DP105" s="213">
        <f t="shared" si="1352"/>
        <v>1</v>
      </c>
      <c r="DQ105" s="213">
        <f t="shared" si="1352"/>
        <v>1</v>
      </c>
      <c r="DR105" s="213">
        <f t="shared" si="1352"/>
        <v>1</v>
      </c>
      <c r="DS105" s="213">
        <f t="shared" si="1352"/>
        <v>1</v>
      </c>
      <c r="DT105" s="213">
        <f t="shared" si="1352"/>
        <v>1</v>
      </c>
      <c r="DU105" s="213">
        <f t="shared" si="1352"/>
        <v>1</v>
      </c>
      <c r="DV105" s="213">
        <f t="shared" si="1352"/>
        <v>1</v>
      </c>
      <c r="DW105" s="213">
        <f t="shared" si="1352"/>
        <v>1</v>
      </c>
      <c r="DX105" s="213">
        <f t="shared" si="1352"/>
        <v>1</v>
      </c>
      <c r="DY105" s="213">
        <f t="shared" si="1352"/>
        <v>1</v>
      </c>
      <c r="DZ105" s="213">
        <f t="shared" si="1352"/>
        <v>1</v>
      </c>
      <c r="EA105" s="213">
        <f t="shared" si="1352"/>
        <v>1</v>
      </c>
      <c r="EB105" s="213">
        <f t="shared" si="1352"/>
        <v>1</v>
      </c>
      <c r="EC105" s="213">
        <f t="shared" si="1352"/>
        <v>1</v>
      </c>
      <c r="ED105" s="213">
        <f t="shared" ref="ED105:GO105" si="1353">IF(ED81&gt;=$C83,1+ED88,1)</f>
        <v>1</v>
      </c>
      <c r="EE105" s="213">
        <f t="shared" si="1353"/>
        <v>1</v>
      </c>
      <c r="EF105" s="213">
        <f t="shared" si="1353"/>
        <v>1</v>
      </c>
      <c r="EG105" s="213">
        <f t="shared" si="1353"/>
        <v>1</v>
      </c>
      <c r="EH105" s="213">
        <f t="shared" si="1353"/>
        <v>1</v>
      </c>
      <c r="EI105" s="213">
        <f t="shared" si="1353"/>
        <v>1</v>
      </c>
      <c r="EJ105" s="213">
        <f t="shared" si="1353"/>
        <v>1</v>
      </c>
      <c r="EK105" s="213">
        <f t="shared" si="1353"/>
        <v>1</v>
      </c>
      <c r="EL105" s="213">
        <f t="shared" si="1353"/>
        <v>1</v>
      </c>
      <c r="EM105" s="213">
        <f t="shared" si="1353"/>
        <v>1</v>
      </c>
      <c r="EN105" s="213">
        <f t="shared" si="1353"/>
        <v>1</v>
      </c>
      <c r="EO105" s="213">
        <f t="shared" si="1353"/>
        <v>1</v>
      </c>
      <c r="EP105" s="213">
        <f t="shared" si="1353"/>
        <v>1</v>
      </c>
      <c r="EQ105" s="213">
        <f t="shared" si="1353"/>
        <v>1</v>
      </c>
      <c r="ER105" s="213">
        <f t="shared" si="1353"/>
        <v>1</v>
      </c>
      <c r="ES105" s="213">
        <f t="shared" si="1353"/>
        <v>1</v>
      </c>
      <c r="ET105" s="213">
        <f t="shared" si="1353"/>
        <v>1</v>
      </c>
      <c r="EU105" s="213">
        <f t="shared" si="1353"/>
        <v>1</v>
      </c>
      <c r="EV105" s="213">
        <f t="shared" si="1353"/>
        <v>1</v>
      </c>
      <c r="EW105" s="213">
        <f t="shared" si="1353"/>
        <v>1</v>
      </c>
      <c r="EX105" s="213">
        <f t="shared" si="1353"/>
        <v>1</v>
      </c>
      <c r="EY105" s="213">
        <f t="shared" si="1353"/>
        <v>1</v>
      </c>
      <c r="EZ105" s="213">
        <f t="shared" si="1353"/>
        <v>1</v>
      </c>
      <c r="FA105" s="213">
        <f t="shared" si="1353"/>
        <v>1</v>
      </c>
      <c r="FB105" s="213">
        <f t="shared" si="1353"/>
        <v>1</v>
      </c>
      <c r="FC105" s="213">
        <f t="shared" si="1353"/>
        <v>1</v>
      </c>
      <c r="FD105" s="213">
        <f t="shared" si="1353"/>
        <v>1</v>
      </c>
      <c r="FE105" s="213">
        <f t="shared" si="1353"/>
        <v>1</v>
      </c>
      <c r="FF105" s="213">
        <f t="shared" si="1353"/>
        <v>1</v>
      </c>
      <c r="FG105" s="213">
        <f t="shared" si="1353"/>
        <v>1</v>
      </c>
      <c r="FH105" s="213">
        <f t="shared" si="1353"/>
        <v>1</v>
      </c>
      <c r="FI105" s="213">
        <f t="shared" si="1353"/>
        <v>1</v>
      </c>
      <c r="FJ105" s="213">
        <f t="shared" si="1353"/>
        <v>1</v>
      </c>
      <c r="FK105" s="213">
        <f t="shared" si="1353"/>
        <v>1</v>
      </c>
      <c r="FL105" s="213">
        <f t="shared" si="1353"/>
        <v>1</v>
      </c>
      <c r="FM105" s="213">
        <f t="shared" si="1353"/>
        <v>1</v>
      </c>
      <c r="FN105" s="213">
        <f t="shared" si="1353"/>
        <v>1</v>
      </c>
      <c r="FO105" s="213">
        <f t="shared" si="1353"/>
        <v>1</v>
      </c>
      <c r="FP105" s="213">
        <f t="shared" si="1353"/>
        <v>1</v>
      </c>
      <c r="FQ105" s="213">
        <f t="shared" si="1353"/>
        <v>1</v>
      </c>
      <c r="FR105" s="213">
        <f t="shared" si="1353"/>
        <v>1</v>
      </c>
      <c r="FS105" s="213">
        <f t="shared" si="1353"/>
        <v>1</v>
      </c>
      <c r="FT105" s="213">
        <f t="shared" si="1353"/>
        <v>1</v>
      </c>
      <c r="FU105" s="213">
        <f t="shared" si="1353"/>
        <v>1</v>
      </c>
      <c r="FV105" s="213">
        <f t="shared" si="1353"/>
        <v>1</v>
      </c>
      <c r="FW105" s="213">
        <f t="shared" si="1353"/>
        <v>1</v>
      </c>
      <c r="FX105" s="213">
        <f t="shared" si="1353"/>
        <v>1</v>
      </c>
      <c r="FY105" s="213">
        <f t="shared" si="1353"/>
        <v>1</v>
      </c>
      <c r="FZ105" s="213">
        <f t="shared" si="1353"/>
        <v>1</v>
      </c>
      <c r="GA105" s="213">
        <f t="shared" si="1353"/>
        <v>1</v>
      </c>
      <c r="GB105" s="213">
        <f t="shared" si="1353"/>
        <v>1</v>
      </c>
      <c r="GC105" s="213">
        <f t="shared" si="1353"/>
        <v>1</v>
      </c>
      <c r="GD105" s="213">
        <f t="shared" si="1353"/>
        <v>1</v>
      </c>
      <c r="GE105" s="213">
        <f t="shared" si="1353"/>
        <v>1</v>
      </c>
      <c r="GF105" s="213">
        <f t="shared" si="1353"/>
        <v>1</v>
      </c>
      <c r="GG105" s="213">
        <f t="shared" si="1353"/>
        <v>1</v>
      </c>
      <c r="GH105" s="213">
        <f t="shared" si="1353"/>
        <v>1</v>
      </c>
      <c r="GI105" s="213">
        <f t="shared" si="1353"/>
        <v>1</v>
      </c>
      <c r="GJ105" s="213">
        <f t="shared" si="1353"/>
        <v>1</v>
      </c>
      <c r="GK105" s="213">
        <f t="shared" si="1353"/>
        <v>1</v>
      </c>
      <c r="GL105" s="213">
        <f t="shared" si="1353"/>
        <v>1</v>
      </c>
      <c r="GM105" s="213">
        <f t="shared" si="1353"/>
        <v>1</v>
      </c>
      <c r="GN105" s="213">
        <f t="shared" si="1353"/>
        <v>1</v>
      </c>
      <c r="GO105" s="213">
        <f t="shared" si="1353"/>
        <v>1</v>
      </c>
      <c r="GP105" s="213">
        <f t="shared" ref="GP105:GQ105" si="1354">IF(GP81&gt;=$C83,1+GP88,1)</f>
        <v>1</v>
      </c>
      <c r="GQ105" s="213">
        <f t="shared" si="1354"/>
        <v>1</v>
      </c>
    </row>
    <row r="106" spans="2:199" hidden="1" outlineLevel="1">
      <c r="B106" s="182" t="s">
        <v>416</v>
      </c>
      <c r="C106" s="315">
        <v>1</v>
      </c>
      <c r="D106" s="168"/>
      <c r="E106" s="213">
        <f>C106*E105</f>
        <v>1</v>
      </c>
      <c r="F106" s="213">
        <f>E106*F105</f>
        <v>1</v>
      </c>
      <c r="G106" s="213">
        <f t="shared" ref="G106" si="1355">F106*G105</f>
        <v>1</v>
      </c>
      <c r="H106" s="213">
        <f t="shared" ref="H106" si="1356">G106*H105</f>
        <v>1</v>
      </c>
      <c r="I106" s="213">
        <f t="shared" ref="I106" si="1357">H106*I105</f>
        <v>1</v>
      </c>
      <c r="J106" s="213">
        <f t="shared" ref="J106" si="1358">I106*J105</f>
        <v>1</v>
      </c>
      <c r="K106" s="213">
        <f t="shared" ref="K106" si="1359">J106*K105</f>
        <v>1</v>
      </c>
      <c r="L106" s="213">
        <f t="shared" ref="L106" si="1360">K106*L105</f>
        <v>1</v>
      </c>
      <c r="M106" s="213">
        <f t="shared" ref="M106" si="1361">L106*M105</f>
        <v>1</v>
      </c>
      <c r="N106" s="213">
        <f t="shared" ref="N106" si="1362">M106*N105</f>
        <v>1</v>
      </c>
      <c r="O106" s="213">
        <f t="shared" ref="O106" si="1363">N106*O105</f>
        <v>1</v>
      </c>
      <c r="P106" s="213">
        <f t="shared" ref="P106" si="1364">O106*P105</f>
        <v>1</v>
      </c>
      <c r="Q106" s="213">
        <f t="shared" ref="Q106" si="1365">P106*Q105</f>
        <v>1</v>
      </c>
      <c r="R106" s="213">
        <f t="shared" ref="R106" si="1366">Q106*R105</f>
        <v>1</v>
      </c>
      <c r="S106" s="213">
        <f t="shared" ref="S106" si="1367">R106*S105</f>
        <v>1</v>
      </c>
      <c r="T106" s="213">
        <f t="shared" ref="T106" si="1368">S106*T105</f>
        <v>1</v>
      </c>
      <c r="U106" s="213">
        <f t="shared" ref="U106" si="1369">T106*U105</f>
        <v>1</v>
      </c>
      <c r="V106" s="213">
        <f t="shared" ref="V106" si="1370">U106*V105</f>
        <v>1</v>
      </c>
      <c r="W106" s="213">
        <f t="shared" ref="W106" si="1371">V106*W105</f>
        <v>1</v>
      </c>
      <c r="X106" s="213">
        <f t="shared" ref="X106" si="1372">W106*X105</f>
        <v>1</v>
      </c>
      <c r="Y106" s="213">
        <f t="shared" ref="Y106" si="1373">X106*Y105</f>
        <v>1</v>
      </c>
      <c r="Z106" s="213">
        <f t="shared" ref="Z106" si="1374">Y106*Z105</f>
        <v>1</v>
      </c>
      <c r="AA106" s="213">
        <f t="shared" ref="AA106" si="1375">Z106*AA105</f>
        <v>1</v>
      </c>
      <c r="AB106" s="213">
        <f t="shared" ref="AB106" si="1376">AA106*AB105</f>
        <v>1</v>
      </c>
      <c r="AC106" s="213">
        <f t="shared" ref="AC106" si="1377">AB106*AC105</f>
        <v>1</v>
      </c>
      <c r="AD106" s="213">
        <f t="shared" ref="AD106" si="1378">AC106*AD105</f>
        <v>1</v>
      </c>
      <c r="AE106" s="213">
        <f t="shared" ref="AE106" si="1379">AD106*AE105</f>
        <v>1</v>
      </c>
      <c r="AF106" s="213">
        <f t="shared" ref="AF106" si="1380">AE106*AF105</f>
        <v>1</v>
      </c>
      <c r="AG106" s="213">
        <f t="shared" ref="AG106" si="1381">AF106*AG105</f>
        <v>1</v>
      </c>
      <c r="AH106" s="213">
        <f t="shared" ref="AH106" si="1382">AG106*AH105</f>
        <v>1</v>
      </c>
      <c r="AI106" s="213">
        <f t="shared" ref="AI106" si="1383">AH106*AI105</f>
        <v>1</v>
      </c>
      <c r="AJ106" s="213">
        <f t="shared" ref="AJ106" si="1384">AI106*AJ105</f>
        <v>1</v>
      </c>
      <c r="AK106" s="213">
        <f t="shared" ref="AK106" si="1385">AJ106*AK105</f>
        <v>1</v>
      </c>
      <c r="AL106" s="213">
        <f t="shared" ref="AL106" si="1386">AK106*AL105</f>
        <v>1</v>
      </c>
      <c r="AM106" s="213">
        <f t="shared" ref="AM106" si="1387">AL106*AM105</f>
        <v>1</v>
      </c>
      <c r="AN106" s="213">
        <f t="shared" ref="AN106" si="1388">AM106*AN105</f>
        <v>1</v>
      </c>
      <c r="AO106" s="213">
        <f t="shared" ref="AO106" si="1389">AN106*AO105</f>
        <v>1</v>
      </c>
      <c r="AP106" s="213">
        <f t="shared" ref="AP106" si="1390">AO106*AP105</f>
        <v>1</v>
      </c>
      <c r="AQ106" s="213">
        <f t="shared" ref="AQ106" si="1391">AP106*AQ105</f>
        <v>1</v>
      </c>
      <c r="AR106" s="213">
        <f t="shared" ref="AR106" si="1392">AQ106*AR105</f>
        <v>1</v>
      </c>
      <c r="AS106" s="213">
        <f t="shared" ref="AS106" si="1393">AR106*AS105</f>
        <v>1</v>
      </c>
      <c r="AT106" s="213">
        <f t="shared" ref="AT106" si="1394">AS106*AT105</f>
        <v>1</v>
      </c>
      <c r="AU106" s="213">
        <f t="shared" ref="AU106" si="1395">AT106*AU105</f>
        <v>1</v>
      </c>
      <c r="AV106" s="213">
        <f t="shared" ref="AV106" si="1396">AU106*AV105</f>
        <v>1</v>
      </c>
      <c r="AW106" s="213">
        <f t="shared" ref="AW106" si="1397">AV106*AW105</f>
        <v>1</v>
      </c>
      <c r="AX106" s="213">
        <f t="shared" ref="AX106" si="1398">AW106*AX105</f>
        <v>1</v>
      </c>
      <c r="AY106" s="213">
        <f t="shared" ref="AY106" si="1399">AX106*AY105</f>
        <v>1</v>
      </c>
      <c r="AZ106" s="213">
        <f t="shared" ref="AZ106" si="1400">AY106*AZ105</f>
        <v>1</v>
      </c>
      <c r="BA106" s="213">
        <f t="shared" ref="BA106" si="1401">AZ106*BA105</f>
        <v>1</v>
      </c>
      <c r="BB106" s="213">
        <f t="shared" ref="BB106" si="1402">BA106*BB105</f>
        <v>1</v>
      </c>
      <c r="BC106" s="213">
        <f t="shared" ref="BC106" si="1403">BB106*BC105</f>
        <v>1</v>
      </c>
      <c r="BD106" s="213">
        <f t="shared" ref="BD106" si="1404">BC106*BD105</f>
        <v>1</v>
      </c>
      <c r="BE106" s="213">
        <f t="shared" ref="BE106" si="1405">BD106*BE105</f>
        <v>1</v>
      </c>
      <c r="BF106" s="213">
        <f t="shared" ref="BF106" si="1406">BE106*BF105</f>
        <v>1</v>
      </c>
      <c r="BG106" s="213">
        <f t="shared" ref="BG106" si="1407">BF106*BG105</f>
        <v>1</v>
      </c>
      <c r="BH106" s="213">
        <f t="shared" ref="BH106" si="1408">BG106*BH105</f>
        <v>1</v>
      </c>
      <c r="BI106" s="213">
        <f t="shared" ref="BI106" si="1409">BH106*BI105</f>
        <v>1</v>
      </c>
      <c r="BJ106" s="213">
        <f t="shared" ref="BJ106" si="1410">BI106*BJ105</f>
        <v>1</v>
      </c>
      <c r="BK106" s="213">
        <f t="shared" ref="BK106" si="1411">BJ106*BK105</f>
        <v>1</v>
      </c>
      <c r="BL106" s="213">
        <f t="shared" ref="BL106" si="1412">BK106*BL105</f>
        <v>1</v>
      </c>
      <c r="BM106" s="213">
        <f t="shared" ref="BM106" si="1413">BL106*BM105</f>
        <v>1</v>
      </c>
      <c r="BN106" s="213">
        <f t="shared" ref="BN106" si="1414">BM106*BN105</f>
        <v>1</v>
      </c>
      <c r="BO106" s="213">
        <f t="shared" ref="BO106" si="1415">BN106*BO105</f>
        <v>1</v>
      </c>
      <c r="BP106" s="213">
        <f t="shared" ref="BP106" si="1416">BO106*BP105</f>
        <v>1</v>
      </c>
      <c r="BQ106" s="213">
        <f t="shared" ref="BQ106" si="1417">BP106*BQ105</f>
        <v>1</v>
      </c>
      <c r="BR106" s="213">
        <f t="shared" ref="BR106" si="1418">BQ106*BR105</f>
        <v>1</v>
      </c>
      <c r="BS106" s="213">
        <f t="shared" ref="BS106" si="1419">BR106*BS105</f>
        <v>1</v>
      </c>
      <c r="BT106" s="213">
        <f t="shared" ref="BT106" si="1420">BS106*BT105</f>
        <v>1</v>
      </c>
      <c r="BU106" s="213">
        <f t="shared" ref="BU106" si="1421">BT106*BU105</f>
        <v>1</v>
      </c>
      <c r="BV106" s="213">
        <f t="shared" ref="BV106" si="1422">BU106*BV105</f>
        <v>1</v>
      </c>
      <c r="BW106" s="213">
        <f t="shared" ref="BW106" si="1423">BV106*BW105</f>
        <v>1</v>
      </c>
      <c r="BX106" s="213">
        <f t="shared" ref="BX106" si="1424">BW106*BX105</f>
        <v>1</v>
      </c>
      <c r="BY106" s="213">
        <f t="shared" ref="BY106" si="1425">BX106*BY105</f>
        <v>1</v>
      </c>
      <c r="BZ106" s="213">
        <f t="shared" ref="BZ106" si="1426">BY106*BZ105</f>
        <v>1</v>
      </c>
      <c r="CA106" s="213">
        <f t="shared" ref="CA106" si="1427">BZ106*CA105</f>
        <v>1</v>
      </c>
      <c r="CB106" s="213">
        <f t="shared" ref="CB106" si="1428">CA106*CB105</f>
        <v>1</v>
      </c>
      <c r="CC106" s="213">
        <f t="shared" ref="CC106" si="1429">CB106*CC105</f>
        <v>1</v>
      </c>
      <c r="CD106" s="213">
        <f t="shared" ref="CD106" si="1430">CC106*CD105</f>
        <v>1</v>
      </c>
      <c r="CE106" s="213">
        <f t="shared" ref="CE106" si="1431">CD106*CE105</f>
        <v>1</v>
      </c>
      <c r="CF106" s="213">
        <f t="shared" ref="CF106" si="1432">CE106*CF105</f>
        <v>1</v>
      </c>
      <c r="CG106" s="213">
        <f t="shared" ref="CG106" si="1433">CF106*CG105</f>
        <v>1</v>
      </c>
      <c r="CH106" s="213">
        <f t="shared" ref="CH106" si="1434">CG106*CH105</f>
        <v>1</v>
      </c>
      <c r="CI106" s="213">
        <f t="shared" ref="CI106" si="1435">CH106*CI105</f>
        <v>1</v>
      </c>
      <c r="CJ106" s="213">
        <f t="shared" ref="CJ106" si="1436">CI106*CJ105</f>
        <v>1</v>
      </c>
      <c r="CK106" s="213">
        <f t="shared" ref="CK106" si="1437">CJ106*CK105</f>
        <v>1</v>
      </c>
      <c r="CL106" s="213">
        <f t="shared" ref="CL106" si="1438">CK106*CL105</f>
        <v>1</v>
      </c>
      <c r="CM106" s="213">
        <f t="shared" ref="CM106" si="1439">CL106*CM105</f>
        <v>1</v>
      </c>
      <c r="CN106" s="213">
        <f t="shared" ref="CN106" si="1440">CM106*CN105</f>
        <v>1</v>
      </c>
      <c r="CO106" s="213">
        <f t="shared" ref="CO106" si="1441">CN106*CO105</f>
        <v>1</v>
      </c>
      <c r="CP106" s="213">
        <f t="shared" ref="CP106" si="1442">CO106*CP105</f>
        <v>1</v>
      </c>
      <c r="CQ106" s="213">
        <f t="shared" ref="CQ106" si="1443">CP106*CQ105</f>
        <v>1</v>
      </c>
      <c r="CR106" s="213">
        <f t="shared" ref="CR106" si="1444">CQ106*CR105</f>
        <v>1</v>
      </c>
      <c r="CS106" s="213">
        <f t="shared" ref="CS106" si="1445">CR106*CS105</f>
        <v>1</v>
      </c>
      <c r="CT106" s="213">
        <f t="shared" ref="CT106" si="1446">CS106*CT105</f>
        <v>1</v>
      </c>
      <c r="CU106" s="213">
        <f t="shared" ref="CU106" si="1447">CT106*CU105</f>
        <v>1</v>
      </c>
      <c r="CV106" s="213">
        <f t="shared" ref="CV106" si="1448">CU106*CV105</f>
        <v>1</v>
      </c>
      <c r="CW106" s="213">
        <f t="shared" ref="CW106" si="1449">CV106*CW105</f>
        <v>1</v>
      </c>
      <c r="CX106" s="213">
        <f t="shared" ref="CX106" si="1450">CW106*CX105</f>
        <v>1</v>
      </c>
      <c r="CY106" s="213">
        <f t="shared" ref="CY106" si="1451">CX106*CY105</f>
        <v>1</v>
      </c>
      <c r="CZ106" s="213">
        <f t="shared" ref="CZ106" si="1452">CY106*CZ105</f>
        <v>1</v>
      </c>
      <c r="DA106" s="213">
        <f t="shared" ref="DA106" si="1453">CZ106*DA105</f>
        <v>1</v>
      </c>
      <c r="DB106" s="213">
        <f t="shared" ref="DB106" si="1454">DA106*DB105</f>
        <v>1</v>
      </c>
      <c r="DC106" s="213">
        <f t="shared" ref="DC106" si="1455">DB106*DC105</f>
        <v>1</v>
      </c>
      <c r="DD106" s="213">
        <f t="shared" ref="DD106" si="1456">DC106*DD105</f>
        <v>1</v>
      </c>
      <c r="DE106" s="213">
        <f t="shared" ref="DE106" si="1457">DD106*DE105</f>
        <v>1</v>
      </c>
      <c r="DF106" s="213">
        <f t="shared" ref="DF106" si="1458">DE106*DF105</f>
        <v>1</v>
      </c>
      <c r="DG106" s="213">
        <f t="shared" ref="DG106" si="1459">DF106*DG105</f>
        <v>1</v>
      </c>
      <c r="DH106" s="213">
        <f t="shared" ref="DH106" si="1460">DG106*DH105</f>
        <v>1</v>
      </c>
      <c r="DI106" s="213">
        <f t="shared" ref="DI106" si="1461">DH106*DI105</f>
        <v>1</v>
      </c>
      <c r="DJ106" s="213">
        <f t="shared" ref="DJ106" si="1462">DI106*DJ105</f>
        <v>1</v>
      </c>
      <c r="DK106" s="213">
        <f t="shared" ref="DK106" si="1463">DJ106*DK105</f>
        <v>1</v>
      </c>
      <c r="DL106" s="213">
        <f t="shared" ref="DL106" si="1464">DK106*DL105</f>
        <v>1</v>
      </c>
      <c r="DM106" s="213">
        <f t="shared" ref="DM106" si="1465">DL106*DM105</f>
        <v>1</v>
      </c>
      <c r="DN106" s="213">
        <f t="shared" ref="DN106" si="1466">DM106*DN105</f>
        <v>1</v>
      </c>
      <c r="DO106" s="213">
        <f t="shared" ref="DO106" si="1467">DN106*DO105</f>
        <v>1</v>
      </c>
      <c r="DP106" s="213">
        <f t="shared" ref="DP106" si="1468">DO106*DP105</f>
        <v>1</v>
      </c>
      <c r="DQ106" s="213">
        <f t="shared" ref="DQ106" si="1469">DP106*DQ105</f>
        <v>1</v>
      </c>
      <c r="DR106" s="213">
        <f t="shared" ref="DR106" si="1470">DQ106*DR105</f>
        <v>1</v>
      </c>
      <c r="DS106" s="213">
        <f t="shared" ref="DS106" si="1471">DR106*DS105</f>
        <v>1</v>
      </c>
      <c r="DT106" s="213">
        <f t="shared" ref="DT106" si="1472">DS106*DT105</f>
        <v>1</v>
      </c>
      <c r="DU106" s="213">
        <f t="shared" ref="DU106" si="1473">DT106*DU105</f>
        <v>1</v>
      </c>
      <c r="DV106" s="213">
        <f t="shared" ref="DV106" si="1474">DU106*DV105</f>
        <v>1</v>
      </c>
      <c r="DW106" s="213">
        <f t="shared" ref="DW106" si="1475">DV106*DW105</f>
        <v>1</v>
      </c>
      <c r="DX106" s="213">
        <f t="shared" ref="DX106" si="1476">DW106*DX105</f>
        <v>1</v>
      </c>
      <c r="DY106" s="213">
        <f t="shared" ref="DY106" si="1477">DX106*DY105</f>
        <v>1</v>
      </c>
      <c r="DZ106" s="213">
        <f t="shared" ref="DZ106" si="1478">DY106*DZ105</f>
        <v>1</v>
      </c>
      <c r="EA106" s="213">
        <f t="shared" ref="EA106" si="1479">DZ106*EA105</f>
        <v>1</v>
      </c>
      <c r="EB106" s="213">
        <f t="shared" ref="EB106" si="1480">EA106*EB105</f>
        <v>1</v>
      </c>
      <c r="EC106" s="213">
        <f t="shared" ref="EC106" si="1481">EB106*EC105</f>
        <v>1</v>
      </c>
      <c r="ED106" s="213">
        <f t="shared" ref="ED106" si="1482">EC106*ED105</f>
        <v>1</v>
      </c>
      <c r="EE106" s="213">
        <f t="shared" ref="EE106" si="1483">ED106*EE105</f>
        <v>1</v>
      </c>
      <c r="EF106" s="213">
        <f t="shared" ref="EF106" si="1484">EE106*EF105</f>
        <v>1</v>
      </c>
      <c r="EG106" s="213">
        <f t="shared" ref="EG106" si="1485">EF106*EG105</f>
        <v>1</v>
      </c>
      <c r="EH106" s="213">
        <f t="shared" ref="EH106" si="1486">EG106*EH105</f>
        <v>1</v>
      </c>
      <c r="EI106" s="213">
        <f t="shared" ref="EI106" si="1487">EH106*EI105</f>
        <v>1</v>
      </c>
      <c r="EJ106" s="213">
        <f t="shared" ref="EJ106" si="1488">EI106*EJ105</f>
        <v>1</v>
      </c>
      <c r="EK106" s="213">
        <f t="shared" ref="EK106" si="1489">EJ106*EK105</f>
        <v>1</v>
      </c>
      <c r="EL106" s="213">
        <f t="shared" ref="EL106" si="1490">EK106*EL105</f>
        <v>1</v>
      </c>
      <c r="EM106" s="213">
        <f t="shared" ref="EM106" si="1491">EL106*EM105</f>
        <v>1</v>
      </c>
      <c r="EN106" s="213">
        <f t="shared" ref="EN106" si="1492">EM106*EN105</f>
        <v>1</v>
      </c>
      <c r="EO106" s="213">
        <f t="shared" ref="EO106" si="1493">EN106*EO105</f>
        <v>1</v>
      </c>
      <c r="EP106" s="213">
        <f t="shared" ref="EP106" si="1494">EO106*EP105</f>
        <v>1</v>
      </c>
      <c r="EQ106" s="213">
        <f t="shared" ref="EQ106" si="1495">EP106*EQ105</f>
        <v>1</v>
      </c>
      <c r="ER106" s="213">
        <f t="shared" ref="ER106" si="1496">EQ106*ER105</f>
        <v>1</v>
      </c>
      <c r="ES106" s="213">
        <f t="shared" ref="ES106" si="1497">ER106*ES105</f>
        <v>1</v>
      </c>
      <c r="ET106" s="213">
        <f t="shared" ref="ET106" si="1498">ES106*ET105</f>
        <v>1</v>
      </c>
      <c r="EU106" s="213">
        <f t="shared" ref="EU106" si="1499">ET106*EU105</f>
        <v>1</v>
      </c>
      <c r="EV106" s="213">
        <f t="shared" ref="EV106" si="1500">EU106*EV105</f>
        <v>1</v>
      </c>
      <c r="EW106" s="213">
        <f t="shared" ref="EW106" si="1501">EV106*EW105</f>
        <v>1</v>
      </c>
      <c r="EX106" s="213">
        <f t="shared" ref="EX106" si="1502">EW106*EX105</f>
        <v>1</v>
      </c>
      <c r="EY106" s="213">
        <f t="shared" ref="EY106" si="1503">EX106*EY105</f>
        <v>1</v>
      </c>
      <c r="EZ106" s="213">
        <f t="shared" ref="EZ106" si="1504">EY106*EZ105</f>
        <v>1</v>
      </c>
      <c r="FA106" s="213">
        <f t="shared" ref="FA106" si="1505">EZ106*FA105</f>
        <v>1</v>
      </c>
      <c r="FB106" s="213">
        <f t="shared" ref="FB106" si="1506">FA106*FB105</f>
        <v>1</v>
      </c>
      <c r="FC106" s="213">
        <f t="shared" ref="FC106" si="1507">FB106*FC105</f>
        <v>1</v>
      </c>
      <c r="FD106" s="213">
        <f t="shared" ref="FD106" si="1508">FC106*FD105</f>
        <v>1</v>
      </c>
      <c r="FE106" s="213">
        <f t="shared" ref="FE106" si="1509">FD106*FE105</f>
        <v>1</v>
      </c>
      <c r="FF106" s="213">
        <f t="shared" ref="FF106" si="1510">FE106*FF105</f>
        <v>1</v>
      </c>
      <c r="FG106" s="213">
        <f t="shared" ref="FG106" si="1511">FF106*FG105</f>
        <v>1</v>
      </c>
      <c r="FH106" s="213">
        <f t="shared" ref="FH106" si="1512">FG106*FH105</f>
        <v>1</v>
      </c>
      <c r="FI106" s="213">
        <f t="shared" ref="FI106" si="1513">FH106*FI105</f>
        <v>1</v>
      </c>
      <c r="FJ106" s="213">
        <f t="shared" ref="FJ106" si="1514">FI106*FJ105</f>
        <v>1</v>
      </c>
      <c r="FK106" s="213">
        <f t="shared" ref="FK106" si="1515">FJ106*FK105</f>
        <v>1</v>
      </c>
      <c r="FL106" s="213">
        <f t="shared" ref="FL106" si="1516">FK106*FL105</f>
        <v>1</v>
      </c>
      <c r="FM106" s="213">
        <f t="shared" ref="FM106" si="1517">FL106*FM105</f>
        <v>1</v>
      </c>
      <c r="FN106" s="213">
        <f t="shared" ref="FN106" si="1518">FM106*FN105</f>
        <v>1</v>
      </c>
      <c r="FO106" s="213">
        <f t="shared" ref="FO106" si="1519">FN106*FO105</f>
        <v>1</v>
      </c>
      <c r="FP106" s="213">
        <f t="shared" ref="FP106" si="1520">FO106*FP105</f>
        <v>1</v>
      </c>
      <c r="FQ106" s="213">
        <f t="shared" ref="FQ106" si="1521">FP106*FQ105</f>
        <v>1</v>
      </c>
      <c r="FR106" s="213">
        <f t="shared" ref="FR106" si="1522">FQ106*FR105</f>
        <v>1</v>
      </c>
      <c r="FS106" s="213">
        <f t="shared" ref="FS106" si="1523">FR106*FS105</f>
        <v>1</v>
      </c>
      <c r="FT106" s="213">
        <f t="shared" ref="FT106" si="1524">FS106*FT105</f>
        <v>1</v>
      </c>
      <c r="FU106" s="213">
        <f t="shared" ref="FU106" si="1525">FT106*FU105</f>
        <v>1</v>
      </c>
      <c r="FV106" s="213">
        <f t="shared" ref="FV106" si="1526">FU106*FV105</f>
        <v>1</v>
      </c>
      <c r="FW106" s="213">
        <f t="shared" ref="FW106" si="1527">FV106*FW105</f>
        <v>1</v>
      </c>
      <c r="FX106" s="213">
        <f t="shared" ref="FX106" si="1528">FW106*FX105</f>
        <v>1</v>
      </c>
      <c r="FY106" s="213">
        <f t="shared" ref="FY106" si="1529">FX106*FY105</f>
        <v>1</v>
      </c>
      <c r="FZ106" s="213">
        <f t="shared" ref="FZ106" si="1530">FY106*FZ105</f>
        <v>1</v>
      </c>
      <c r="GA106" s="213">
        <f t="shared" ref="GA106" si="1531">FZ106*GA105</f>
        <v>1</v>
      </c>
      <c r="GB106" s="213">
        <f t="shared" ref="GB106" si="1532">GA106*GB105</f>
        <v>1</v>
      </c>
      <c r="GC106" s="213">
        <f t="shared" ref="GC106" si="1533">GB106*GC105</f>
        <v>1</v>
      </c>
      <c r="GD106" s="213">
        <f t="shared" ref="GD106" si="1534">GC106*GD105</f>
        <v>1</v>
      </c>
      <c r="GE106" s="213">
        <f t="shared" ref="GE106" si="1535">GD106*GE105</f>
        <v>1</v>
      </c>
      <c r="GF106" s="213">
        <f t="shared" ref="GF106" si="1536">GE106*GF105</f>
        <v>1</v>
      </c>
      <c r="GG106" s="213">
        <f t="shared" ref="GG106" si="1537">GF106*GG105</f>
        <v>1</v>
      </c>
      <c r="GH106" s="213">
        <f t="shared" ref="GH106" si="1538">GG106*GH105</f>
        <v>1</v>
      </c>
      <c r="GI106" s="213">
        <f t="shared" ref="GI106" si="1539">GH106*GI105</f>
        <v>1</v>
      </c>
      <c r="GJ106" s="213">
        <f t="shared" ref="GJ106" si="1540">GI106*GJ105</f>
        <v>1</v>
      </c>
      <c r="GK106" s="213">
        <f t="shared" ref="GK106" si="1541">GJ106*GK105</f>
        <v>1</v>
      </c>
      <c r="GL106" s="213">
        <f t="shared" ref="GL106" si="1542">GK106*GL105</f>
        <v>1</v>
      </c>
      <c r="GM106" s="213">
        <f t="shared" ref="GM106" si="1543">GL106*GM105</f>
        <v>1</v>
      </c>
      <c r="GN106" s="213">
        <f t="shared" ref="GN106" si="1544">GM106*GN105</f>
        <v>1</v>
      </c>
      <c r="GO106" s="213">
        <f t="shared" ref="GO106" si="1545">GN106*GO105</f>
        <v>1</v>
      </c>
      <c r="GP106" s="213">
        <f t="shared" ref="GP106" si="1546">GO106*GP105</f>
        <v>1</v>
      </c>
      <c r="GQ106" s="213">
        <f t="shared" ref="GQ106" si="1547">GP106*GQ105</f>
        <v>1</v>
      </c>
    </row>
    <row r="107" spans="2:199" hidden="1" outlineLevel="1">
      <c r="B107" s="182" t="s">
        <v>415</v>
      </c>
      <c r="C107" s="315">
        <v>1</v>
      </c>
      <c r="D107" s="168"/>
      <c r="E107" s="213">
        <f>IF(E81&gt;$C86,(1+E88)*C107,1)</f>
        <v>1</v>
      </c>
      <c r="F107" s="213">
        <f t="shared" ref="F107" si="1548">IF(F81&gt;$C86,(1+F88)*D107,1)</f>
        <v>1</v>
      </c>
      <c r="G107" s="213">
        <f t="shared" ref="G107" si="1549">IF(G81&gt;$C86,(1+G88)*E107,1)</f>
        <v>1</v>
      </c>
      <c r="H107" s="213">
        <f t="shared" ref="H107" si="1550">IF(H81&gt;$C86,(1+H88)*F107,1)</f>
        <v>1</v>
      </c>
      <c r="I107" s="213">
        <f t="shared" ref="I107" si="1551">IF(I81&gt;$C86,(1+I88)*G107,1)</f>
        <v>1</v>
      </c>
      <c r="J107" s="213">
        <f t="shared" ref="J107" si="1552">IF(J81&gt;$C86,(1+J88)*H107,1)</f>
        <v>1</v>
      </c>
      <c r="K107" s="213">
        <f t="shared" ref="K107" si="1553">IF(K81&gt;$C86,(1+K88)*I107,1)</f>
        <v>1</v>
      </c>
      <c r="L107" s="213">
        <f t="shared" ref="L107" si="1554">IF(L81&gt;$C86,(1+L88)*J107,1)</f>
        <v>1</v>
      </c>
      <c r="M107" s="213">
        <f t="shared" ref="M107" si="1555">IF(M81&gt;$C86,(1+M88)*K107,1)</f>
        <v>1</v>
      </c>
      <c r="N107" s="213">
        <f t="shared" ref="N107" si="1556">IF(N81&gt;$C86,(1+N88)*L107,1)</f>
        <v>1</v>
      </c>
      <c r="O107" s="213">
        <f t="shared" ref="O107" si="1557">IF(O81&gt;$C86,(1+O88)*M107,1)</f>
        <v>1</v>
      </c>
      <c r="P107" s="213">
        <f t="shared" ref="P107" si="1558">IF(P81&gt;$C86,(1+P88)*N107,1)</f>
        <v>1</v>
      </c>
      <c r="Q107" s="213">
        <f t="shared" ref="Q107" si="1559">IF(Q81&gt;$C86,(1+Q88)*O107,1)</f>
        <v>1</v>
      </c>
      <c r="R107" s="213">
        <f t="shared" ref="R107" si="1560">IF(R81&gt;$C86,(1+R88)*P107,1)</f>
        <v>1</v>
      </c>
      <c r="S107" s="213">
        <f t="shared" ref="S107" si="1561">IF(S81&gt;$C86,(1+S88)*Q107,1)</f>
        <v>1</v>
      </c>
      <c r="T107" s="213">
        <f t="shared" ref="T107" si="1562">IF(T81&gt;$C86,(1+T88)*R107,1)</f>
        <v>1</v>
      </c>
      <c r="U107" s="213">
        <f t="shared" ref="U107" si="1563">IF(U81&gt;$C86,(1+U88)*S107,1)</f>
        <v>1</v>
      </c>
      <c r="V107" s="213">
        <f t="shared" ref="V107" si="1564">IF(V81&gt;$C86,(1+V88)*T107,1)</f>
        <v>1</v>
      </c>
      <c r="W107" s="213">
        <f t="shared" ref="W107" si="1565">IF(W81&gt;$C86,(1+W88)*U107,1)</f>
        <v>1</v>
      </c>
      <c r="X107" s="213">
        <f t="shared" ref="X107" si="1566">IF(X81&gt;$C86,(1+X88)*V107,1)</f>
        <v>1</v>
      </c>
      <c r="Y107" s="213">
        <f t="shared" ref="Y107" si="1567">IF(Y81&gt;$C86,(1+Y88)*W107,1)</f>
        <v>1</v>
      </c>
      <c r="Z107" s="213">
        <f t="shared" ref="Z107" si="1568">IF(Z81&gt;$C86,(1+Z88)*X107,1)</f>
        <v>1</v>
      </c>
      <c r="AA107" s="213">
        <f t="shared" ref="AA107" si="1569">IF(AA81&gt;$C86,(1+AA88)*Y107,1)</f>
        <v>1</v>
      </c>
      <c r="AB107" s="213">
        <f t="shared" ref="AB107" si="1570">IF(AB81&gt;$C86,(1+AB88)*Z107,1)</f>
        <v>1</v>
      </c>
      <c r="AC107" s="213">
        <f t="shared" ref="AC107" si="1571">IF(AC81&gt;$C86,(1+AC88)*AA107,1)</f>
        <v>1</v>
      </c>
      <c r="AD107" s="213">
        <f t="shared" ref="AD107" si="1572">IF(AD81&gt;$C86,(1+AD88)*AB107,1)</f>
        <v>1</v>
      </c>
      <c r="AE107" s="213">
        <f t="shared" ref="AE107" si="1573">IF(AE81&gt;$C86,(1+AE88)*AC107,1)</f>
        <v>1</v>
      </c>
      <c r="AF107" s="213">
        <f t="shared" ref="AF107" si="1574">IF(AF81&gt;$C86,(1+AF88)*AD107,1)</f>
        <v>1</v>
      </c>
      <c r="AG107" s="213">
        <f t="shared" ref="AG107" si="1575">IF(AG81&gt;$C86,(1+AG88)*AE107,1)</f>
        <v>1</v>
      </c>
      <c r="AH107" s="213">
        <f t="shared" ref="AH107" si="1576">IF(AH81&gt;$C86,(1+AH88)*AF107,1)</f>
        <v>1</v>
      </c>
      <c r="AI107" s="213">
        <f t="shared" ref="AI107" si="1577">IF(AI81&gt;$C86,(1+AI88)*AG107,1)</f>
        <v>1</v>
      </c>
      <c r="AJ107" s="213">
        <f t="shared" ref="AJ107" si="1578">IF(AJ81&gt;$C86,(1+AJ88)*AH107,1)</f>
        <v>1</v>
      </c>
      <c r="AK107" s="213">
        <f t="shared" ref="AK107" si="1579">IF(AK81&gt;$C86,(1+AK88)*AI107,1)</f>
        <v>1</v>
      </c>
      <c r="AL107" s="213">
        <f t="shared" ref="AL107" si="1580">IF(AL81&gt;$C86,(1+AL88)*AJ107,1)</f>
        <v>1</v>
      </c>
      <c r="AM107" s="213">
        <f t="shared" ref="AM107" si="1581">IF(AM81&gt;$C86,(1+AM88)*AK107,1)</f>
        <v>1</v>
      </c>
      <c r="AN107" s="213">
        <f t="shared" ref="AN107" si="1582">IF(AN81&gt;$C86,(1+AN88)*AL107,1)</f>
        <v>1</v>
      </c>
      <c r="AO107" s="213">
        <f t="shared" ref="AO107" si="1583">IF(AO81&gt;$C86,(1+AO88)*AM107,1)</f>
        <v>1</v>
      </c>
      <c r="AP107" s="213">
        <f t="shared" ref="AP107" si="1584">IF(AP81&gt;$C86,(1+AP88)*AN107,1)</f>
        <v>1</v>
      </c>
      <c r="AQ107" s="213">
        <f t="shared" ref="AQ107" si="1585">IF(AQ81&gt;$C86,(1+AQ88)*AO107,1)</f>
        <v>1</v>
      </c>
      <c r="AR107" s="213">
        <f t="shared" ref="AR107" si="1586">IF(AR81&gt;$C86,(1+AR88)*AP107,1)</f>
        <v>1</v>
      </c>
      <c r="AS107" s="213">
        <f t="shared" ref="AS107" si="1587">IF(AS81&gt;$C86,(1+AS88)*AQ107,1)</f>
        <v>1</v>
      </c>
      <c r="AT107" s="213">
        <f t="shared" ref="AT107" si="1588">IF(AT81&gt;$C86,(1+AT88)*AR107,1)</f>
        <v>1</v>
      </c>
      <c r="AU107" s="213">
        <f t="shared" ref="AU107" si="1589">IF(AU81&gt;$C86,(1+AU88)*AS107,1)</f>
        <v>1</v>
      </c>
      <c r="AV107" s="213">
        <f t="shared" ref="AV107" si="1590">IF(AV81&gt;$C86,(1+AV88)*AT107,1)</f>
        <v>1</v>
      </c>
      <c r="AW107" s="213">
        <f t="shared" ref="AW107" si="1591">IF(AW81&gt;$C86,(1+AW88)*AU107,1)</f>
        <v>1</v>
      </c>
      <c r="AX107" s="213">
        <f t="shared" ref="AX107" si="1592">IF(AX81&gt;$C86,(1+AX88)*AV107,1)</f>
        <v>1</v>
      </c>
      <c r="AY107" s="213">
        <f t="shared" ref="AY107" si="1593">IF(AY81&gt;$C86,(1+AY88)*AW107,1)</f>
        <v>1</v>
      </c>
      <c r="AZ107" s="213">
        <f t="shared" ref="AZ107" si="1594">IF(AZ81&gt;$C86,(1+AZ88)*AX107,1)</f>
        <v>1</v>
      </c>
      <c r="BA107" s="213">
        <f t="shared" ref="BA107" si="1595">IF(BA81&gt;$C86,(1+BA88)*AY107,1)</f>
        <v>1</v>
      </c>
      <c r="BB107" s="213">
        <f t="shared" ref="BB107" si="1596">IF(BB81&gt;$C86,(1+BB88)*AZ107,1)</f>
        <v>1</v>
      </c>
      <c r="BC107" s="213">
        <f t="shared" ref="BC107" si="1597">IF(BC81&gt;$C86,(1+BC88)*BA107,1)</f>
        <v>1</v>
      </c>
      <c r="BD107" s="213">
        <f t="shared" ref="BD107" si="1598">IF(BD81&gt;$C86,(1+BD88)*BB107,1)</f>
        <v>1</v>
      </c>
      <c r="BE107" s="213">
        <f t="shared" ref="BE107" si="1599">IF(BE81&gt;$C86,(1+BE88)*BC107,1)</f>
        <v>1</v>
      </c>
      <c r="BF107" s="213">
        <f t="shared" ref="BF107" si="1600">IF(BF81&gt;$C86,(1+BF88)*BD107,1)</f>
        <v>1</v>
      </c>
      <c r="BG107" s="213">
        <f t="shared" ref="BG107" si="1601">IF(BG81&gt;$C86,(1+BG88)*BE107,1)</f>
        <v>1</v>
      </c>
      <c r="BH107" s="213">
        <f t="shared" ref="BH107" si="1602">IF(BH81&gt;$C86,(1+BH88)*BF107,1)</f>
        <v>1</v>
      </c>
      <c r="BI107" s="213">
        <f t="shared" ref="BI107" si="1603">IF(BI81&gt;$C86,(1+BI88)*BG107,1)</f>
        <v>1</v>
      </c>
      <c r="BJ107" s="213">
        <f t="shared" ref="BJ107" si="1604">IF(BJ81&gt;$C86,(1+BJ88)*BH107,1)</f>
        <v>1</v>
      </c>
      <c r="BK107" s="213">
        <f t="shared" ref="BK107" si="1605">IF(BK81&gt;$C86,(1+BK88)*BI107,1)</f>
        <v>1</v>
      </c>
      <c r="BL107" s="213">
        <f t="shared" ref="BL107" si="1606">IF(BL81&gt;$C86,(1+BL88)*BJ107,1)</f>
        <v>1</v>
      </c>
      <c r="BM107" s="213">
        <f t="shared" ref="BM107" si="1607">IF(BM81&gt;$C86,(1+BM88)*BK107,1)</f>
        <v>1</v>
      </c>
      <c r="BN107" s="213">
        <f t="shared" ref="BN107" si="1608">IF(BN81&gt;$C86,(1+BN88)*BL107,1)</f>
        <v>1</v>
      </c>
      <c r="BO107" s="213">
        <f t="shared" ref="BO107" si="1609">IF(BO81&gt;$C86,(1+BO88)*BM107,1)</f>
        <v>1</v>
      </c>
      <c r="BP107" s="213">
        <f t="shared" ref="BP107" si="1610">IF(BP81&gt;$C86,(1+BP88)*BN107,1)</f>
        <v>1</v>
      </c>
      <c r="BQ107" s="213">
        <f t="shared" ref="BQ107" si="1611">IF(BQ81&gt;$C86,(1+BQ88)*BO107,1)</f>
        <v>1</v>
      </c>
      <c r="BR107" s="213">
        <f t="shared" ref="BR107" si="1612">IF(BR81&gt;$C86,(1+BR88)*BP107,1)</f>
        <v>1</v>
      </c>
      <c r="BS107" s="213">
        <f t="shared" ref="BS107" si="1613">IF(BS81&gt;$C86,(1+BS88)*BQ107,1)</f>
        <v>1</v>
      </c>
      <c r="BT107" s="213">
        <f t="shared" ref="BT107" si="1614">IF(BT81&gt;$C86,(1+BT88)*BR107,1)</f>
        <v>1</v>
      </c>
      <c r="BU107" s="213">
        <f t="shared" ref="BU107" si="1615">IF(BU81&gt;$C86,(1+BU88)*BS107,1)</f>
        <v>1</v>
      </c>
      <c r="BV107" s="213">
        <f t="shared" ref="BV107" si="1616">IF(BV81&gt;$C86,(1+BV88)*BT107,1)</f>
        <v>1</v>
      </c>
      <c r="BW107" s="213">
        <f t="shared" ref="BW107" si="1617">IF(BW81&gt;$C86,(1+BW88)*BU107,1)</f>
        <v>1</v>
      </c>
      <c r="BX107" s="213">
        <f t="shared" ref="BX107" si="1618">IF(BX81&gt;$C86,(1+BX88)*BV107,1)</f>
        <v>1</v>
      </c>
      <c r="BY107" s="213">
        <f t="shared" ref="BY107" si="1619">IF(BY81&gt;$C86,(1+BY88)*BW107,1)</f>
        <v>1</v>
      </c>
      <c r="BZ107" s="213">
        <f t="shared" ref="BZ107" si="1620">IF(BZ81&gt;$C86,(1+BZ88)*BX107,1)</f>
        <v>1</v>
      </c>
      <c r="CA107" s="213">
        <f t="shared" ref="CA107" si="1621">IF(CA81&gt;$C86,(1+CA88)*BY107,1)</f>
        <v>1</v>
      </c>
      <c r="CB107" s="213">
        <f t="shared" ref="CB107" si="1622">IF(CB81&gt;$C86,(1+CB88)*BZ107,1)</f>
        <v>1</v>
      </c>
      <c r="CC107" s="213">
        <f t="shared" ref="CC107" si="1623">IF(CC81&gt;$C86,(1+CC88)*CA107,1)</f>
        <v>1</v>
      </c>
      <c r="CD107" s="213">
        <f t="shared" ref="CD107" si="1624">IF(CD81&gt;$C86,(1+CD88)*CB107,1)</f>
        <v>1</v>
      </c>
      <c r="CE107" s="213">
        <f t="shared" ref="CE107" si="1625">IF(CE81&gt;$C86,(1+CE88)*CC107,1)</f>
        <v>1</v>
      </c>
      <c r="CF107" s="213">
        <f t="shared" ref="CF107" si="1626">IF(CF81&gt;$C86,(1+CF88)*CD107,1)</f>
        <v>1</v>
      </c>
      <c r="CG107" s="213">
        <f t="shared" ref="CG107" si="1627">IF(CG81&gt;$C86,(1+CG88)*CE107,1)</f>
        <v>1</v>
      </c>
      <c r="CH107" s="213">
        <f t="shared" ref="CH107" si="1628">IF(CH81&gt;$C86,(1+CH88)*CF107,1)</f>
        <v>1</v>
      </c>
      <c r="CI107" s="213">
        <f t="shared" ref="CI107" si="1629">IF(CI81&gt;$C86,(1+CI88)*CG107,1)</f>
        <v>1</v>
      </c>
      <c r="CJ107" s="213">
        <f t="shared" ref="CJ107" si="1630">IF(CJ81&gt;$C86,(1+CJ88)*CH107,1)</f>
        <v>1</v>
      </c>
      <c r="CK107" s="213">
        <f t="shared" ref="CK107" si="1631">IF(CK81&gt;$C86,(1+CK88)*CI107,1)</f>
        <v>1</v>
      </c>
      <c r="CL107" s="213">
        <f t="shared" ref="CL107" si="1632">IF(CL81&gt;$C86,(1+CL88)*CJ107,1)</f>
        <v>1</v>
      </c>
      <c r="CM107" s="213">
        <f t="shared" ref="CM107" si="1633">IF(CM81&gt;$C86,(1+CM88)*CK107,1)</f>
        <v>1</v>
      </c>
      <c r="CN107" s="213">
        <f t="shared" ref="CN107" si="1634">IF(CN81&gt;$C86,(1+CN88)*CL107,1)</f>
        <v>1</v>
      </c>
      <c r="CO107" s="213">
        <f t="shared" ref="CO107" si="1635">IF(CO81&gt;$C86,(1+CO88)*CM107,1)</f>
        <v>1</v>
      </c>
      <c r="CP107" s="213">
        <f t="shared" ref="CP107" si="1636">IF(CP81&gt;$C86,(1+CP88)*CN107,1)</f>
        <v>1</v>
      </c>
      <c r="CQ107" s="213">
        <f t="shared" ref="CQ107" si="1637">IF(CQ81&gt;$C86,(1+CQ88)*CO107,1)</f>
        <v>1</v>
      </c>
      <c r="CR107" s="213">
        <f t="shared" ref="CR107" si="1638">IF(CR81&gt;$C86,(1+CR88)*CP107,1)</f>
        <v>1</v>
      </c>
      <c r="CS107" s="213">
        <f t="shared" ref="CS107" si="1639">IF(CS81&gt;$C86,(1+CS88)*CQ107,1)</f>
        <v>1</v>
      </c>
      <c r="CT107" s="213">
        <f t="shared" ref="CT107" si="1640">IF(CT81&gt;$C86,(1+CT88)*CR107,1)</f>
        <v>1</v>
      </c>
      <c r="CU107" s="213">
        <f t="shared" ref="CU107" si="1641">IF(CU81&gt;$C86,(1+CU88)*CS107,1)</f>
        <v>1</v>
      </c>
      <c r="CV107" s="213">
        <f t="shared" ref="CV107" si="1642">IF(CV81&gt;$C86,(1+CV88)*CT107,1)</f>
        <v>1</v>
      </c>
      <c r="CW107" s="213">
        <f t="shared" ref="CW107" si="1643">IF(CW81&gt;$C86,(1+CW88)*CU107,1)</f>
        <v>1</v>
      </c>
      <c r="CX107" s="213">
        <f t="shared" ref="CX107" si="1644">IF(CX81&gt;$C86,(1+CX88)*CV107,1)</f>
        <v>1</v>
      </c>
      <c r="CY107" s="213">
        <f t="shared" ref="CY107" si="1645">IF(CY81&gt;$C86,(1+CY88)*CW107,1)</f>
        <v>1</v>
      </c>
      <c r="CZ107" s="213">
        <f t="shared" ref="CZ107" si="1646">IF(CZ81&gt;$C86,(1+CZ88)*CX107,1)</f>
        <v>1</v>
      </c>
      <c r="DA107" s="213">
        <f t="shared" ref="DA107" si="1647">IF(DA81&gt;$C86,(1+DA88)*CY107,1)</f>
        <v>1</v>
      </c>
      <c r="DB107" s="213">
        <f t="shared" ref="DB107" si="1648">IF(DB81&gt;$C86,(1+DB88)*CZ107,1)</f>
        <v>1</v>
      </c>
      <c r="DC107" s="213">
        <f t="shared" ref="DC107" si="1649">IF(DC81&gt;$C86,(1+DC88)*DA107,1)</f>
        <v>1</v>
      </c>
      <c r="DD107" s="213">
        <f t="shared" ref="DD107" si="1650">IF(DD81&gt;$C86,(1+DD88)*DB107,1)</f>
        <v>1</v>
      </c>
      <c r="DE107" s="213">
        <f t="shared" ref="DE107" si="1651">IF(DE81&gt;$C86,(1+DE88)*DC107,1)</f>
        <v>1</v>
      </c>
      <c r="DF107" s="213">
        <f t="shared" ref="DF107" si="1652">IF(DF81&gt;$C86,(1+DF88)*DD107,1)</f>
        <v>1</v>
      </c>
      <c r="DG107" s="213">
        <f t="shared" ref="DG107" si="1653">IF(DG81&gt;$C86,(1+DG88)*DE107,1)</f>
        <v>1</v>
      </c>
      <c r="DH107" s="213">
        <f t="shared" ref="DH107" si="1654">IF(DH81&gt;$C86,(1+DH88)*DF107,1)</f>
        <v>1</v>
      </c>
      <c r="DI107" s="213">
        <f t="shared" ref="DI107" si="1655">IF(DI81&gt;$C86,(1+DI88)*DG107,1)</f>
        <v>1</v>
      </c>
      <c r="DJ107" s="213">
        <f t="shared" ref="DJ107" si="1656">IF(DJ81&gt;$C86,(1+DJ88)*DH107,1)</f>
        <v>1</v>
      </c>
      <c r="DK107" s="213">
        <f t="shared" ref="DK107" si="1657">IF(DK81&gt;$C86,(1+DK88)*DI107,1)</f>
        <v>1</v>
      </c>
      <c r="DL107" s="213">
        <f t="shared" ref="DL107" si="1658">IF(DL81&gt;$C86,(1+DL88)*DJ107,1)</f>
        <v>1</v>
      </c>
      <c r="DM107" s="213">
        <f t="shared" ref="DM107" si="1659">IF(DM81&gt;$C86,(1+DM88)*DK107,1)</f>
        <v>1</v>
      </c>
      <c r="DN107" s="213">
        <f t="shared" ref="DN107" si="1660">IF(DN81&gt;$C86,(1+DN88)*DL107,1)</f>
        <v>1</v>
      </c>
      <c r="DO107" s="213">
        <f t="shared" ref="DO107" si="1661">IF(DO81&gt;$C86,(1+DO88)*DM107,1)</f>
        <v>1</v>
      </c>
      <c r="DP107" s="213">
        <f t="shared" ref="DP107" si="1662">IF(DP81&gt;$C86,(1+DP88)*DN107,1)</f>
        <v>1</v>
      </c>
      <c r="DQ107" s="213">
        <f t="shared" ref="DQ107" si="1663">IF(DQ81&gt;$C86,(1+DQ88)*DO107,1)</f>
        <v>1</v>
      </c>
      <c r="DR107" s="213">
        <f t="shared" ref="DR107" si="1664">IF(DR81&gt;$C86,(1+DR88)*DP107,1)</f>
        <v>1</v>
      </c>
      <c r="DS107" s="213">
        <f t="shared" ref="DS107" si="1665">IF(DS81&gt;$C86,(1+DS88)*DQ107,1)</f>
        <v>1</v>
      </c>
      <c r="DT107" s="213">
        <f t="shared" ref="DT107" si="1666">IF(DT81&gt;$C86,(1+DT88)*DR107,1)</f>
        <v>1</v>
      </c>
      <c r="DU107" s="213">
        <f t="shared" ref="DU107" si="1667">IF(DU81&gt;$C86,(1+DU88)*DS107,1)</f>
        <v>1</v>
      </c>
      <c r="DV107" s="213">
        <f t="shared" ref="DV107" si="1668">IF(DV81&gt;$C86,(1+DV88)*DT107,1)</f>
        <v>1</v>
      </c>
      <c r="DW107" s="213">
        <f t="shared" ref="DW107" si="1669">IF(DW81&gt;$C86,(1+DW88)*DU107,1)</f>
        <v>1</v>
      </c>
      <c r="DX107" s="213">
        <f t="shared" ref="DX107" si="1670">IF(DX81&gt;$C86,(1+DX88)*DV107,1)</f>
        <v>1</v>
      </c>
      <c r="DY107" s="213">
        <f t="shared" ref="DY107" si="1671">IF(DY81&gt;$C86,(1+DY88)*DW107,1)</f>
        <v>1</v>
      </c>
      <c r="DZ107" s="213">
        <f t="shared" ref="DZ107" si="1672">IF(DZ81&gt;$C86,(1+DZ88)*DX107,1)</f>
        <v>1</v>
      </c>
      <c r="EA107" s="213">
        <f t="shared" ref="EA107" si="1673">IF(EA81&gt;$C86,(1+EA88)*DY107,1)</f>
        <v>1</v>
      </c>
      <c r="EB107" s="213">
        <f t="shared" ref="EB107" si="1674">IF(EB81&gt;$C86,(1+EB88)*DZ107,1)</f>
        <v>1</v>
      </c>
      <c r="EC107" s="213">
        <f t="shared" ref="EC107" si="1675">IF(EC81&gt;$C86,(1+EC88)*EA107,1)</f>
        <v>1</v>
      </c>
      <c r="ED107" s="213">
        <f t="shared" ref="ED107" si="1676">IF(ED81&gt;$C86,(1+ED88)*EB107,1)</f>
        <v>1</v>
      </c>
      <c r="EE107" s="213">
        <f t="shared" ref="EE107" si="1677">IF(EE81&gt;$C86,(1+EE88)*EC107,1)</f>
        <v>1</v>
      </c>
      <c r="EF107" s="213">
        <f t="shared" ref="EF107" si="1678">IF(EF81&gt;$C86,(1+EF88)*ED107,1)</f>
        <v>1</v>
      </c>
      <c r="EG107" s="213">
        <f t="shared" ref="EG107" si="1679">IF(EG81&gt;$C86,(1+EG88)*EE107,1)</f>
        <v>1</v>
      </c>
      <c r="EH107" s="213">
        <f t="shared" ref="EH107" si="1680">IF(EH81&gt;$C86,(1+EH88)*EF107,1)</f>
        <v>1</v>
      </c>
      <c r="EI107" s="213">
        <f t="shared" ref="EI107" si="1681">IF(EI81&gt;$C86,(1+EI88)*EG107,1)</f>
        <v>1</v>
      </c>
      <c r="EJ107" s="213">
        <f t="shared" ref="EJ107" si="1682">IF(EJ81&gt;$C86,(1+EJ88)*EH107,1)</f>
        <v>1</v>
      </c>
      <c r="EK107" s="213">
        <f t="shared" ref="EK107" si="1683">IF(EK81&gt;$C86,(1+EK88)*EI107,1)</f>
        <v>1</v>
      </c>
      <c r="EL107" s="213">
        <f t="shared" ref="EL107" si="1684">IF(EL81&gt;$C86,(1+EL88)*EJ107,1)</f>
        <v>1</v>
      </c>
      <c r="EM107" s="213">
        <f t="shared" ref="EM107" si="1685">IF(EM81&gt;$C86,(1+EM88)*EK107,1)</f>
        <v>1</v>
      </c>
      <c r="EN107" s="213">
        <f t="shared" ref="EN107" si="1686">IF(EN81&gt;$C86,(1+EN88)*EL107,1)</f>
        <v>1</v>
      </c>
      <c r="EO107" s="213">
        <f t="shared" ref="EO107" si="1687">IF(EO81&gt;$C86,(1+EO88)*EM107,1)</f>
        <v>1</v>
      </c>
      <c r="EP107" s="213">
        <f t="shared" ref="EP107" si="1688">IF(EP81&gt;$C86,(1+EP88)*EN107,1)</f>
        <v>1</v>
      </c>
      <c r="EQ107" s="213">
        <f t="shared" ref="EQ107" si="1689">IF(EQ81&gt;$C86,(1+EQ88)*EO107,1)</f>
        <v>1</v>
      </c>
      <c r="ER107" s="213">
        <f t="shared" ref="ER107" si="1690">IF(ER81&gt;$C86,(1+ER88)*EP107,1)</f>
        <v>1</v>
      </c>
      <c r="ES107" s="213">
        <f t="shared" ref="ES107" si="1691">IF(ES81&gt;$C86,(1+ES88)*EQ107,1)</f>
        <v>1</v>
      </c>
      <c r="ET107" s="213">
        <f t="shared" ref="ET107" si="1692">IF(ET81&gt;$C86,(1+ET88)*ER107,1)</f>
        <v>1</v>
      </c>
      <c r="EU107" s="213">
        <f t="shared" ref="EU107" si="1693">IF(EU81&gt;$C86,(1+EU88)*ES107,1)</f>
        <v>1</v>
      </c>
      <c r="EV107" s="213">
        <f t="shared" ref="EV107" si="1694">IF(EV81&gt;$C86,(1+EV88)*ET107,1)</f>
        <v>1</v>
      </c>
      <c r="EW107" s="213">
        <f t="shared" ref="EW107" si="1695">IF(EW81&gt;$C86,(1+EW88)*EU107,1)</f>
        <v>1</v>
      </c>
      <c r="EX107" s="213">
        <f t="shared" ref="EX107" si="1696">IF(EX81&gt;$C86,(1+EX88)*EV107,1)</f>
        <v>1</v>
      </c>
      <c r="EY107" s="213">
        <f t="shared" ref="EY107" si="1697">IF(EY81&gt;$C86,(1+EY88)*EW107,1)</f>
        <v>1</v>
      </c>
      <c r="EZ107" s="213">
        <f t="shared" ref="EZ107" si="1698">IF(EZ81&gt;$C86,(1+EZ88)*EX107,1)</f>
        <v>1</v>
      </c>
      <c r="FA107" s="213">
        <f t="shared" ref="FA107" si="1699">IF(FA81&gt;$C86,(1+FA88)*EY107,1)</f>
        <v>1</v>
      </c>
      <c r="FB107" s="213">
        <f t="shared" ref="FB107" si="1700">IF(FB81&gt;$C86,(1+FB88)*EZ107,1)</f>
        <v>1</v>
      </c>
      <c r="FC107" s="213">
        <f t="shared" ref="FC107" si="1701">IF(FC81&gt;$C86,(1+FC88)*FA107,1)</f>
        <v>1</v>
      </c>
      <c r="FD107" s="213">
        <f t="shared" ref="FD107" si="1702">IF(FD81&gt;$C86,(1+FD88)*FB107,1)</f>
        <v>1</v>
      </c>
      <c r="FE107" s="213">
        <f t="shared" ref="FE107" si="1703">IF(FE81&gt;$C86,(1+FE88)*FC107,1)</f>
        <v>1</v>
      </c>
      <c r="FF107" s="213">
        <f t="shared" ref="FF107" si="1704">IF(FF81&gt;$C86,(1+FF88)*FD107,1)</f>
        <v>1</v>
      </c>
      <c r="FG107" s="213">
        <f t="shared" ref="FG107" si="1705">IF(FG81&gt;$C86,(1+FG88)*FE107,1)</f>
        <v>1</v>
      </c>
      <c r="FH107" s="213">
        <f t="shared" ref="FH107" si="1706">IF(FH81&gt;$C86,(1+FH88)*FF107,1)</f>
        <v>1</v>
      </c>
      <c r="FI107" s="213">
        <f t="shared" ref="FI107" si="1707">IF(FI81&gt;$C86,(1+FI88)*FG107,1)</f>
        <v>1</v>
      </c>
      <c r="FJ107" s="213">
        <f t="shared" ref="FJ107" si="1708">IF(FJ81&gt;$C86,(1+FJ88)*FH107,1)</f>
        <v>1</v>
      </c>
      <c r="FK107" s="213">
        <f t="shared" ref="FK107" si="1709">IF(FK81&gt;$C86,(1+FK88)*FI107,1)</f>
        <v>1</v>
      </c>
      <c r="FL107" s="213">
        <f t="shared" ref="FL107" si="1710">IF(FL81&gt;$C86,(1+FL88)*FJ107,1)</f>
        <v>1</v>
      </c>
      <c r="FM107" s="213">
        <f t="shared" ref="FM107" si="1711">IF(FM81&gt;$C86,(1+FM88)*FK107,1)</f>
        <v>1</v>
      </c>
      <c r="FN107" s="213">
        <f t="shared" ref="FN107" si="1712">IF(FN81&gt;$C86,(1+FN88)*FL107,1)</f>
        <v>1</v>
      </c>
      <c r="FO107" s="213">
        <f t="shared" ref="FO107" si="1713">IF(FO81&gt;$C86,(1+FO88)*FM107,1)</f>
        <v>1</v>
      </c>
      <c r="FP107" s="213">
        <f t="shared" ref="FP107" si="1714">IF(FP81&gt;$C86,(1+FP88)*FN107,1)</f>
        <v>1</v>
      </c>
      <c r="FQ107" s="213">
        <f t="shared" ref="FQ107" si="1715">IF(FQ81&gt;$C86,(1+FQ88)*FO107,1)</f>
        <v>1</v>
      </c>
      <c r="FR107" s="213">
        <f t="shared" ref="FR107" si="1716">IF(FR81&gt;$C86,(1+FR88)*FP107,1)</f>
        <v>1</v>
      </c>
      <c r="FS107" s="213">
        <f t="shared" ref="FS107" si="1717">IF(FS81&gt;$C86,(1+FS88)*FQ107,1)</f>
        <v>1</v>
      </c>
      <c r="FT107" s="213">
        <f t="shared" ref="FT107" si="1718">IF(FT81&gt;$C86,(1+FT88)*FR107,1)</f>
        <v>1</v>
      </c>
      <c r="FU107" s="213">
        <f t="shared" ref="FU107" si="1719">IF(FU81&gt;$C86,(1+FU88)*FS107,1)</f>
        <v>1</v>
      </c>
      <c r="FV107" s="213">
        <f t="shared" ref="FV107" si="1720">IF(FV81&gt;$C86,(1+FV88)*FT107,1)</f>
        <v>1</v>
      </c>
      <c r="FW107" s="213">
        <f t="shared" ref="FW107" si="1721">IF(FW81&gt;$C86,(1+FW88)*FU107,1)</f>
        <v>1</v>
      </c>
      <c r="FX107" s="213">
        <f t="shared" ref="FX107" si="1722">IF(FX81&gt;$C86,(1+FX88)*FV107,1)</f>
        <v>1</v>
      </c>
      <c r="FY107" s="213">
        <f t="shared" ref="FY107" si="1723">IF(FY81&gt;$C86,(1+FY88)*FW107,1)</f>
        <v>1</v>
      </c>
      <c r="FZ107" s="213">
        <f t="shared" ref="FZ107" si="1724">IF(FZ81&gt;$C86,(1+FZ88)*FX107,1)</f>
        <v>1</v>
      </c>
      <c r="GA107" s="213">
        <f t="shared" ref="GA107" si="1725">IF(GA81&gt;$C86,(1+GA88)*FY107,1)</f>
        <v>1</v>
      </c>
      <c r="GB107" s="213">
        <f t="shared" ref="GB107" si="1726">IF(GB81&gt;$C86,(1+GB88)*FZ107,1)</f>
        <v>1</v>
      </c>
      <c r="GC107" s="213">
        <f t="shared" ref="GC107" si="1727">IF(GC81&gt;$C86,(1+GC88)*GA107,1)</f>
        <v>1</v>
      </c>
      <c r="GD107" s="213">
        <f t="shared" ref="GD107" si="1728">IF(GD81&gt;$C86,(1+GD88)*GB107,1)</f>
        <v>1</v>
      </c>
      <c r="GE107" s="213">
        <f t="shared" ref="GE107" si="1729">IF(GE81&gt;$C86,(1+GE88)*GC107,1)</f>
        <v>1</v>
      </c>
      <c r="GF107" s="213">
        <f t="shared" ref="GF107" si="1730">IF(GF81&gt;$C86,(1+GF88)*GD107,1)</f>
        <v>1</v>
      </c>
      <c r="GG107" s="213">
        <f t="shared" ref="GG107" si="1731">IF(GG81&gt;$C86,(1+GG88)*GE107,1)</f>
        <v>1</v>
      </c>
      <c r="GH107" s="213">
        <f t="shared" ref="GH107" si="1732">IF(GH81&gt;$C86,(1+GH88)*GF107,1)</f>
        <v>1</v>
      </c>
      <c r="GI107" s="213">
        <f t="shared" ref="GI107" si="1733">IF(GI81&gt;$C86,(1+GI88)*GG107,1)</f>
        <v>1</v>
      </c>
      <c r="GJ107" s="213">
        <f t="shared" ref="GJ107" si="1734">IF(GJ81&gt;$C86,(1+GJ88)*GH107,1)</f>
        <v>1</v>
      </c>
      <c r="GK107" s="213">
        <f t="shared" ref="GK107" si="1735">IF(GK81&gt;$C86,(1+GK88)*GI107,1)</f>
        <v>1</v>
      </c>
      <c r="GL107" s="213">
        <f t="shared" ref="GL107" si="1736">IF(GL81&gt;$C86,(1+GL88)*GJ107,1)</f>
        <v>1</v>
      </c>
      <c r="GM107" s="213">
        <f t="shared" ref="GM107" si="1737">IF(GM81&gt;$C86,(1+GM88)*GK107,1)</f>
        <v>1</v>
      </c>
      <c r="GN107" s="213">
        <f t="shared" ref="GN107" si="1738">IF(GN81&gt;$C86,(1+GN88)*GL107,1)</f>
        <v>1</v>
      </c>
      <c r="GO107" s="213">
        <f t="shared" ref="GO107" si="1739">IF(GO81&gt;$C86,(1+GO88)*GM107,1)</f>
        <v>1</v>
      </c>
      <c r="GP107" s="213">
        <f t="shared" ref="GP107" si="1740">IF(GP81&gt;$C86,(1+GP88)*GN107,1)</f>
        <v>1</v>
      </c>
      <c r="GQ107" s="213">
        <f t="shared" ref="GQ107" si="1741">IF(GQ81&gt;$C86,(1+GQ88)*GO107,1)</f>
        <v>1</v>
      </c>
    </row>
    <row r="108" spans="2:199" hidden="1" outlineLevel="1">
      <c r="B108" s="182" t="s">
        <v>414</v>
      </c>
      <c r="D108" s="167"/>
      <c r="E108" s="162">
        <f>SUM(E95:E99)</f>
        <v>190000</v>
      </c>
      <c r="F108" s="162">
        <f t="shared" ref="F108:BQ108" si="1742">SUM(F95:F99)</f>
        <v>193462.31482423999</v>
      </c>
      <c r="G108" s="162">
        <f t="shared" si="1742"/>
        <v>195016.48272264164</v>
      </c>
      <c r="H108" s="162">
        <f t="shared" si="1742"/>
        <v>196731.33286115562</v>
      </c>
      <c r="I108" s="162">
        <f t="shared" si="1742"/>
        <v>198226.33360583411</v>
      </c>
      <c r="J108" s="162">
        <f t="shared" si="1742"/>
        <v>199817.75806997539</v>
      </c>
      <c r="K108" s="162">
        <f t="shared" si="1742"/>
        <v>201198.18514656441</v>
      </c>
      <c r="L108" s="162">
        <f t="shared" si="1742"/>
        <v>202710.96950423074</v>
      </c>
      <c r="M108" s="162">
        <f t="shared" si="1742"/>
        <v>204277.73491189952</v>
      </c>
      <c r="N108" s="162">
        <f t="shared" si="1742"/>
        <v>205578.6163879011</v>
      </c>
      <c r="O108" s="162">
        <f t="shared" si="1742"/>
        <v>207097.57237669796</v>
      </c>
      <c r="P108" s="162">
        <f t="shared" si="1742"/>
        <v>208486.83598076185</v>
      </c>
      <c r="Q108" s="162">
        <f t="shared" si="1742"/>
        <v>190000.00000000003</v>
      </c>
      <c r="R108" s="162">
        <f t="shared" si="1742"/>
        <v>143552.88785481045</v>
      </c>
      <c r="S108" s="162">
        <f t="shared" si="1742"/>
        <v>144418.26048748606</v>
      </c>
      <c r="T108" s="162">
        <f t="shared" si="1742"/>
        <v>145387.05519982844</v>
      </c>
      <c r="U108" s="162">
        <f t="shared" si="1742"/>
        <v>146461.27460099722</v>
      </c>
      <c r="V108" s="162">
        <f t="shared" si="1742"/>
        <v>147493.59496732196</v>
      </c>
      <c r="W108" s="162">
        <f t="shared" si="1742"/>
        <v>148483.01981170365</v>
      </c>
      <c r="X108" s="162">
        <f t="shared" si="1742"/>
        <v>149630.65409926165</v>
      </c>
      <c r="Y108" s="162">
        <f t="shared" si="1742"/>
        <v>150736.22812318057</v>
      </c>
      <c r="Z108" s="162">
        <f t="shared" si="1742"/>
        <v>151830.37231888535</v>
      </c>
      <c r="AA108" s="162">
        <f t="shared" si="1742"/>
        <v>153141.82872466862</v>
      </c>
      <c r="AB108" s="162">
        <f t="shared" si="1742"/>
        <v>154324.80426064358</v>
      </c>
      <c r="AC108" s="162">
        <f t="shared" si="1742"/>
        <v>142500.00000000006</v>
      </c>
      <c r="AD108" s="162">
        <f t="shared" si="1742"/>
        <v>95826.857424924674</v>
      </c>
      <c r="AE108" s="162">
        <f t="shared" si="1742"/>
        <v>96584.174226496456</v>
      </c>
      <c r="AF108" s="162">
        <f t="shared" si="1742"/>
        <v>97308.82538229879</v>
      </c>
      <c r="AG108" s="162">
        <f t="shared" si="1742"/>
        <v>98077.854132521185</v>
      </c>
      <c r="AH108" s="162">
        <f t="shared" si="1742"/>
        <v>98892.223294831929</v>
      </c>
      <c r="AI108" s="162">
        <f t="shared" si="1742"/>
        <v>99673.765591621093</v>
      </c>
      <c r="AJ108" s="162">
        <f t="shared" si="1742"/>
        <v>100581.2332608509</v>
      </c>
      <c r="AK108" s="162">
        <f t="shared" si="1742"/>
        <v>101416.38871362156</v>
      </c>
      <c r="AL108" s="162">
        <f t="shared" si="1742"/>
        <v>102299.09286116787</v>
      </c>
      <c r="AM108" s="162">
        <f t="shared" si="1742"/>
        <v>103230.46250303932</v>
      </c>
      <c r="AN108" s="162">
        <f t="shared" si="1742"/>
        <v>104046.28977514648</v>
      </c>
      <c r="AO108" s="162">
        <f t="shared" si="1742"/>
        <v>95000.000000000044</v>
      </c>
      <c r="AP108" s="162">
        <f t="shared" si="1742"/>
        <v>47894.406418777246</v>
      </c>
      <c r="AQ108" s="162">
        <f t="shared" si="1742"/>
        <v>48234.589087363107</v>
      </c>
      <c r="AR108" s="162">
        <f t="shared" si="1742"/>
        <v>48654.411488679681</v>
      </c>
      <c r="AS108" s="162">
        <f t="shared" si="1742"/>
        <v>49038.925854287794</v>
      </c>
      <c r="AT108" s="162">
        <f t="shared" si="1742"/>
        <v>49426.479025480759</v>
      </c>
      <c r="AU108" s="162">
        <f t="shared" si="1742"/>
        <v>49836.88156411668</v>
      </c>
      <c r="AV108" s="162">
        <f t="shared" si="1742"/>
        <v>50290.615387517777</v>
      </c>
      <c r="AW108" s="162">
        <f t="shared" si="1742"/>
        <v>50708.193103582882</v>
      </c>
      <c r="AX108" s="162">
        <f t="shared" si="1742"/>
        <v>51129.238089785977</v>
      </c>
      <c r="AY108" s="162">
        <f t="shared" si="1742"/>
        <v>51553.779135887016</v>
      </c>
      <c r="AZ108" s="162">
        <f t="shared" si="1742"/>
        <v>51961.207117700105</v>
      </c>
      <c r="BA108" s="162">
        <f t="shared" si="1742"/>
        <v>47500.000000000051</v>
      </c>
      <c r="BB108" s="162">
        <f t="shared" si="1742"/>
        <v>0</v>
      </c>
      <c r="BC108" s="162">
        <f t="shared" si="1742"/>
        <v>0</v>
      </c>
      <c r="BD108" s="162">
        <f t="shared" si="1742"/>
        <v>0</v>
      </c>
      <c r="BE108" s="162">
        <f t="shared" si="1742"/>
        <v>0</v>
      </c>
      <c r="BF108" s="162">
        <f t="shared" si="1742"/>
        <v>0</v>
      </c>
      <c r="BG108" s="162">
        <f t="shared" si="1742"/>
        <v>0</v>
      </c>
      <c r="BH108" s="162">
        <f t="shared" si="1742"/>
        <v>0</v>
      </c>
      <c r="BI108" s="162">
        <f t="shared" si="1742"/>
        <v>0</v>
      </c>
      <c r="BJ108" s="162">
        <f t="shared" si="1742"/>
        <v>0</v>
      </c>
      <c r="BK108" s="162">
        <f t="shared" si="1742"/>
        <v>0</v>
      </c>
      <c r="BL108" s="162">
        <f t="shared" si="1742"/>
        <v>0</v>
      </c>
      <c r="BM108" s="162">
        <f t="shared" si="1742"/>
        <v>0</v>
      </c>
      <c r="BN108" s="162">
        <f t="shared" si="1742"/>
        <v>0</v>
      </c>
      <c r="BO108" s="162">
        <f t="shared" si="1742"/>
        <v>0</v>
      </c>
      <c r="BP108" s="162">
        <f t="shared" si="1742"/>
        <v>0</v>
      </c>
      <c r="BQ108" s="162">
        <f t="shared" si="1742"/>
        <v>0</v>
      </c>
      <c r="BR108" s="162">
        <f t="shared" ref="BR108:EC108" si="1743">SUM(BR95:BR99)</f>
        <v>0</v>
      </c>
      <c r="BS108" s="162">
        <f t="shared" si="1743"/>
        <v>0</v>
      </c>
      <c r="BT108" s="162">
        <f t="shared" si="1743"/>
        <v>0</v>
      </c>
      <c r="BU108" s="162">
        <f t="shared" si="1743"/>
        <v>0</v>
      </c>
      <c r="BV108" s="162">
        <f t="shared" si="1743"/>
        <v>0</v>
      </c>
      <c r="BW108" s="162">
        <f t="shared" si="1743"/>
        <v>0</v>
      </c>
      <c r="BX108" s="162">
        <f t="shared" si="1743"/>
        <v>0</v>
      </c>
      <c r="BY108" s="162">
        <f t="shared" si="1743"/>
        <v>0</v>
      </c>
      <c r="BZ108" s="162">
        <f t="shared" si="1743"/>
        <v>0</v>
      </c>
      <c r="CA108" s="162">
        <f t="shared" si="1743"/>
        <v>0</v>
      </c>
      <c r="CB108" s="162">
        <f t="shared" si="1743"/>
        <v>0</v>
      </c>
      <c r="CC108" s="162">
        <f t="shared" si="1743"/>
        <v>0</v>
      </c>
      <c r="CD108" s="162">
        <f t="shared" si="1743"/>
        <v>0</v>
      </c>
      <c r="CE108" s="162">
        <f t="shared" si="1743"/>
        <v>0</v>
      </c>
      <c r="CF108" s="162">
        <f t="shared" si="1743"/>
        <v>0</v>
      </c>
      <c r="CG108" s="162">
        <f t="shared" si="1743"/>
        <v>0</v>
      </c>
      <c r="CH108" s="162">
        <f t="shared" si="1743"/>
        <v>0</v>
      </c>
      <c r="CI108" s="162">
        <f t="shared" si="1743"/>
        <v>0</v>
      </c>
      <c r="CJ108" s="162">
        <f t="shared" si="1743"/>
        <v>0</v>
      </c>
      <c r="CK108" s="162">
        <f t="shared" si="1743"/>
        <v>0</v>
      </c>
      <c r="CL108" s="162">
        <f t="shared" si="1743"/>
        <v>0</v>
      </c>
      <c r="CM108" s="162">
        <f t="shared" si="1743"/>
        <v>0</v>
      </c>
      <c r="CN108" s="162">
        <f t="shared" si="1743"/>
        <v>0</v>
      </c>
      <c r="CO108" s="162">
        <f t="shared" si="1743"/>
        <v>0</v>
      </c>
      <c r="CP108" s="162">
        <f t="shared" si="1743"/>
        <v>0</v>
      </c>
      <c r="CQ108" s="162">
        <f t="shared" si="1743"/>
        <v>0</v>
      </c>
      <c r="CR108" s="162">
        <f t="shared" si="1743"/>
        <v>0</v>
      </c>
      <c r="CS108" s="162">
        <f t="shared" si="1743"/>
        <v>0</v>
      </c>
      <c r="CT108" s="162">
        <f t="shared" si="1743"/>
        <v>0</v>
      </c>
      <c r="CU108" s="162">
        <f t="shared" si="1743"/>
        <v>0</v>
      </c>
      <c r="CV108" s="162">
        <f t="shared" si="1743"/>
        <v>0</v>
      </c>
      <c r="CW108" s="162">
        <f t="shared" si="1743"/>
        <v>0</v>
      </c>
      <c r="CX108" s="162">
        <f t="shared" si="1743"/>
        <v>0</v>
      </c>
      <c r="CY108" s="162">
        <f t="shared" si="1743"/>
        <v>0</v>
      </c>
      <c r="CZ108" s="162">
        <f t="shared" si="1743"/>
        <v>0</v>
      </c>
      <c r="DA108" s="162">
        <f t="shared" si="1743"/>
        <v>0</v>
      </c>
      <c r="DB108" s="162">
        <f t="shared" si="1743"/>
        <v>0</v>
      </c>
      <c r="DC108" s="162">
        <f t="shared" si="1743"/>
        <v>0</v>
      </c>
      <c r="DD108" s="162">
        <f t="shared" si="1743"/>
        <v>0</v>
      </c>
      <c r="DE108" s="162">
        <f t="shared" si="1743"/>
        <v>0</v>
      </c>
      <c r="DF108" s="162">
        <f t="shared" si="1743"/>
        <v>0</v>
      </c>
      <c r="DG108" s="162">
        <f t="shared" si="1743"/>
        <v>0</v>
      </c>
      <c r="DH108" s="162">
        <f t="shared" si="1743"/>
        <v>0</v>
      </c>
      <c r="DI108" s="162">
        <f t="shared" si="1743"/>
        <v>0</v>
      </c>
      <c r="DJ108" s="162">
        <f t="shared" si="1743"/>
        <v>0</v>
      </c>
      <c r="DK108" s="162">
        <f t="shared" si="1743"/>
        <v>0</v>
      </c>
      <c r="DL108" s="162">
        <f t="shared" si="1743"/>
        <v>0</v>
      </c>
      <c r="DM108" s="162">
        <f t="shared" si="1743"/>
        <v>0</v>
      </c>
      <c r="DN108" s="162">
        <f t="shared" si="1743"/>
        <v>0</v>
      </c>
      <c r="DO108" s="162">
        <f t="shared" si="1743"/>
        <v>0</v>
      </c>
      <c r="DP108" s="162">
        <f t="shared" si="1743"/>
        <v>0</v>
      </c>
      <c r="DQ108" s="162">
        <f t="shared" si="1743"/>
        <v>0</v>
      </c>
      <c r="DR108" s="162">
        <f t="shared" si="1743"/>
        <v>0</v>
      </c>
      <c r="DS108" s="162">
        <f t="shared" si="1743"/>
        <v>0</v>
      </c>
      <c r="DT108" s="162">
        <f t="shared" si="1743"/>
        <v>0</v>
      </c>
      <c r="DU108" s="162">
        <f t="shared" si="1743"/>
        <v>0</v>
      </c>
      <c r="DV108" s="162">
        <f t="shared" si="1743"/>
        <v>0</v>
      </c>
      <c r="DW108" s="162">
        <f t="shared" si="1743"/>
        <v>0</v>
      </c>
      <c r="DX108" s="162">
        <f t="shared" si="1743"/>
        <v>0</v>
      </c>
      <c r="DY108" s="162">
        <f t="shared" si="1743"/>
        <v>0</v>
      </c>
      <c r="DZ108" s="162">
        <f t="shared" si="1743"/>
        <v>0</v>
      </c>
      <c r="EA108" s="162">
        <f t="shared" si="1743"/>
        <v>0</v>
      </c>
      <c r="EB108" s="162">
        <f t="shared" si="1743"/>
        <v>0</v>
      </c>
      <c r="EC108" s="162">
        <f t="shared" si="1743"/>
        <v>0</v>
      </c>
      <c r="ED108" s="162">
        <f t="shared" ref="ED108:GO108" si="1744">SUM(ED95:ED99)</f>
        <v>0</v>
      </c>
      <c r="EE108" s="162">
        <f t="shared" si="1744"/>
        <v>0</v>
      </c>
      <c r="EF108" s="162">
        <f t="shared" si="1744"/>
        <v>0</v>
      </c>
      <c r="EG108" s="162">
        <f t="shared" si="1744"/>
        <v>0</v>
      </c>
      <c r="EH108" s="162">
        <f t="shared" si="1744"/>
        <v>0</v>
      </c>
      <c r="EI108" s="162">
        <f t="shared" si="1744"/>
        <v>0</v>
      </c>
      <c r="EJ108" s="162">
        <f t="shared" si="1744"/>
        <v>0</v>
      </c>
      <c r="EK108" s="162">
        <f t="shared" si="1744"/>
        <v>0</v>
      </c>
      <c r="EL108" s="162">
        <f t="shared" si="1744"/>
        <v>0</v>
      </c>
      <c r="EM108" s="162">
        <f t="shared" si="1744"/>
        <v>0</v>
      </c>
      <c r="EN108" s="162">
        <f t="shared" si="1744"/>
        <v>0</v>
      </c>
      <c r="EO108" s="162">
        <f t="shared" si="1744"/>
        <v>0</v>
      </c>
      <c r="EP108" s="162">
        <f t="shared" si="1744"/>
        <v>0</v>
      </c>
      <c r="EQ108" s="162">
        <f t="shared" si="1744"/>
        <v>0</v>
      </c>
      <c r="ER108" s="162">
        <f t="shared" si="1744"/>
        <v>0</v>
      </c>
      <c r="ES108" s="162">
        <f t="shared" si="1744"/>
        <v>0</v>
      </c>
      <c r="ET108" s="162">
        <f t="shared" si="1744"/>
        <v>0</v>
      </c>
      <c r="EU108" s="162">
        <f t="shared" si="1744"/>
        <v>0</v>
      </c>
      <c r="EV108" s="162">
        <f t="shared" si="1744"/>
        <v>0</v>
      </c>
      <c r="EW108" s="162">
        <f t="shared" si="1744"/>
        <v>0</v>
      </c>
      <c r="EX108" s="162">
        <f t="shared" si="1744"/>
        <v>0</v>
      </c>
      <c r="EY108" s="162">
        <f t="shared" si="1744"/>
        <v>0</v>
      </c>
      <c r="EZ108" s="162">
        <f t="shared" si="1744"/>
        <v>0</v>
      </c>
      <c r="FA108" s="162">
        <f t="shared" si="1744"/>
        <v>0</v>
      </c>
      <c r="FB108" s="162">
        <f t="shared" si="1744"/>
        <v>0</v>
      </c>
      <c r="FC108" s="162">
        <f t="shared" si="1744"/>
        <v>0</v>
      </c>
      <c r="FD108" s="162">
        <f t="shared" si="1744"/>
        <v>0</v>
      </c>
      <c r="FE108" s="162">
        <f t="shared" si="1744"/>
        <v>0</v>
      </c>
      <c r="FF108" s="162">
        <f t="shared" si="1744"/>
        <v>0</v>
      </c>
      <c r="FG108" s="162">
        <f t="shared" si="1744"/>
        <v>0</v>
      </c>
      <c r="FH108" s="162">
        <f t="shared" si="1744"/>
        <v>0</v>
      </c>
      <c r="FI108" s="162">
        <f t="shared" si="1744"/>
        <v>0</v>
      </c>
      <c r="FJ108" s="162">
        <f t="shared" si="1744"/>
        <v>0</v>
      </c>
      <c r="FK108" s="162">
        <f t="shared" si="1744"/>
        <v>0</v>
      </c>
      <c r="FL108" s="162">
        <f t="shared" si="1744"/>
        <v>0</v>
      </c>
      <c r="FM108" s="162">
        <f t="shared" si="1744"/>
        <v>0</v>
      </c>
      <c r="FN108" s="162">
        <f t="shared" si="1744"/>
        <v>0</v>
      </c>
      <c r="FO108" s="162">
        <f t="shared" si="1744"/>
        <v>0</v>
      </c>
      <c r="FP108" s="162">
        <f t="shared" si="1744"/>
        <v>0</v>
      </c>
      <c r="FQ108" s="162">
        <f t="shared" si="1744"/>
        <v>0</v>
      </c>
      <c r="FR108" s="162">
        <f t="shared" si="1744"/>
        <v>0</v>
      </c>
      <c r="FS108" s="162">
        <f t="shared" si="1744"/>
        <v>0</v>
      </c>
      <c r="FT108" s="162">
        <f t="shared" si="1744"/>
        <v>0</v>
      </c>
      <c r="FU108" s="162">
        <f t="shared" si="1744"/>
        <v>0</v>
      </c>
      <c r="FV108" s="162">
        <f t="shared" si="1744"/>
        <v>0</v>
      </c>
      <c r="FW108" s="162">
        <f t="shared" si="1744"/>
        <v>0</v>
      </c>
      <c r="FX108" s="162">
        <f t="shared" si="1744"/>
        <v>0</v>
      </c>
      <c r="FY108" s="162">
        <f t="shared" si="1744"/>
        <v>0</v>
      </c>
      <c r="FZ108" s="162">
        <f t="shared" si="1744"/>
        <v>0</v>
      </c>
      <c r="GA108" s="162">
        <f t="shared" si="1744"/>
        <v>0</v>
      </c>
      <c r="GB108" s="162">
        <f t="shared" si="1744"/>
        <v>0</v>
      </c>
      <c r="GC108" s="162">
        <f t="shared" si="1744"/>
        <v>0</v>
      </c>
      <c r="GD108" s="162">
        <f t="shared" si="1744"/>
        <v>0</v>
      </c>
      <c r="GE108" s="162">
        <f t="shared" si="1744"/>
        <v>0</v>
      </c>
      <c r="GF108" s="162">
        <f t="shared" si="1744"/>
        <v>0</v>
      </c>
      <c r="GG108" s="162">
        <f t="shared" si="1744"/>
        <v>0</v>
      </c>
      <c r="GH108" s="162">
        <f t="shared" si="1744"/>
        <v>0</v>
      </c>
      <c r="GI108" s="162">
        <f t="shared" si="1744"/>
        <v>0</v>
      </c>
      <c r="GJ108" s="162">
        <f t="shared" si="1744"/>
        <v>0</v>
      </c>
      <c r="GK108" s="162">
        <f t="shared" si="1744"/>
        <v>0</v>
      </c>
      <c r="GL108" s="162">
        <f t="shared" si="1744"/>
        <v>0</v>
      </c>
      <c r="GM108" s="162">
        <f t="shared" si="1744"/>
        <v>0</v>
      </c>
      <c r="GN108" s="162">
        <f t="shared" si="1744"/>
        <v>0</v>
      </c>
      <c r="GO108" s="162">
        <f t="shared" si="1744"/>
        <v>0</v>
      </c>
      <c r="GP108" s="162">
        <f t="shared" ref="GP108:GQ108" si="1745">SUM(GP95:GP99)</f>
        <v>0</v>
      </c>
      <c r="GQ108" s="162">
        <f t="shared" si="1745"/>
        <v>0</v>
      </c>
    </row>
    <row r="109" spans="2:199" hidden="1" outlineLevel="1" collapsed="1"/>
    <row r="110" spans="2:199" collapsed="1"/>
    <row r="111" spans="2:199">
      <c r="B111" s="302" t="s">
        <v>622</v>
      </c>
      <c r="C111" s="302"/>
      <c r="D111" s="302"/>
      <c r="E111" s="318">
        <f>C113</f>
        <v>40817</v>
      </c>
      <c r="F111" s="318">
        <f>EDATE(E111,1)</f>
        <v>40848</v>
      </c>
      <c r="G111" s="318">
        <f t="shared" ref="G111" si="1746">EDATE(F111,1)</f>
        <v>40878</v>
      </c>
      <c r="H111" s="318">
        <f t="shared" ref="H111" si="1747">EDATE(G111,1)</f>
        <v>40909</v>
      </c>
      <c r="I111" s="318">
        <f t="shared" ref="I111" si="1748">EDATE(H111,1)</f>
        <v>40940</v>
      </c>
      <c r="J111" s="318">
        <f t="shared" ref="J111" si="1749">EDATE(I111,1)</f>
        <v>40969</v>
      </c>
      <c r="K111" s="318">
        <f t="shared" ref="K111" si="1750">EDATE(J111,1)</f>
        <v>41000</v>
      </c>
      <c r="L111" s="318">
        <f t="shared" ref="L111" si="1751">EDATE(K111,1)</f>
        <v>41030</v>
      </c>
      <c r="M111" s="318">
        <f t="shared" ref="M111" si="1752">EDATE(L111,1)</f>
        <v>41061</v>
      </c>
      <c r="N111" s="318">
        <f t="shared" ref="N111" si="1753">EDATE(M111,1)</f>
        <v>41091</v>
      </c>
      <c r="O111" s="318">
        <f t="shared" ref="O111" si="1754">EDATE(N111,1)</f>
        <v>41122</v>
      </c>
      <c r="P111" s="318">
        <f t="shared" ref="P111" si="1755">EDATE(O111,1)</f>
        <v>41153</v>
      </c>
      <c r="Q111" s="318">
        <f t="shared" ref="Q111" si="1756">EDATE(P111,1)</f>
        <v>41183</v>
      </c>
      <c r="R111" s="318">
        <f t="shared" ref="R111" si="1757">EDATE(Q111,1)</f>
        <v>41214</v>
      </c>
      <c r="S111" s="318">
        <f t="shared" ref="S111" si="1758">EDATE(R111,1)</f>
        <v>41244</v>
      </c>
      <c r="T111" s="318">
        <f t="shared" ref="T111" si="1759">EDATE(S111,1)</f>
        <v>41275</v>
      </c>
      <c r="U111" s="318">
        <f t="shared" ref="U111" si="1760">EDATE(T111,1)</f>
        <v>41306</v>
      </c>
      <c r="V111" s="318">
        <f t="shared" ref="V111" si="1761">EDATE(U111,1)</f>
        <v>41334</v>
      </c>
      <c r="W111" s="318">
        <f t="shared" ref="W111" si="1762">EDATE(V111,1)</f>
        <v>41365</v>
      </c>
      <c r="X111" s="318">
        <f t="shared" ref="X111" si="1763">EDATE(W111,1)</f>
        <v>41395</v>
      </c>
      <c r="Y111" s="318">
        <f t="shared" ref="Y111" si="1764">EDATE(X111,1)</f>
        <v>41426</v>
      </c>
      <c r="Z111" s="318">
        <f t="shared" ref="Z111" si="1765">EDATE(Y111,1)</f>
        <v>41456</v>
      </c>
      <c r="AA111" s="318">
        <f t="shared" ref="AA111" si="1766">EDATE(Z111,1)</f>
        <v>41487</v>
      </c>
      <c r="AB111" s="318">
        <f t="shared" ref="AB111" si="1767">EDATE(AA111,1)</f>
        <v>41518</v>
      </c>
      <c r="AC111" s="318">
        <f t="shared" ref="AC111" si="1768">EDATE(AB111,1)</f>
        <v>41548</v>
      </c>
      <c r="AD111" s="318">
        <f t="shared" ref="AD111" si="1769">EDATE(AC111,1)</f>
        <v>41579</v>
      </c>
      <c r="AE111" s="318">
        <f t="shared" ref="AE111" si="1770">EDATE(AD111,1)</f>
        <v>41609</v>
      </c>
      <c r="AF111" s="318">
        <f t="shared" ref="AF111" si="1771">EDATE(AE111,1)</f>
        <v>41640</v>
      </c>
      <c r="AG111" s="318">
        <f t="shared" ref="AG111" si="1772">EDATE(AF111,1)</f>
        <v>41671</v>
      </c>
      <c r="AH111" s="318">
        <f t="shared" ref="AH111" si="1773">EDATE(AG111,1)</f>
        <v>41699</v>
      </c>
      <c r="AI111" s="318">
        <f t="shared" ref="AI111" si="1774">EDATE(AH111,1)</f>
        <v>41730</v>
      </c>
      <c r="AJ111" s="318">
        <f t="shared" ref="AJ111" si="1775">EDATE(AI111,1)</f>
        <v>41760</v>
      </c>
      <c r="AK111" s="318">
        <f t="shared" ref="AK111" si="1776">EDATE(AJ111,1)</f>
        <v>41791</v>
      </c>
      <c r="AL111" s="318">
        <f t="shared" ref="AL111" si="1777">EDATE(AK111,1)</f>
        <v>41821</v>
      </c>
      <c r="AM111" s="318">
        <f t="shared" ref="AM111" si="1778">EDATE(AL111,1)</f>
        <v>41852</v>
      </c>
      <c r="AN111" s="318">
        <f t="shared" ref="AN111" si="1779">EDATE(AM111,1)</f>
        <v>41883</v>
      </c>
      <c r="AO111" s="318">
        <f t="shared" ref="AO111" si="1780">EDATE(AN111,1)</f>
        <v>41913</v>
      </c>
      <c r="AP111" s="318">
        <f t="shared" ref="AP111" si="1781">EDATE(AO111,1)</f>
        <v>41944</v>
      </c>
      <c r="AQ111" s="318">
        <f t="shared" ref="AQ111" si="1782">EDATE(AP111,1)</f>
        <v>41974</v>
      </c>
      <c r="AR111" s="318">
        <f t="shared" ref="AR111" si="1783">EDATE(AQ111,1)</f>
        <v>42005</v>
      </c>
      <c r="AS111" s="318">
        <f t="shared" ref="AS111" si="1784">EDATE(AR111,1)</f>
        <v>42036</v>
      </c>
      <c r="AT111" s="318">
        <f t="shared" ref="AT111" si="1785">EDATE(AS111,1)</f>
        <v>42064</v>
      </c>
      <c r="AU111" s="318">
        <f t="shared" ref="AU111" si="1786">EDATE(AT111,1)</f>
        <v>42095</v>
      </c>
      <c r="AV111" s="318">
        <f t="shared" ref="AV111" si="1787">EDATE(AU111,1)</f>
        <v>42125</v>
      </c>
      <c r="AW111" s="318">
        <f t="shared" ref="AW111" si="1788">EDATE(AV111,1)</f>
        <v>42156</v>
      </c>
      <c r="AX111" s="318">
        <f t="shared" ref="AX111" si="1789">EDATE(AW111,1)</f>
        <v>42186</v>
      </c>
      <c r="AY111" s="318">
        <f t="shared" ref="AY111" si="1790">EDATE(AX111,1)</f>
        <v>42217</v>
      </c>
      <c r="AZ111" s="318">
        <f t="shared" ref="AZ111" si="1791">EDATE(AY111,1)</f>
        <v>42248</v>
      </c>
      <c r="BA111" s="318">
        <f t="shared" ref="BA111" si="1792">EDATE(AZ111,1)</f>
        <v>42278</v>
      </c>
      <c r="BB111" s="318">
        <f t="shared" ref="BB111" si="1793">EDATE(BA111,1)</f>
        <v>42309</v>
      </c>
      <c r="BC111" s="318">
        <f t="shared" ref="BC111" si="1794">EDATE(BB111,1)</f>
        <v>42339</v>
      </c>
      <c r="BD111" s="318">
        <f t="shared" ref="BD111" si="1795">EDATE(BC111,1)</f>
        <v>42370</v>
      </c>
      <c r="BE111" s="318">
        <f t="shared" ref="BE111" si="1796">EDATE(BD111,1)</f>
        <v>42401</v>
      </c>
      <c r="BF111" s="318">
        <f t="shared" ref="BF111" si="1797">EDATE(BE111,1)</f>
        <v>42430</v>
      </c>
      <c r="BG111" s="318">
        <f t="shared" ref="BG111" si="1798">EDATE(BF111,1)</f>
        <v>42461</v>
      </c>
      <c r="BH111" s="318">
        <f t="shared" ref="BH111" si="1799">EDATE(BG111,1)</f>
        <v>42491</v>
      </c>
      <c r="BI111" s="318">
        <f t="shared" ref="BI111" si="1800">EDATE(BH111,1)</f>
        <v>42522</v>
      </c>
      <c r="BJ111" s="318">
        <f t="shared" ref="BJ111" si="1801">EDATE(BI111,1)</f>
        <v>42552</v>
      </c>
      <c r="BK111" s="318">
        <f t="shared" ref="BK111" si="1802">EDATE(BJ111,1)</f>
        <v>42583</v>
      </c>
      <c r="BL111" s="318">
        <f t="shared" ref="BL111" si="1803">EDATE(BK111,1)</f>
        <v>42614</v>
      </c>
      <c r="BM111" s="318">
        <f t="shared" ref="BM111" si="1804">EDATE(BL111,1)</f>
        <v>42644</v>
      </c>
      <c r="BN111" s="318">
        <f t="shared" ref="BN111" si="1805">EDATE(BM111,1)</f>
        <v>42675</v>
      </c>
      <c r="BO111" s="318">
        <f t="shared" ref="BO111" si="1806">EDATE(BN111,1)</f>
        <v>42705</v>
      </c>
      <c r="BP111" s="318">
        <f t="shared" ref="BP111" si="1807">EDATE(BO111,1)</f>
        <v>42736</v>
      </c>
      <c r="BQ111" s="318">
        <f t="shared" ref="BQ111" si="1808">EDATE(BP111,1)</f>
        <v>42767</v>
      </c>
      <c r="BR111" s="318">
        <f t="shared" ref="BR111" si="1809">EDATE(BQ111,1)</f>
        <v>42795</v>
      </c>
      <c r="BS111" s="318">
        <f t="shared" ref="BS111" si="1810">EDATE(BR111,1)</f>
        <v>42826</v>
      </c>
      <c r="BT111" s="318">
        <f t="shared" ref="BT111" si="1811">EDATE(BS111,1)</f>
        <v>42856</v>
      </c>
      <c r="BU111" s="318">
        <f t="shared" ref="BU111" si="1812">EDATE(BT111,1)</f>
        <v>42887</v>
      </c>
      <c r="BV111" s="318">
        <f t="shared" ref="BV111" si="1813">EDATE(BU111,1)</f>
        <v>42917</v>
      </c>
      <c r="BW111" s="318">
        <f t="shared" ref="BW111" si="1814">EDATE(BV111,1)</f>
        <v>42948</v>
      </c>
      <c r="BX111" s="318">
        <f t="shared" ref="BX111" si="1815">EDATE(BW111,1)</f>
        <v>42979</v>
      </c>
      <c r="BY111" s="318">
        <f t="shared" ref="BY111" si="1816">EDATE(BX111,1)</f>
        <v>43009</v>
      </c>
      <c r="BZ111" s="318">
        <f t="shared" ref="BZ111" si="1817">EDATE(BY111,1)</f>
        <v>43040</v>
      </c>
      <c r="CA111" s="318">
        <f t="shared" ref="CA111" si="1818">EDATE(BZ111,1)</f>
        <v>43070</v>
      </c>
      <c r="CB111" s="318">
        <f t="shared" ref="CB111" si="1819">EDATE(CA111,1)</f>
        <v>43101</v>
      </c>
      <c r="CC111" s="318">
        <f t="shared" ref="CC111" si="1820">EDATE(CB111,1)</f>
        <v>43132</v>
      </c>
      <c r="CD111" s="318">
        <f t="shared" ref="CD111" si="1821">EDATE(CC111,1)</f>
        <v>43160</v>
      </c>
      <c r="CE111" s="318">
        <f t="shared" ref="CE111" si="1822">EDATE(CD111,1)</f>
        <v>43191</v>
      </c>
      <c r="CF111" s="318">
        <f t="shared" ref="CF111" si="1823">EDATE(CE111,1)</f>
        <v>43221</v>
      </c>
      <c r="CG111" s="318">
        <f t="shared" ref="CG111" si="1824">EDATE(CF111,1)</f>
        <v>43252</v>
      </c>
      <c r="CH111" s="318">
        <f t="shared" ref="CH111" si="1825">EDATE(CG111,1)</f>
        <v>43282</v>
      </c>
      <c r="CI111" s="318">
        <f t="shared" ref="CI111" si="1826">EDATE(CH111,1)</f>
        <v>43313</v>
      </c>
      <c r="CJ111" s="318">
        <f t="shared" ref="CJ111" si="1827">EDATE(CI111,1)</f>
        <v>43344</v>
      </c>
      <c r="CK111" s="318">
        <f t="shared" ref="CK111" si="1828">EDATE(CJ111,1)</f>
        <v>43374</v>
      </c>
      <c r="CL111" s="318">
        <f t="shared" ref="CL111" si="1829">EDATE(CK111,1)</f>
        <v>43405</v>
      </c>
      <c r="CM111" s="318">
        <f t="shared" ref="CM111" si="1830">EDATE(CL111,1)</f>
        <v>43435</v>
      </c>
      <c r="CN111" s="318">
        <f t="shared" ref="CN111" si="1831">EDATE(CM111,1)</f>
        <v>43466</v>
      </c>
      <c r="CO111" s="318">
        <f t="shared" ref="CO111" si="1832">EDATE(CN111,1)</f>
        <v>43497</v>
      </c>
      <c r="CP111" s="318">
        <f t="shared" ref="CP111" si="1833">EDATE(CO111,1)</f>
        <v>43525</v>
      </c>
      <c r="CQ111" s="318">
        <f t="shared" ref="CQ111" si="1834">EDATE(CP111,1)</f>
        <v>43556</v>
      </c>
      <c r="CR111" s="318">
        <f t="shared" ref="CR111" si="1835">EDATE(CQ111,1)</f>
        <v>43586</v>
      </c>
      <c r="CS111" s="318">
        <f t="shared" ref="CS111" si="1836">EDATE(CR111,1)</f>
        <v>43617</v>
      </c>
      <c r="CT111" s="318">
        <f t="shared" ref="CT111" si="1837">EDATE(CS111,1)</f>
        <v>43647</v>
      </c>
      <c r="CU111" s="318">
        <f t="shared" ref="CU111" si="1838">EDATE(CT111,1)</f>
        <v>43678</v>
      </c>
      <c r="CV111" s="318">
        <f t="shared" ref="CV111" si="1839">EDATE(CU111,1)</f>
        <v>43709</v>
      </c>
      <c r="CW111" s="318">
        <f t="shared" ref="CW111" si="1840">EDATE(CV111,1)</f>
        <v>43739</v>
      </c>
      <c r="CX111" s="318">
        <f t="shared" ref="CX111" si="1841">EDATE(CW111,1)</f>
        <v>43770</v>
      </c>
      <c r="CY111" s="318">
        <f t="shared" ref="CY111" si="1842">EDATE(CX111,1)</f>
        <v>43800</v>
      </c>
      <c r="CZ111" s="318">
        <f t="shared" ref="CZ111" si="1843">EDATE(CY111,1)</f>
        <v>43831</v>
      </c>
      <c r="DA111" s="318">
        <f t="shared" ref="DA111" si="1844">EDATE(CZ111,1)</f>
        <v>43862</v>
      </c>
      <c r="DB111" s="318">
        <f t="shared" ref="DB111" si="1845">EDATE(DA111,1)</f>
        <v>43891</v>
      </c>
      <c r="DC111" s="318">
        <f t="shared" ref="DC111" si="1846">EDATE(DB111,1)</f>
        <v>43922</v>
      </c>
      <c r="DD111" s="318">
        <f t="shared" ref="DD111" si="1847">EDATE(DC111,1)</f>
        <v>43952</v>
      </c>
      <c r="DE111" s="318">
        <f t="shared" ref="DE111" si="1848">EDATE(DD111,1)</f>
        <v>43983</v>
      </c>
      <c r="DF111" s="318">
        <f t="shared" ref="DF111" si="1849">EDATE(DE111,1)</f>
        <v>44013</v>
      </c>
      <c r="DG111" s="318">
        <f t="shared" ref="DG111" si="1850">EDATE(DF111,1)</f>
        <v>44044</v>
      </c>
      <c r="DH111" s="318">
        <f t="shared" ref="DH111" si="1851">EDATE(DG111,1)</f>
        <v>44075</v>
      </c>
      <c r="DI111" s="318">
        <f t="shared" ref="DI111" si="1852">EDATE(DH111,1)</f>
        <v>44105</v>
      </c>
      <c r="DJ111" s="318">
        <f t="shared" ref="DJ111" si="1853">EDATE(DI111,1)</f>
        <v>44136</v>
      </c>
      <c r="DK111" s="318">
        <f t="shared" ref="DK111" si="1854">EDATE(DJ111,1)</f>
        <v>44166</v>
      </c>
      <c r="DL111" s="318">
        <f t="shared" ref="DL111" si="1855">EDATE(DK111,1)</f>
        <v>44197</v>
      </c>
      <c r="DM111" s="318">
        <f t="shared" ref="DM111" si="1856">EDATE(DL111,1)</f>
        <v>44228</v>
      </c>
      <c r="DN111" s="318">
        <f t="shared" ref="DN111" si="1857">EDATE(DM111,1)</f>
        <v>44256</v>
      </c>
      <c r="DO111" s="318">
        <f t="shared" ref="DO111" si="1858">EDATE(DN111,1)</f>
        <v>44287</v>
      </c>
      <c r="DP111" s="318">
        <f t="shared" ref="DP111" si="1859">EDATE(DO111,1)</f>
        <v>44317</v>
      </c>
      <c r="DQ111" s="318">
        <f t="shared" ref="DQ111" si="1860">EDATE(DP111,1)</f>
        <v>44348</v>
      </c>
      <c r="DR111" s="318">
        <f t="shared" ref="DR111" si="1861">EDATE(DQ111,1)</f>
        <v>44378</v>
      </c>
      <c r="DS111" s="318">
        <f t="shared" ref="DS111" si="1862">EDATE(DR111,1)</f>
        <v>44409</v>
      </c>
      <c r="DT111" s="318">
        <f t="shared" ref="DT111" si="1863">EDATE(DS111,1)</f>
        <v>44440</v>
      </c>
      <c r="DU111" s="318">
        <f t="shared" ref="DU111" si="1864">EDATE(DT111,1)</f>
        <v>44470</v>
      </c>
      <c r="DV111" s="318">
        <f t="shared" ref="DV111" si="1865">EDATE(DU111,1)</f>
        <v>44501</v>
      </c>
      <c r="DW111" s="318">
        <f t="shared" ref="DW111" si="1866">EDATE(DV111,1)</f>
        <v>44531</v>
      </c>
      <c r="DX111" s="318">
        <f t="shared" ref="DX111" si="1867">EDATE(DW111,1)</f>
        <v>44562</v>
      </c>
      <c r="DY111" s="318">
        <f t="shared" ref="DY111" si="1868">EDATE(DX111,1)</f>
        <v>44593</v>
      </c>
      <c r="DZ111" s="318">
        <f t="shared" ref="DZ111" si="1869">EDATE(DY111,1)</f>
        <v>44621</v>
      </c>
      <c r="EA111" s="318">
        <f t="shared" ref="EA111" si="1870">EDATE(DZ111,1)</f>
        <v>44652</v>
      </c>
      <c r="EB111" s="318">
        <f t="shared" ref="EB111" si="1871">EDATE(EA111,1)</f>
        <v>44682</v>
      </c>
      <c r="EC111" s="318">
        <f t="shared" ref="EC111" si="1872">EDATE(EB111,1)</f>
        <v>44713</v>
      </c>
      <c r="ED111" s="318">
        <f t="shared" ref="ED111" si="1873">EDATE(EC111,1)</f>
        <v>44743</v>
      </c>
      <c r="EE111" s="318">
        <f t="shared" ref="EE111" si="1874">EDATE(ED111,1)</f>
        <v>44774</v>
      </c>
      <c r="EF111" s="318">
        <f t="shared" ref="EF111" si="1875">EDATE(EE111,1)</f>
        <v>44805</v>
      </c>
      <c r="EG111" s="318">
        <f t="shared" ref="EG111" si="1876">EDATE(EF111,1)</f>
        <v>44835</v>
      </c>
      <c r="EH111" s="318">
        <f t="shared" ref="EH111" si="1877">EDATE(EG111,1)</f>
        <v>44866</v>
      </c>
      <c r="EI111" s="318">
        <f t="shared" ref="EI111" si="1878">EDATE(EH111,1)</f>
        <v>44896</v>
      </c>
      <c r="EJ111" s="318">
        <f t="shared" ref="EJ111" si="1879">EDATE(EI111,1)</f>
        <v>44927</v>
      </c>
      <c r="EK111" s="318">
        <f t="shared" ref="EK111" si="1880">EDATE(EJ111,1)</f>
        <v>44958</v>
      </c>
      <c r="EL111" s="318">
        <f t="shared" ref="EL111" si="1881">EDATE(EK111,1)</f>
        <v>44986</v>
      </c>
      <c r="EM111" s="318">
        <f t="shared" ref="EM111" si="1882">EDATE(EL111,1)</f>
        <v>45017</v>
      </c>
      <c r="EN111" s="318">
        <f t="shared" ref="EN111" si="1883">EDATE(EM111,1)</f>
        <v>45047</v>
      </c>
      <c r="EO111" s="318">
        <f t="shared" ref="EO111" si="1884">EDATE(EN111,1)</f>
        <v>45078</v>
      </c>
      <c r="EP111" s="318">
        <f t="shared" ref="EP111" si="1885">EDATE(EO111,1)</f>
        <v>45108</v>
      </c>
      <c r="EQ111" s="318">
        <f t="shared" ref="EQ111" si="1886">EDATE(EP111,1)</f>
        <v>45139</v>
      </c>
      <c r="ER111" s="318">
        <f t="shared" ref="ER111" si="1887">EDATE(EQ111,1)</f>
        <v>45170</v>
      </c>
      <c r="ES111" s="318">
        <f t="shared" ref="ES111" si="1888">EDATE(ER111,1)</f>
        <v>45200</v>
      </c>
      <c r="ET111" s="318">
        <f t="shared" ref="ET111" si="1889">EDATE(ES111,1)</f>
        <v>45231</v>
      </c>
      <c r="EU111" s="318">
        <f t="shared" ref="EU111" si="1890">EDATE(ET111,1)</f>
        <v>45261</v>
      </c>
      <c r="EV111" s="318">
        <f t="shared" ref="EV111" si="1891">EDATE(EU111,1)</f>
        <v>45292</v>
      </c>
      <c r="EW111" s="318">
        <f t="shared" ref="EW111" si="1892">EDATE(EV111,1)</f>
        <v>45323</v>
      </c>
      <c r="EX111" s="318">
        <f t="shared" ref="EX111" si="1893">EDATE(EW111,1)</f>
        <v>45352</v>
      </c>
      <c r="EY111" s="318">
        <f t="shared" ref="EY111" si="1894">EDATE(EX111,1)</f>
        <v>45383</v>
      </c>
      <c r="EZ111" s="318">
        <f t="shared" ref="EZ111" si="1895">EDATE(EY111,1)</f>
        <v>45413</v>
      </c>
      <c r="FA111" s="318">
        <f t="shared" ref="FA111" si="1896">EDATE(EZ111,1)</f>
        <v>45444</v>
      </c>
      <c r="FB111" s="318">
        <f t="shared" ref="FB111" si="1897">EDATE(FA111,1)</f>
        <v>45474</v>
      </c>
      <c r="FC111" s="318">
        <f t="shared" ref="FC111" si="1898">EDATE(FB111,1)</f>
        <v>45505</v>
      </c>
      <c r="FD111" s="318">
        <f t="shared" ref="FD111" si="1899">EDATE(FC111,1)</f>
        <v>45536</v>
      </c>
      <c r="FE111" s="318">
        <f t="shared" ref="FE111" si="1900">EDATE(FD111,1)</f>
        <v>45566</v>
      </c>
      <c r="FF111" s="318">
        <f t="shared" ref="FF111" si="1901">EDATE(FE111,1)</f>
        <v>45597</v>
      </c>
      <c r="FG111" s="318">
        <f t="shared" ref="FG111" si="1902">EDATE(FF111,1)</f>
        <v>45627</v>
      </c>
      <c r="FH111" s="318">
        <f t="shared" ref="FH111" si="1903">EDATE(FG111,1)</f>
        <v>45658</v>
      </c>
      <c r="FI111" s="318">
        <f t="shared" ref="FI111" si="1904">EDATE(FH111,1)</f>
        <v>45689</v>
      </c>
      <c r="FJ111" s="318">
        <f t="shared" ref="FJ111" si="1905">EDATE(FI111,1)</f>
        <v>45717</v>
      </c>
      <c r="FK111" s="318">
        <f t="shared" ref="FK111" si="1906">EDATE(FJ111,1)</f>
        <v>45748</v>
      </c>
      <c r="FL111" s="318">
        <f t="shared" ref="FL111" si="1907">EDATE(FK111,1)</f>
        <v>45778</v>
      </c>
      <c r="FM111" s="318">
        <f t="shared" ref="FM111" si="1908">EDATE(FL111,1)</f>
        <v>45809</v>
      </c>
      <c r="FN111" s="318">
        <f t="shared" ref="FN111" si="1909">EDATE(FM111,1)</f>
        <v>45839</v>
      </c>
      <c r="FO111" s="318">
        <f t="shared" ref="FO111" si="1910">EDATE(FN111,1)</f>
        <v>45870</v>
      </c>
      <c r="FP111" s="318">
        <f t="shared" ref="FP111" si="1911">EDATE(FO111,1)</f>
        <v>45901</v>
      </c>
      <c r="FQ111" s="318">
        <f t="shared" ref="FQ111" si="1912">EDATE(FP111,1)</f>
        <v>45931</v>
      </c>
      <c r="FR111" s="318">
        <f t="shared" ref="FR111" si="1913">EDATE(FQ111,1)</f>
        <v>45962</v>
      </c>
      <c r="FS111" s="318">
        <f t="shared" ref="FS111" si="1914">EDATE(FR111,1)</f>
        <v>45992</v>
      </c>
      <c r="FT111" s="318">
        <f t="shared" ref="FT111" si="1915">EDATE(FS111,1)</f>
        <v>46023</v>
      </c>
      <c r="FU111" s="318">
        <f t="shared" ref="FU111" si="1916">EDATE(FT111,1)</f>
        <v>46054</v>
      </c>
      <c r="FV111" s="318">
        <f t="shared" ref="FV111" si="1917">EDATE(FU111,1)</f>
        <v>46082</v>
      </c>
      <c r="FW111" s="318">
        <f t="shared" ref="FW111" si="1918">EDATE(FV111,1)</f>
        <v>46113</v>
      </c>
      <c r="FX111" s="318">
        <f t="shared" ref="FX111" si="1919">EDATE(FW111,1)</f>
        <v>46143</v>
      </c>
      <c r="FY111" s="318">
        <f t="shared" ref="FY111" si="1920">EDATE(FX111,1)</f>
        <v>46174</v>
      </c>
      <c r="FZ111" s="318">
        <f t="shared" ref="FZ111" si="1921">EDATE(FY111,1)</f>
        <v>46204</v>
      </c>
      <c r="GA111" s="318">
        <f t="shared" ref="GA111" si="1922">EDATE(FZ111,1)</f>
        <v>46235</v>
      </c>
      <c r="GB111" s="318">
        <f t="shared" ref="GB111" si="1923">EDATE(GA111,1)</f>
        <v>46266</v>
      </c>
      <c r="GC111" s="318">
        <f t="shared" ref="GC111" si="1924">EDATE(GB111,1)</f>
        <v>46296</v>
      </c>
      <c r="GD111" s="318">
        <f t="shared" ref="GD111" si="1925">EDATE(GC111,1)</f>
        <v>46327</v>
      </c>
      <c r="GE111" s="318">
        <f t="shared" ref="GE111" si="1926">EDATE(GD111,1)</f>
        <v>46357</v>
      </c>
      <c r="GF111" s="318">
        <f t="shared" ref="GF111" si="1927">EDATE(GE111,1)</f>
        <v>46388</v>
      </c>
      <c r="GG111" s="318">
        <f t="shared" ref="GG111" si="1928">EDATE(GF111,1)</f>
        <v>46419</v>
      </c>
      <c r="GH111" s="318">
        <f t="shared" ref="GH111" si="1929">EDATE(GG111,1)</f>
        <v>46447</v>
      </c>
      <c r="GI111" s="318">
        <f t="shared" ref="GI111" si="1930">EDATE(GH111,1)</f>
        <v>46478</v>
      </c>
      <c r="GJ111" s="318">
        <f t="shared" ref="GJ111" si="1931">EDATE(GI111,1)</f>
        <v>46508</v>
      </c>
      <c r="GK111" s="318">
        <f t="shared" ref="GK111" si="1932">EDATE(GJ111,1)</f>
        <v>46539</v>
      </c>
      <c r="GL111" s="318">
        <f t="shared" ref="GL111" si="1933">EDATE(GK111,1)</f>
        <v>46569</v>
      </c>
      <c r="GM111" s="318">
        <f t="shared" ref="GM111" si="1934">EDATE(GL111,1)</f>
        <v>46600</v>
      </c>
      <c r="GN111" s="318">
        <f t="shared" ref="GN111" si="1935">EDATE(GM111,1)</f>
        <v>46631</v>
      </c>
      <c r="GO111" s="318">
        <f t="shared" ref="GO111" si="1936">EDATE(GN111,1)</f>
        <v>46661</v>
      </c>
      <c r="GP111" s="318">
        <f t="shared" ref="GP111" si="1937">EDATE(GO111,1)</f>
        <v>46692</v>
      </c>
      <c r="GQ111" s="318">
        <f t="shared" ref="GQ111" si="1938">EDATE(GP111,1)</f>
        <v>46722</v>
      </c>
    </row>
    <row r="112" spans="2:199">
      <c r="B112" s="173"/>
      <c r="C112" s="173"/>
      <c r="E112" s="425">
        <f>YEAR(E111)</f>
        <v>2011</v>
      </c>
      <c r="F112" s="425">
        <f t="shared" ref="F112:BQ112" si="1939">YEAR(F111)</f>
        <v>2011</v>
      </c>
      <c r="G112" s="425">
        <f t="shared" si="1939"/>
        <v>2011</v>
      </c>
      <c r="H112" s="425">
        <f t="shared" si="1939"/>
        <v>2012</v>
      </c>
      <c r="I112" s="425">
        <f t="shared" si="1939"/>
        <v>2012</v>
      </c>
      <c r="J112" s="425">
        <f t="shared" si="1939"/>
        <v>2012</v>
      </c>
      <c r="K112" s="425">
        <f t="shared" si="1939"/>
        <v>2012</v>
      </c>
      <c r="L112" s="425">
        <f t="shared" si="1939"/>
        <v>2012</v>
      </c>
      <c r="M112" s="425">
        <f t="shared" si="1939"/>
        <v>2012</v>
      </c>
      <c r="N112" s="425">
        <f t="shared" si="1939"/>
        <v>2012</v>
      </c>
      <c r="O112" s="425">
        <f t="shared" si="1939"/>
        <v>2012</v>
      </c>
      <c r="P112" s="425">
        <f t="shared" si="1939"/>
        <v>2012</v>
      </c>
      <c r="Q112" s="425">
        <f t="shared" si="1939"/>
        <v>2012</v>
      </c>
      <c r="R112" s="425">
        <f t="shared" si="1939"/>
        <v>2012</v>
      </c>
      <c r="S112" s="425">
        <f t="shared" si="1939"/>
        <v>2012</v>
      </c>
      <c r="T112" s="425">
        <f t="shared" si="1939"/>
        <v>2013</v>
      </c>
      <c r="U112" s="425">
        <f t="shared" si="1939"/>
        <v>2013</v>
      </c>
      <c r="V112" s="425">
        <f t="shared" si="1939"/>
        <v>2013</v>
      </c>
      <c r="W112" s="425">
        <f t="shared" si="1939"/>
        <v>2013</v>
      </c>
      <c r="X112" s="425">
        <f t="shared" si="1939"/>
        <v>2013</v>
      </c>
      <c r="Y112" s="425">
        <f t="shared" si="1939"/>
        <v>2013</v>
      </c>
      <c r="Z112" s="425">
        <f t="shared" si="1939"/>
        <v>2013</v>
      </c>
      <c r="AA112" s="425">
        <f t="shared" si="1939"/>
        <v>2013</v>
      </c>
      <c r="AB112" s="425">
        <f t="shared" si="1939"/>
        <v>2013</v>
      </c>
      <c r="AC112" s="425">
        <f t="shared" si="1939"/>
        <v>2013</v>
      </c>
      <c r="AD112" s="425">
        <f t="shared" si="1939"/>
        <v>2013</v>
      </c>
      <c r="AE112" s="425">
        <f t="shared" si="1939"/>
        <v>2013</v>
      </c>
      <c r="AF112" s="425">
        <f t="shared" si="1939"/>
        <v>2014</v>
      </c>
      <c r="AG112" s="425">
        <f t="shared" si="1939"/>
        <v>2014</v>
      </c>
      <c r="AH112" s="425">
        <f t="shared" si="1939"/>
        <v>2014</v>
      </c>
      <c r="AI112" s="425">
        <f t="shared" si="1939"/>
        <v>2014</v>
      </c>
      <c r="AJ112" s="425">
        <f t="shared" si="1939"/>
        <v>2014</v>
      </c>
      <c r="AK112" s="425">
        <f t="shared" si="1939"/>
        <v>2014</v>
      </c>
      <c r="AL112" s="425">
        <f t="shared" si="1939"/>
        <v>2014</v>
      </c>
      <c r="AM112" s="425">
        <f t="shared" si="1939"/>
        <v>2014</v>
      </c>
      <c r="AN112" s="425">
        <f t="shared" si="1939"/>
        <v>2014</v>
      </c>
      <c r="AO112" s="425">
        <f t="shared" si="1939"/>
        <v>2014</v>
      </c>
      <c r="AP112" s="425">
        <f t="shared" si="1939"/>
        <v>2014</v>
      </c>
      <c r="AQ112" s="425">
        <f t="shared" si="1939"/>
        <v>2014</v>
      </c>
      <c r="AR112" s="425">
        <f t="shared" si="1939"/>
        <v>2015</v>
      </c>
      <c r="AS112" s="425">
        <f t="shared" si="1939"/>
        <v>2015</v>
      </c>
      <c r="AT112" s="425">
        <f t="shared" si="1939"/>
        <v>2015</v>
      </c>
      <c r="AU112" s="425">
        <f t="shared" si="1939"/>
        <v>2015</v>
      </c>
      <c r="AV112" s="425">
        <f t="shared" si="1939"/>
        <v>2015</v>
      </c>
      <c r="AW112" s="425">
        <f t="shared" si="1939"/>
        <v>2015</v>
      </c>
      <c r="AX112" s="425">
        <f t="shared" si="1939"/>
        <v>2015</v>
      </c>
      <c r="AY112" s="425">
        <f t="shared" si="1939"/>
        <v>2015</v>
      </c>
      <c r="AZ112" s="425">
        <f t="shared" si="1939"/>
        <v>2015</v>
      </c>
      <c r="BA112" s="425">
        <f t="shared" si="1939"/>
        <v>2015</v>
      </c>
      <c r="BB112" s="425">
        <f t="shared" si="1939"/>
        <v>2015</v>
      </c>
      <c r="BC112" s="425">
        <f t="shared" si="1939"/>
        <v>2015</v>
      </c>
      <c r="BD112" s="425">
        <f t="shared" si="1939"/>
        <v>2016</v>
      </c>
      <c r="BE112" s="425">
        <f t="shared" si="1939"/>
        <v>2016</v>
      </c>
      <c r="BF112" s="425">
        <f t="shared" si="1939"/>
        <v>2016</v>
      </c>
      <c r="BG112" s="425">
        <f t="shared" si="1939"/>
        <v>2016</v>
      </c>
      <c r="BH112" s="425">
        <f t="shared" si="1939"/>
        <v>2016</v>
      </c>
      <c r="BI112" s="425">
        <f t="shared" si="1939"/>
        <v>2016</v>
      </c>
      <c r="BJ112" s="425">
        <f t="shared" si="1939"/>
        <v>2016</v>
      </c>
      <c r="BK112" s="425">
        <f t="shared" si="1939"/>
        <v>2016</v>
      </c>
      <c r="BL112" s="425">
        <f t="shared" si="1939"/>
        <v>2016</v>
      </c>
      <c r="BM112" s="425">
        <f t="shared" si="1939"/>
        <v>2016</v>
      </c>
      <c r="BN112" s="425">
        <f t="shared" si="1939"/>
        <v>2016</v>
      </c>
      <c r="BO112" s="425">
        <f t="shared" si="1939"/>
        <v>2016</v>
      </c>
      <c r="BP112" s="425">
        <f t="shared" si="1939"/>
        <v>2017</v>
      </c>
      <c r="BQ112" s="425">
        <f t="shared" si="1939"/>
        <v>2017</v>
      </c>
      <c r="BR112" s="425">
        <f t="shared" ref="BR112:EC112" si="1940">YEAR(BR111)</f>
        <v>2017</v>
      </c>
      <c r="BS112" s="425">
        <f t="shared" si="1940"/>
        <v>2017</v>
      </c>
      <c r="BT112" s="425">
        <f t="shared" si="1940"/>
        <v>2017</v>
      </c>
      <c r="BU112" s="425">
        <f t="shared" si="1940"/>
        <v>2017</v>
      </c>
      <c r="BV112" s="425">
        <f t="shared" si="1940"/>
        <v>2017</v>
      </c>
      <c r="BW112" s="425">
        <f t="shared" si="1940"/>
        <v>2017</v>
      </c>
      <c r="BX112" s="425">
        <f t="shared" si="1940"/>
        <v>2017</v>
      </c>
      <c r="BY112" s="425">
        <f t="shared" si="1940"/>
        <v>2017</v>
      </c>
      <c r="BZ112" s="425">
        <f t="shared" si="1940"/>
        <v>2017</v>
      </c>
      <c r="CA112" s="425">
        <f t="shared" si="1940"/>
        <v>2017</v>
      </c>
      <c r="CB112" s="425">
        <f t="shared" si="1940"/>
        <v>2018</v>
      </c>
      <c r="CC112" s="425">
        <f t="shared" si="1940"/>
        <v>2018</v>
      </c>
      <c r="CD112" s="425">
        <f t="shared" si="1940"/>
        <v>2018</v>
      </c>
      <c r="CE112" s="425">
        <f t="shared" si="1940"/>
        <v>2018</v>
      </c>
      <c r="CF112" s="425">
        <f t="shared" si="1940"/>
        <v>2018</v>
      </c>
      <c r="CG112" s="425">
        <f t="shared" si="1940"/>
        <v>2018</v>
      </c>
      <c r="CH112" s="425">
        <f t="shared" si="1940"/>
        <v>2018</v>
      </c>
      <c r="CI112" s="425">
        <f t="shared" si="1940"/>
        <v>2018</v>
      </c>
      <c r="CJ112" s="425">
        <f t="shared" si="1940"/>
        <v>2018</v>
      </c>
      <c r="CK112" s="425">
        <f t="shared" si="1940"/>
        <v>2018</v>
      </c>
      <c r="CL112" s="425">
        <f t="shared" si="1940"/>
        <v>2018</v>
      </c>
      <c r="CM112" s="425">
        <f t="shared" si="1940"/>
        <v>2018</v>
      </c>
      <c r="CN112" s="425">
        <f t="shared" si="1940"/>
        <v>2019</v>
      </c>
      <c r="CO112" s="425">
        <f t="shared" si="1940"/>
        <v>2019</v>
      </c>
      <c r="CP112" s="425">
        <f t="shared" si="1940"/>
        <v>2019</v>
      </c>
      <c r="CQ112" s="425">
        <f t="shared" si="1940"/>
        <v>2019</v>
      </c>
      <c r="CR112" s="425">
        <f t="shared" si="1940"/>
        <v>2019</v>
      </c>
      <c r="CS112" s="425">
        <f t="shared" si="1940"/>
        <v>2019</v>
      </c>
      <c r="CT112" s="425">
        <f t="shared" si="1940"/>
        <v>2019</v>
      </c>
      <c r="CU112" s="425">
        <f t="shared" si="1940"/>
        <v>2019</v>
      </c>
      <c r="CV112" s="425">
        <f t="shared" si="1940"/>
        <v>2019</v>
      </c>
      <c r="CW112" s="425">
        <f t="shared" si="1940"/>
        <v>2019</v>
      </c>
      <c r="CX112" s="425">
        <f t="shared" si="1940"/>
        <v>2019</v>
      </c>
      <c r="CY112" s="425">
        <f t="shared" si="1940"/>
        <v>2019</v>
      </c>
      <c r="CZ112" s="425">
        <f t="shared" si="1940"/>
        <v>2020</v>
      </c>
      <c r="DA112" s="425">
        <f t="shared" si="1940"/>
        <v>2020</v>
      </c>
      <c r="DB112" s="425">
        <f t="shared" si="1940"/>
        <v>2020</v>
      </c>
      <c r="DC112" s="425">
        <f t="shared" si="1940"/>
        <v>2020</v>
      </c>
      <c r="DD112" s="425">
        <f t="shared" si="1940"/>
        <v>2020</v>
      </c>
      <c r="DE112" s="425">
        <f t="shared" si="1940"/>
        <v>2020</v>
      </c>
      <c r="DF112" s="425">
        <f t="shared" si="1940"/>
        <v>2020</v>
      </c>
      <c r="DG112" s="425">
        <f t="shared" si="1940"/>
        <v>2020</v>
      </c>
      <c r="DH112" s="425">
        <f t="shared" si="1940"/>
        <v>2020</v>
      </c>
      <c r="DI112" s="425">
        <f t="shared" si="1940"/>
        <v>2020</v>
      </c>
      <c r="DJ112" s="425">
        <f t="shared" si="1940"/>
        <v>2020</v>
      </c>
      <c r="DK112" s="425">
        <f t="shared" si="1940"/>
        <v>2020</v>
      </c>
      <c r="DL112" s="425">
        <f t="shared" si="1940"/>
        <v>2021</v>
      </c>
      <c r="DM112" s="425">
        <f t="shared" si="1940"/>
        <v>2021</v>
      </c>
      <c r="DN112" s="425">
        <f t="shared" si="1940"/>
        <v>2021</v>
      </c>
      <c r="DO112" s="425">
        <f t="shared" si="1940"/>
        <v>2021</v>
      </c>
      <c r="DP112" s="425">
        <f t="shared" si="1940"/>
        <v>2021</v>
      </c>
      <c r="DQ112" s="425">
        <f t="shared" si="1940"/>
        <v>2021</v>
      </c>
      <c r="DR112" s="425">
        <f t="shared" si="1940"/>
        <v>2021</v>
      </c>
      <c r="DS112" s="425">
        <f t="shared" si="1940"/>
        <v>2021</v>
      </c>
      <c r="DT112" s="425">
        <f t="shared" si="1940"/>
        <v>2021</v>
      </c>
      <c r="DU112" s="425">
        <f t="shared" si="1940"/>
        <v>2021</v>
      </c>
      <c r="DV112" s="425">
        <f t="shared" si="1940"/>
        <v>2021</v>
      </c>
      <c r="DW112" s="425">
        <f t="shared" si="1940"/>
        <v>2021</v>
      </c>
      <c r="DX112" s="425">
        <f t="shared" si="1940"/>
        <v>2022</v>
      </c>
      <c r="DY112" s="425">
        <f t="shared" si="1940"/>
        <v>2022</v>
      </c>
      <c r="DZ112" s="425">
        <f t="shared" si="1940"/>
        <v>2022</v>
      </c>
      <c r="EA112" s="425">
        <f t="shared" si="1940"/>
        <v>2022</v>
      </c>
      <c r="EB112" s="425">
        <f t="shared" si="1940"/>
        <v>2022</v>
      </c>
      <c r="EC112" s="425">
        <f t="shared" si="1940"/>
        <v>2022</v>
      </c>
      <c r="ED112" s="425">
        <f t="shared" ref="ED112:GO112" si="1941">YEAR(ED111)</f>
        <v>2022</v>
      </c>
      <c r="EE112" s="425">
        <f t="shared" si="1941"/>
        <v>2022</v>
      </c>
      <c r="EF112" s="425">
        <f t="shared" si="1941"/>
        <v>2022</v>
      </c>
      <c r="EG112" s="425">
        <f t="shared" si="1941"/>
        <v>2022</v>
      </c>
      <c r="EH112" s="425">
        <f t="shared" si="1941"/>
        <v>2022</v>
      </c>
      <c r="EI112" s="425">
        <f t="shared" si="1941"/>
        <v>2022</v>
      </c>
      <c r="EJ112" s="425">
        <f t="shared" si="1941"/>
        <v>2023</v>
      </c>
      <c r="EK112" s="425">
        <f t="shared" si="1941"/>
        <v>2023</v>
      </c>
      <c r="EL112" s="425">
        <f t="shared" si="1941"/>
        <v>2023</v>
      </c>
      <c r="EM112" s="425">
        <f t="shared" si="1941"/>
        <v>2023</v>
      </c>
      <c r="EN112" s="425">
        <f t="shared" si="1941"/>
        <v>2023</v>
      </c>
      <c r="EO112" s="425">
        <f t="shared" si="1941"/>
        <v>2023</v>
      </c>
      <c r="EP112" s="425">
        <f t="shared" si="1941"/>
        <v>2023</v>
      </c>
      <c r="EQ112" s="425">
        <f t="shared" si="1941"/>
        <v>2023</v>
      </c>
      <c r="ER112" s="425">
        <f t="shared" si="1941"/>
        <v>2023</v>
      </c>
      <c r="ES112" s="425">
        <f t="shared" si="1941"/>
        <v>2023</v>
      </c>
      <c r="ET112" s="425">
        <f t="shared" si="1941"/>
        <v>2023</v>
      </c>
      <c r="EU112" s="425">
        <f t="shared" si="1941"/>
        <v>2023</v>
      </c>
      <c r="EV112" s="425">
        <f t="shared" si="1941"/>
        <v>2024</v>
      </c>
      <c r="EW112" s="425">
        <f t="shared" si="1941"/>
        <v>2024</v>
      </c>
      <c r="EX112" s="425">
        <f t="shared" si="1941"/>
        <v>2024</v>
      </c>
      <c r="EY112" s="425">
        <f t="shared" si="1941"/>
        <v>2024</v>
      </c>
      <c r="EZ112" s="425">
        <f t="shared" si="1941"/>
        <v>2024</v>
      </c>
      <c r="FA112" s="425">
        <f t="shared" si="1941"/>
        <v>2024</v>
      </c>
      <c r="FB112" s="425">
        <f t="shared" si="1941"/>
        <v>2024</v>
      </c>
      <c r="FC112" s="425">
        <f t="shared" si="1941"/>
        <v>2024</v>
      </c>
      <c r="FD112" s="425">
        <f t="shared" si="1941"/>
        <v>2024</v>
      </c>
      <c r="FE112" s="425">
        <f t="shared" si="1941"/>
        <v>2024</v>
      </c>
      <c r="FF112" s="425">
        <f t="shared" si="1941"/>
        <v>2024</v>
      </c>
      <c r="FG112" s="425">
        <f t="shared" si="1941"/>
        <v>2024</v>
      </c>
      <c r="FH112" s="425">
        <f t="shared" si="1941"/>
        <v>2025</v>
      </c>
      <c r="FI112" s="425">
        <f t="shared" si="1941"/>
        <v>2025</v>
      </c>
      <c r="FJ112" s="425">
        <f t="shared" si="1941"/>
        <v>2025</v>
      </c>
      <c r="FK112" s="425">
        <f t="shared" si="1941"/>
        <v>2025</v>
      </c>
      <c r="FL112" s="425">
        <f t="shared" si="1941"/>
        <v>2025</v>
      </c>
      <c r="FM112" s="425">
        <f t="shared" si="1941"/>
        <v>2025</v>
      </c>
      <c r="FN112" s="425">
        <f t="shared" si="1941"/>
        <v>2025</v>
      </c>
      <c r="FO112" s="425">
        <f t="shared" si="1941"/>
        <v>2025</v>
      </c>
      <c r="FP112" s="425">
        <f t="shared" si="1941"/>
        <v>2025</v>
      </c>
      <c r="FQ112" s="425">
        <f t="shared" si="1941"/>
        <v>2025</v>
      </c>
      <c r="FR112" s="425">
        <f t="shared" si="1941"/>
        <v>2025</v>
      </c>
      <c r="FS112" s="425">
        <f t="shared" si="1941"/>
        <v>2025</v>
      </c>
      <c r="FT112" s="425">
        <f t="shared" si="1941"/>
        <v>2026</v>
      </c>
      <c r="FU112" s="425">
        <f t="shared" si="1941"/>
        <v>2026</v>
      </c>
      <c r="FV112" s="425">
        <f t="shared" si="1941"/>
        <v>2026</v>
      </c>
      <c r="FW112" s="425">
        <f t="shared" si="1941"/>
        <v>2026</v>
      </c>
      <c r="FX112" s="425">
        <f t="shared" si="1941"/>
        <v>2026</v>
      </c>
      <c r="FY112" s="425">
        <f t="shared" si="1941"/>
        <v>2026</v>
      </c>
      <c r="FZ112" s="425">
        <f t="shared" si="1941"/>
        <v>2026</v>
      </c>
      <c r="GA112" s="425">
        <f t="shared" si="1941"/>
        <v>2026</v>
      </c>
      <c r="GB112" s="425">
        <f t="shared" si="1941"/>
        <v>2026</v>
      </c>
      <c r="GC112" s="425">
        <f t="shared" si="1941"/>
        <v>2026</v>
      </c>
      <c r="GD112" s="425">
        <f t="shared" si="1941"/>
        <v>2026</v>
      </c>
      <c r="GE112" s="425">
        <f t="shared" si="1941"/>
        <v>2026</v>
      </c>
      <c r="GF112" s="425">
        <f t="shared" si="1941"/>
        <v>2027</v>
      </c>
      <c r="GG112" s="425">
        <f t="shared" si="1941"/>
        <v>2027</v>
      </c>
      <c r="GH112" s="425">
        <f t="shared" si="1941"/>
        <v>2027</v>
      </c>
      <c r="GI112" s="425">
        <f t="shared" si="1941"/>
        <v>2027</v>
      </c>
      <c r="GJ112" s="425">
        <f t="shared" si="1941"/>
        <v>2027</v>
      </c>
      <c r="GK112" s="425">
        <f t="shared" si="1941"/>
        <v>2027</v>
      </c>
      <c r="GL112" s="425">
        <f t="shared" si="1941"/>
        <v>2027</v>
      </c>
      <c r="GM112" s="425">
        <f t="shared" si="1941"/>
        <v>2027</v>
      </c>
      <c r="GN112" s="425">
        <f t="shared" si="1941"/>
        <v>2027</v>
      </c>
      <c r="GO112" s="425">
        <f t="shared" si="1941"/>
        <v>2027</v>
      </c>
      <c r="GP112" s="425">
        <f t="shared" ref="GP112:GQ112" si="1942">YEAR(GP111)</f>
        <v>2027</v>
      </c>
      <c r="GQ112" s="425">
        <f t="shared" si="1942"/>
        <v>2027</v>
      </c>
    </row>
    <row r="113" spans="2:199" hidden="1" outlineLevel="1">
      <c r="B113" s="181" t="s">
        <v>410</v>
      </c>
      <c r="C113" s="205">
        <v>40817</v>
      </c>
    </row>
    <row r="114" spans="2:199" hidden="1" outlineLevel="1">
      <c r="B114" s="182" t="s">
        <v>398</v>
      </c>
      <c r="C114" s="206">
        <v>41913</v>
      </c>
    </row>
    <row r="115" spans="2:199" hidden="1" outlineLevel="1">
      <c r="B115" s="182" t="s">
        <v>402</v>
      </c>
      <c r="C115" s="206">
        <v>40969</v>
      </c>
    </row>
    <row r="116" spans="2:199" hidden="1" outlineLevel="1">
      <c r="B116" s="182" t="s">
        <v>399</v>
      </c>
      <c r="C116" s="206">
        <v>40634</v>
      </c>
      <c r="D116" s="301" t="s">
        <v>468</v>
      </c>
      <c r="E116" s="303"/>
      <c r="F116" s="303"/>
      <c r="G116" s="303"/>
      <c r="H116" s="303"/>
      <c r="I116" s="303"/>
      <c r="J116" s="303"/>
      <c r="K116" s="489">
        <f>1/6</f>
        <v>0.16666666666666666</v>
      </c>
      <c r="L116" s="303"/>
      <c r="M116" s="303"/>
      <c r="N116" s="303"/>
      <c r="O116" s="303"/>
      <c r="P116" s="303"/>
      <c r="Q116" s="489">
        <f>1/6</f>
        <v>0.16666666666666666</v>
      </c>
      <c r="R116" s="303"/>
      <c r="S116" s="303"/>
      <c r="T116" s="303"/>
      <c r="U116" s="303"/>
      <c r="V116" s="303"/>
      <c r="W116" s="489">
        <f>1/6</f>
        <v>0.16666666666666666</v>
      </c>
      <c r="X116" s="303"/>
      <c r="Y116" s="303"/>
      <c r="Z116" s="303"/>
      <c r="AA116" s="303"/>
      <c r="AB116" s="303"/>
      <c r="AC116" s="489">
        <f>1/6</f>
        <v>0.16666666666666666</v>
      </c>
      <c r="AD116" s="303"/>
      <c r="AE116" s="303"/>
      <c r="AF116" s="303"/>
      <c r="AG116" s="303"/>
      <c r="AH116" s="303"/>
      <c r="AI116" s="489">
        <f>1/6</f>
        <v>0.16666666666666666</v>
      </c>
      <c r="AJ116" s="303"/>
      <c r="AK116" s="303"/>
      <c r="AL116" s="303"/>
      <c r="AM116" s="303"/>
      <c r="AN116" s="303"/>
      <c r="AO116" s="489">
        <f>1/6</f>
        <v>0.16666666666666666</v>
      </c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0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0"/>
      <c r="BN116" s="303"/>
      <c r="BO116" s="303"/>
      <c r="BP116" s="303"/>
      <c r="BQ116" s="303"/>
      <c r="BR116" s="303"/>
      <c r="BS116" s="303"/>
      <c r="BT116" s="303"/>
      <c r="BU116" s="303"/>
      <c r="BV116" s="303"/>
      <c r="BW116" s="303"/>
      <c r="BX116" s="303"/>
      <c r="BY116" s="303"/>
      <c r="BZ116" s="303"/>
      <c r="CA116" s="303"/>
      <c r="CB116" s="303"/>
      <c r="CC116" s="303"/>
      <c r="CD116" s="303"/>
      <c r="CE116" s="303"/>
      <c r="CF116" s="303"/>
      <c r="CG116" s="303"/>
      <c r="CH116" s="303"/>
      <c r="CI116" s="303"/>
      <c r="CJ116" s="303"/>
      <c r="CK116" s="303"/>
      <c r="CL116" s="303"/>
      <c r="CM116" s="303"/>
      <c r="CN116" s="303"/>
      <c r="CO116" s="303"/>
      <c r="CP116" s="303"/>
      <c r="CQ116" s="303"/>
      <c r="CR116" s="303"/>
      <c r="CS116" s="303"/>
      <c r="CT116" s="303"/>
      <c r="CU116" s="303"/>
      <c r="CV116" s="303"/>
      <c r="CW116" s="303"/>
      <c r="CX116" s="303"/>
      <c r="CY116" s="303"/>
      <c r="CZ116" s="303"/>
      <c r="DA116" s="303"/>
      <c r="DB116" s="303"/>
      <c r="DC116" s="303"/>
      <c r="DD116" s="303"/>
      <c r="DE116" s="303"/>
      <c r="DF116" s="303"/>
      <c r="DG116" s="303"/>
      <c r="DH116" s="303"/>
      <c r="DI116" s="303"/>
      <c r="DJ116" s="303"/>
      <c r="DK116" s="303"/>
      <c r="DL116" s="303"/>
      <c r="DM116" s="303"/>
      <c r="DN116" s="303"/>
      <c r="DO116" s="303"/>
      <c r="DP116" s="303"/>
      <c r="DQ116" s="303"/>
      <c r="DR116" s="303"/>
      <c r="DS116" s="303"/>
      <c r="DT116" s="303"/>
      <c r="DU116" s="303"/>
      <c r="DV116" s="303"/>
      <c r="DW116" s="303"/>
      <c r="DX116" s="303"/>
      <c r="DY116" s="303"/>
      <c r="DZ116" s="303"/>
      <c r="EA116" s="303"/>
      <c r="EB116" s="303"/>
      <c r="EC116" s="303"/>
      <c r="ED116" s="303"/>
      <c r="EE116" s="303"/>
      <c r="EF116" s="303"/>
      <c r="EG116" s="303"/>
      <c r="EH116" s="303"/>
      <c r="EI116" s="303"/>
      <c r="EJ116" s="303"/>
      <c r="EK116" s="303"/>
      <c r="EL116" s="303"/>
      <c r="EM116" s="303"/>
      <c r="EN116" s="303"/>
      <c r="EO116" s="303"/>
      <c r="EP116" s="303"/>
      <c r="EQ116" s="303"/>
      <c r="ER116" s="303"/>
      <c r="ES116" s="303"/>
      <c r="ET116" s="303"/>
      <c r="EU116" s="303"/>
      <c r="EV116" s="303"/>
      <c r="EW116" s="303"/>
      <c r="EX116" s="303"/>
      <c r="EY116" s="303"/>
      <c r="EZ116" s="303"/>
      <c r="FA116" s="303"/>
      <c r="FB116" s="303"/>
      <c r="FC116" s="303"/>
      <c r="FD116" s="303"/>
      <c r="FE116" s="303"/>
      <c r="FF116" s="303"/>
      <c r="FG116" s="303"/>
      <c r="FH116" s="303"/>
      <c r="FI116" s="303"/>
      <c r="FJ116" s="303"/>
      <c r="FK116" s="303"/>
      <c r="FL116" s="303"/>
      <c r="FM116" s="303"/>
      <c r="FN116" s="303"/>
      <c r="FO116" s="303"/>
      <c r="FP116" s="303"/>
      <c r="FQ116" s="303"/>
      <c r="FR116" s="303"/>
      <c r="FS116" s="303"/>
      <c r="FT116" s="303"/>
      <c r="FU116" s="303"/>
      <c r="FV116" s="303"/>
      <c r="FW116" s="303"/>
      <c r="FX116" s="303"/>
      <c r="FY116" s="303"/>
      <c r="FZ116" s="303"/>
      <c r="GA116" s="303"/>
      <c r="GB116" s="303"/>
      <c r="GC116" s="303"/>
      <c r="GD116" s="303"/>
      <c r="GE116" s="303"/>
      <c r="GF116" s="303"/>
      <c r="GG116" s="303"/>
      <c r="GH116" s="303"/>
      <c r="GI116" s="303"/>
      <c r="GJ116" s="303"/>
      <c r="GK116" s="303"/>
      <c r="GL116" s="303"/>
      <c r="GM116" s="303"/>
      <c r="GN116" s="303"/>
      <c r="GO116" s="303"/>
      <c r="GP116" s="303"/>
      <c r="GQ116" s="303"/>
    </row>
    <row r="117" spans="2:199" hidden="1" outlineLevel="1">
      <c r="B117" s="182" t="s">
        <v>400</v>
      </c>
      <c r="C117" s="207">
        <v>4</v>
      </c>
    </row>
    <row r="118" spans="2:199" hidden="1" outlineLevel="1">
      <c r="B118" s="182" t="s">
        <v>467</v>
      </c>
      <c r="C118" s="207" t="s">
        <v>620</v>
      </c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  <c r="AB118" s="170"/>
      <c r="AC118" s="170"/>
      <c r="AD118" s="170"/>
      <c r="AE118" s="170"/>
      <c r="AF118" s="170"/>
      <c r="AG118" s="170"/>
      <c r="AH118" s="170"/>
      <c r="AI118" s="170"/>
      <c r="AJ118" s="170"/>
      <c r="AK118" s="170"/>
      <c r="AL118" s="170"/>
      <c r="AM118" s="170"/>
      <c r="AN118" s="170"/>
      <c r="AO118" s="170"/>
      <c r="AP118" s="170"/>
      <c r="AQ118" s="170"/>
      <c r="AR118" s="170"/>
      <c r="AS118" s="170"/>
      <c r="AT118" s="170"/>
      <c r="AU118" s="170"/>
      <c r="AV118" s="170"/>
      <c r="AW118" s="170"/>
      <c r="AX118" s="170"/>
      <c r="AY118" s="170"/>
      <c r="AZ118" s="170"/>
      <c r="BA118" s="170"/>
      <c r="BB118" s="170"/>
      <c r="BC118" s="170"/>
      <c r="BD118" s="170"/>
      <c r="BE118" s="170"/>
      <c r="BF118" s="170"/>
      <c r="BG118" s="170"/>
      <c r="BH118" s="170"/>
      <c r="BI118" s="170"/>
      <c r="BJ118" s="170"/>
      <c r="BK118" s="170"/>
      <c r="BL118" s="170"/>
      <c r="BM118" s="170"/>
      <c r="BN118" s="170"/>
      <c r="BO118" s="170"/>
      <c r="BP118" s="170"/>
      <c r="BQ118" s="170"/>
      <c r="BR118" s="170"/>
      <c r="BS118" s="170"/>
      <c r="BT118" s="170"/>
      <c r="BU118" s="170"/>
      <c r="BV118" s="170"/>
      <c r="BW118" s="170"/>
      <c r="BX118" s="170"/>
      <c r="BY118" s="170"/>
      <c r="BZ118" s="170"/>
      <c r="CA118" s="170"/>
      <c r="CB118" s="170"/>
      <c r="CC118" s="170"/>
      <c r="CD118" s="170"/>
      <c r="CE118" s="170"/>
      <c r="CF118" s="170"/>
      <c r="CG118" s="170"/>
      <c r="CH118" s="170"/>
      <c r="CI118" s="170"/>
      <c r="CJ118" s="170"/>
      <c r="CK118" s="170"/>
      <c r="CL118" s="170"/>
      <c r="CM118" s="170"/>
      <c r="CN118" s="170"/>
      <c r="CO118" s="170"/>
      <c r="CP118" s="170"/>
      <c r="CQ118" s="170"/>
      <c r="CR118" s="170"/>
      <c r="CS118" s="170"/>
      <c r="CT118" s="170"/>
      <c r="CU118" s="170"/>
      <c r="CV118" s="170"/>
      <c r="CW118" s="170"/>
      <c r="CX118" s="170"/>
      <c r="CY118" s="170"/>
      <c r="CZ118" s="170"/>
      <c r="DA118" s="170"/>
      <c r="DB118" s="170"/>
      <c r="DC118" s="170"/>
      <c r="DD118" s="170"/>
      <c r="DE118" s="170"/>
      <c r="DF118" s="170"/>
      <c r="DG118" s="170"/>
      <c r="DH118" s="170"/>
      <c r="DI118" s="170"/>
      <c r="DJ118" s="170"/>
      <c r="DK118" s="170"/>
      <c r="DL118" s="170"/>
      <c r="DM118" s="170"/>
      <c r="DN118" s="170"/>
      <c r="DO118" s="170"/>
      <c r="DP118" s="170"/>
      <c r="DQ118" s="170"/>
      <c r="DR118" s="170"/>
      <c r="DS118" s="170"/>
      <c r="DT118" s="170"/>
      <c r="DU118" s="170"/>
      <c r="DV118" s="170"/>
      <c r="DW118" s="170"/>
      <c r="DX118" s="170"/>
      <c r="DY118" s="170"/>
      <c r="DZ118" s="170"/>
      <c r="EA118" s="170"/>
      <c r="EB118" s="170"/>
      <c r="EC118" s="170"/>
      <c r="ED118" s="170"/>
      <c r="EE118" s="170"/>
      <c r="EF118" s="170"/>
      <c r="EG118" s="170"/>
      <c r="EH118" s="170"/>
      <c r="EI118" s="170"/>
      <c r="EJ118" s="170"/>
      <c r="EK118" s="170"/>
      <c r="EL118" s="170"/>
      <c r="EM118" s="170"/>
      <c r="EN118" s="170"/>
      <c r="EO118" s="170"/>
      <c r="EP118" s="170"/>
      <c r="EQ118" s="170"/>
      <c r="ER118" s="170"/>
      <c r="ES118" s="170"/>
      <c r="ET118" s="170"/>
      <c r="EU118" s="170"/>
      <c r="EV118" s="170"/>
      <c r="EW118" s="170"/>
      <c r="EX118" s="170"/>
      <c r="EY118" s="170"/>
      <c r="EZ118" s="170"/>
      <c r="FA118" s="170"/>
      <c r="FB118" s="170"/>
      <c r="FC118" s="170"/>
      <c r="FD118" s="170"/>
      <c r="FE118" s="170"/>
      <c r="FF118" s="170"/>
      <c r="FG118" s="170"/>
      <c r="FH118" s="170"/>
      <c r="FI118" s="170"/>
      <c r="FJ118" s="170"/>
      <c r="FK118" s="170"/>
      <c r="FL118" s="170"/>
      <c r="FM118" s="170"/>
      <c r="FN118" s="170"/>
      <c r="FO118" s="170"/>
      <c r="FP118" s="170"/>
      <c r="FQ118" s="170"/>
      <c r="FR118" s="170"/>
      <c r="FS118" s="170"/>
      <c r="FT118" s="170"/>
      <c r="FU118" s="170"/>
      <c r="FV118" s="170"/>
      <c r="FW118" s="170"/>
      <c r="FX118" s="170"/>
      <c r="FY118" s="170"/>
      <c r="FZ118" s="170"/>
      <c r="GA118" s="170"/>
      <c r="GB118" s="170"/>
      <c r="GC118" s="170"/>
      <c r="GD118" s="170"/>
      <c r="GE118" s="170"/>
      <c r="GF118" s="170"/>
      <c r="GG118" s="170"/>
      <c r="GH118" s="170"/>
      <c r="GI118" s="170"/>
      <c r="GJ118" s="170"/>
      <c r="GK118" s="170"/>
      <c r="GL118" s="170"/>
      <c r="GM118" s="170"/>
      <c r="GN118" s="170"/>
      <c r="GO118" s="170"/>
      <c r="GP118" s="170"/>
      <c r="GQ118" s="170"/>
    </row>
    <row r="119" spans="2:199" hidden="1" outlineLevel="1">
      <c r="B119" s="182" t="s">
        <v>403</v>
      </c>
      <c r="C119" s="152">
        <v>1.1499999999999999</v>
      </c>
      <c r="D119" s="170"/>
      <c r="E119" s="170">
        <f>VLOOKUP(EOMONTH(E111,0),Macroeconomics!$B$67:$R$380,Macroeconomics!$C$66,0)*$C$119</f>
        <v>1.0120000000000001E-2</v>
      </c>
      <c r="F119" s="170">
        <f>VLOOKUP(EOMONTH(F111,0),Macroeconomics!$B$67:$R$380,Macroeconomics!$C$66,0)*$C$119</f>
        <v>9.9426008362630824E-3</v>
      </c>
      <c r="G119" s="170">
        <f>VLOOKUP(EOMONTH(G111,0),Macroeconomics!$B$67:$R$380,Macroeconomics!$C$66,0)*$C$119</f>
        <v>1.035E-2</v>
      </c>
      <c r="H119" s="170">
        <f>VLOOKUP(EOMONTH(H111,0),Macroeconomics!$B$67:$R$380,Macroeconomics!$C$66,0)*$C$119</f>
        <v>1.0234999999999999E-2</v>
      </c>
      <c r="I119" s="170">
        <f>VLOOKUP(EOMONTH(I111,0),Macroeconomics!$B$67:$R$380,Macroeconomics!$C$66,0)*$C$119</f>
        <v>8.5100000000000002E-3</v>
      </c>
      <c r="J119" s="170">
        <f>VLOOKUP(EOMONTH(J111,0),Macroeconomics!$B$67:$R$380,Macroeconomics!$C$66,0)*$C$119</f>
        <v>9.3150000000000004E-3</v>
      </c>
      <c r="K119" s="170">
        <f>VLOOKUP(EOMONTH(K111,0),Macroeconomics!$B$67:$R$380,Macroeconomics!$C$66,0)*$C$119</f>
        <v>8.0499999999999981E-3</v>
      </c>
      <c r="L119" s="170">
        <f>VLOOKUP(EOMONTH(L111,0),Macroeconomics!$B$67:$R$380,Macroeconomics!$C$66,0)*$C$119</f>
        <v>8.5045764076022486E-3</v>
      </c>
      <c r="M119" s="170">
        <f>VLOOKUP(EOMONTH(M111,0),Macroeconomics!$B$67:$R$380,Macroeconomics!$C$66,0)*$C$119</f>
        <v>7.3182525544524752E-3</v>
      </c>
      <c r="N119" s="170">
        <f>VLOOKUP(EOMONTH(N111,0),Macroeconomics!$B$67:$R$380,Macroeconomics!$C$66,0)*$C$119</f>
        <v>7.9649118178936381E-3</v>
      </c>
      <c r="O119" s="170">
        <f>VLOOKUP(EOMONTH(O111,0),Macroeconomics!$B$67:$R$380,Macroeconomics!$C$66,0)*$C$119</f>
        <v>8.1875644043947083E-3</v>
      </c>
      <c r="P119" s="170">
        <f>VLOOKUP(EOMONTH(P111,0),Macroeconomics!$B$67:$R$380,Macroeconomics!$C$66,0)*$C$119</f>
        <v>6.7459745997916149E-3</v>
      </c>
      <c r="Q119" s="170">
        <f>VLOOKUP(EOMONTH(Q111,0),Macroeconomics!$B$67:$R$380,Macroeconomics!$C$66,0)*$C$119</f>
        <v>7.8269986233305607E-3</v>
      </c>
      <c r="R119" s="170">
        <f>VLOOKUP(EOMONTH(R111,0),Macroeconomics!$B$67:$R$380,Macroeconomics!$C$66,0)*$C$119</f>
        <v>7.1062037559809881E-3</v>
      </c>
      <c r="S119" s="170">
        <f>VLOOKUP(EOMONTH(S111,0),Macroeconomics!$B$67:$R$380,Macroeconomics!$C$66,0)*$C$119</f>
        <v>7.1062037559812439E-3</v>
      </c>
      <c r="T119" s="170">
        <f>VLOOKUP(EOMONTH(T111,0),Macroeconomics!$B$67:$R$380,Macroeconomics!$C$66,0)*$C$119</f>
        <v>7.8269986233305607E-3</v>
      </c>
      <c r="U119" s="170">
        <f>VLOOKUP(EOMONTH(U111,0),Macroeconomics!$B$67:$R$380,Macroeconomics!$C$66,0)*$C$119</f>
        <v>6.385857582001375E-3</v>
      </c>
      <c r="V119" s="170">
        <f>VLOOKUP(EOMONTH(V111,0),Macroeconomics!$B$67:$R$380,Macroeconomics!$C$66,0)*$C$119</f>
        <v>7.1062037559812439E-3</v>
      </c>
      <c r="W119" s="170">
        <f>VLOOKUP(EOMONTH(W111,0),Macroeconomics!$B$67:$R$380,Macroeconomics!$C$66,0)*$C$119</f>
        <v>7.8269986233305607E-3</v>
      </c>
      <c r="X119" s="170">
        <f>VLOOKUP(EOMONTH(X111,0),Macroeconomics!$B$67:$R$380,Macroeconomics!$C$66,0)*$C$119</f>
        <v>7.466545085511E-3</v>
      </c>
      <c r="Y119" s="170">
        <f>VLOOKUP(EOMONTH(Y111,0),Macroeconomics!$B$67:$R$380,Macroeconomics!$C$66,0)*$C$119</f>
        <v>7.1062037559809881E-3</v>
      </c>
      <c r="Z119" s="170">
        <f>VLOOKUP(EOMONTH(Z111,0),Macroeconomics!$B$67:$R$380,Macroeconomics!$C$66,0)*$C$119</f>
        <v>8.1875644043949633E-3</v>
      </c>
      <c r="AA119" s="170">
        <f>VLOOKUP(EOMONTH(AA111,0),Macroeconomics!$B$67:$R$380,Macroeconomics!$C$66,0)*$C$119</f>
        <v>7.8269986233303057E-3</v>
      </c>
      <c r="AB119" s="170">
        <f>VLOOKUP(EOMONTH(AB111,0),Macroeconomics!$B$67:$R$380,Macroeconomics!$C$66,0)*$C$119</f>
        <v>7.6892666693559979E-3</v>
      </c>
      <c r="AC119" s="170">
        <f>VLOOKUP(EOMONTH(AC111,0),Macroeconomics!$B$67:$R$380,Macroeconomics!$C$66,0)*$C$119</f>
        <v>9.1500445261735609E-3</v>
      </c>
      <c r="AD119" s="170">
        <f>VLOOKUP(EOMONTH(AD111,0),Macroeconomics!$B$67:$R$380,Macroeconomics!$C$66,0)*$C$119</f>
        <v>8.1829508061702413E-3</v>
      </c>
      <c r="AE119" s="170">
        <f>VLOOKUP(EOMONTH(AE111,0),Macroeconomics!$B$67:$R$380,Macroeconomics!$C$66,0)*$C$119</f>
        <v>8.7958612572970989E-3</v>
      </c>
      <c r="AF119" s="170">
        <f>VLOOKUP(EOMONTH(AF111,0),Macroeconomics!$B$67:$R$380,Macroeconomics!$C$66,0)*$C$119</f>
        <v>9.2200872538427889E-3</v>
      </c>
      <c r="AG119" s="170">
        <f>VLOOKUP(EOMONTH(AG111,0),Macroeconomics!$B$67:$R$380,Macroeconomics!$C$66,0)*$C$119</f>
        <v>8.3717904990768255E-3</v>
      </c>
      <c r="AH119" s="170">
        <f>VLOOKUP(EOMONTH(AH111,0),Macroeconomics!$B$67:$R$380,Macroeconomics!$C$66,0)*$C$119</f>
        <v>7.9478749223566014E-3</v>
      </c>
      <c r="AI119" s="170">
        <f>VLOOKUP(EOMONTH(AI111,0),Macroeconomics!$B$67:$R$380,Macroeconomics!$C$66,0)*$C$119</f>
        <v>8.3717904990768255E-3</v>
      </c>
      <c r="AJ119" s="170">
        <f>VLOOKUP(EOMONTH(AJ111,0),Macroeconomics!$B$67:$R$380,Macroeconomics!$C$66,0)*$C$119</f>
        <v>8.7958612572970989E-3</v>
      </c>
      <c r="AK119" s="170">
        <f>VLOOKUP(EOMONTH(AK111,0),Macroeconomics!$B$67:$R$380,Macroeconomics!$C$66,0)*$C$119</f>
        <v>8.3717904990768255E-3</v>
      </c>
      <c r="AL119" s="170">
        <f>VLOOKUP(EOMONTH(AL111,0),Macroeconomics!$B$67:$R$380,Macroeconomics!$C$66,0)*$C$119</f>
        <v>9.6444685455556057E-3</v>
      </c>
      <c r="AM119" s="170">
        <f>VLOOKUP(EOMONTH(AM111,0),Macroeconomics!$B$67:$R$380,Macroeconomics!$C$66,0)*$C$119</f>
        <v>8.7958612572970989E-3</v>
      </c>
      <c r="AN119" s="170">
        <f>VLOOKUP(EOMONTH(AN111,0),Macroeconomics!$B$67:$R$380,Macroeconomics!$C$66,0)*$C$119</f>
        <v>9.2200872538427889E-3</v>
      </c>
      <c r="AO119" s="170">
        <f>VLOOKUP(EOMONTH(AO111,0),Macroeconomics!$B$67:$R$380,Macroeconomics!$C$66,0)*$C$119</f>
        <v>9.6444685455556057E-3</v>
      </c>
      <c r="AP119" s="170">
        <f>VLOOKUP(EOMONTH(AP111,0),Macroeconomics!$B$67:$R$380,Macroeconomics!$C$66,0)*$C$119</f>
        <v>8.3717904990768255E-3</v>
      </c>
      <c r="AQ119" s="170">
        <f>VLOOKUP(EOMONTH(AQ111,0),Macroeconomics!$B$67:$R$380,Macroeconomics!$C$66,0)*$C$119</f>
        <v>9.2200872538425339E-3</v>
      </c>
      <c r="AR119" s="170">
        <f>VLOOKUP(EOMONTH(AR111,0),Macroeconomics!$B$67:$R$380,Macroeconomics!$C$66,0)*$C$119</f>
        <v>8.7958612572970989E-3</v>
      </c>
      <c r="AS119" s="170">
        <f>VLOOKUP(EOMONTH(AS111,0),Macroeconomics!$B$67:$R$380,Macroeconomics!$C$66,0)*$C$119</f>
        <v>7.5241144703286798E-3</v>
      </c>
      <c r="AT119" s="170">
        <f>VLOOKUP(EOMONTH(AT111,0),Macroeconomics!$B$67:$R$380,Macroeconomics!$C$66,0)*$C$119</f>
        <v>9.2200872538427889E-3</v>
      </c>
      <c r="AU119" s="170">
        <f>VLOOKUP(EOMONTH(AU111,0),Macroeconomics!$B$67:$R$380,Macroeconomics!$C$66,0)*$C$119</f>
        <v>8.3717904990768255E-3</v>
      </c>
      <c r="AV119" s="170">
        <f>VLOOKUP(EOMONTH(AV111,0),Macroeconomics!$B$67:$R$380,Macroeconomics!$C$66,0)*$C$119</f>
        <v>8.3717904990770805E-3</v>
      </c>
      <c r="AW119" s="170">
        <f>VLOOKUP(EOMONTH(AW111,0),Macroeconomics!$B$67:$R$380,Macroeconomics!$C$66,0)*$C$119</f>
        <v>8.7958612572970989E-3</v>
      </c>
      <c r="AX119" s="170">
        <f>VLOOKUP(EOMONTH(AX111,0),Macroeconomics!$B$67:$R$380,Macroeconomics!$C$66,0)*$C$119</f>
        <v>9.6444685455556057E-3</v>
      </c>
      <c r="AY119" s="170">
        <f>VLOOKUP(EOMONTH(AY111,0),Macroeconomics!$B$67:$R$380,Macroeconomics!$C$66,0)*$C$119</f>
        <v>8.7958612572970989E-3</v>
      </c>
      <c r="AZ119" s="170">
        <f>VLOOKUP(EOMONTH(AZ111,0),Macroeconomics!$B$67:$R$380,Macroeconomics!$C$66,0)*$C$119</f>
        <v>8.7958612572970989E-3</v>
      </c>
      <c r="BA119" s="170">
        <f>VLOOKUP(EOMONTH(BA111,0),Macroeconomics!$B$67:$R$380,Macroeconomics!$C$66,0)*$C$119</f>
        <v>8.7958612572970989E-3</v>
      </c>
      <c r="BB119" s="170">
        <f>VLOOKUP(EOMONTH(BB111,0),Macroeconomics!$B$67:$R$380,Macroeconomics!$C$66,0)*$C$119</f>
        <v>8.3717904990768255E-3</v>
      </c>
      <c r="BC119" s="170">
        <f>VLOOKUP(EOMONTH(BC111,0),Macroeconomics!$B$67:$R$380,Macroeconomics!$C$66,0)*$C$119</f>
        <v>9.2200872538425339E-3</v>
      </c>
      <c r="BD119" s="170">
        <f>VLOOKUP(EOMONTH(BD111,0),Macroeconomics!$B$67:$R$380,Macroeconomics!$C$66,0)*$C$119</f>
        <v>8.8800696976899848E-3</v>
      </c>
      <c r="BE119" s="170">
        <f>VLOOKUP(EOMONTH(BE111,0),Macroeconomics!$B$67:$R$380,Macroeconomics!$C$66,0)*$C$119</f>
        <v>8.8800696976899848E-3</v>
      </c>
      <c r="BF119" s="170">
        <f>VLOOKUP(EOMONTH(BF111,0),Macroeconomics!$B$67:$R$380,Macroeconomics!$C$66,0)*$C$119</f>
        <v>8.8800696976899848E-3</v>
      </c>
      <c r="BG119" s="170">
        <f>VLOOKUP(EOMONTH(BG111,0),Macroeconomics!$B$67:$R$380,Macroeconomics!$C$66,0)*$C$119</f>
        <v>8.8800696976899848E-3</v>
      </c>
      <c r="BH119" s="170">
        <f>VLOOKUP(EOMONTH(BH111,0),Macroeconomics!$B$67:$R$380,Macroeconomics!$C$66,0)*$C$119</f>
        <v>8.8800696976899848E-3</v>
      </c>
      <c r="BI119" s="170">
        <f>VLOOKUP(EOMONTH(BI111,0),Macroeconomics!$B$67:$R$380,Macroeconomics!$C$66,0)*$C$119</f>
        <v>8.8800696976899848E-3</v>
      </c>
      <c r="BJ119" s="170">
        <f>VLOOKUP(EOMONTH(BJ111,0),Macroeconomics!$B$67:$R$380,Macroeconomics!$C$66,0)*$C$119</f>
        <v>8.8800696976899848E-3</v>
      </c>
      <c r="BK119" s="170">
        <f>VLOOKUP(EOMONTH(BK111,0),Macroeconomics!$B$67:$R$380,Macroeconomics!$C$66,0)*$C$119</f>
        <v>8.8800696976899848E-3</v>
      </c>
      <c r="BL119" s="170">
        <f>VLOOKUP(EOMONTH(BL111,0),Macroeconomics!$B$67:$R$380,Macroeconomics!$C$66,0)*$C$119</f>
        <v>8.8800696976899848E-3</v>
      </c>
      <c r="BM119" s="170">
        <f>VLOOKUP(EOMONTH(BM111,0),Macroeconomics!$B$67:$R$380,Macroeconomics!$C$66,0)*$C$119</f>
        <v>8.8800696976899848E-3</v>
      </c>
      <c r="BN119" s="170">
        <f>VLOOKUP(EOMONTH(BN111,0),Macroeconomics!$B$67:$R$380,Macroeconomics!$C$66,0)*$C$119</f>
        <v>8.8800696976899848E-3</v>
      </c>
      <c r="BO119" s="170">
        <f>VLOOKUP(EOMONTH(BO111,0),Macroeconomics!$B$67:$R$380,Macroeconomics!$C$66,0)*$C$119</f>
        <v>8.8800696976899848E-3</v>
      </c>
      <c r="BP119" s="170">
        <f>VLOOKUP(EOMONTH(BP111,0),Macroeconomics!$B$67:$R$380,Macroeconomics!$C$66,0)*$C$119</f>
        <v>8.8800696976899848E-3</v>
      </c>
      <c r="BQ119" s="170">
        <f>VLOOKUP(EOMONTH(BQ111,0),Macroeconomics!$B$67:$R$380,Macroeconomics!$C$66,0)*$C$119</f>
        <v>8.8800696976899848E-3</v>
      </c>
      <c r="BR119" s="170">
        <f>VLOOKUP(EOMONTH(BR111,0),Macroeconomics!$B$67:$R$380,Macroeconomics!$C$66,0)*$C$119</f>
        <v>8.8800696976899848E-3</v>
      </c>
      <c r="BS119" s="170">
        <f>VLOOKUP(EOMONTH(BS111,0),Macroeconomics!$B$67:$R$380,Macroeconomics!$C$66,0)*$C$119</f>
        <v>8.8800696976899848E-3</v>
      </c>
      <c r="BT119" s="170">
        <f>VLOOKUP(EOMONTH(BT111,0),Macroeconomics!$B$67:$R$380,Macroeconomics!$C$66,0)*$C$119</f>
        <v>8.8800696976899848E-3</v>
      </c>
      <c r="BU119" s="170">
        <f>VLOOKUP(EOMONTH(BU111,0),Macroeconomics!$B$67:$R$380,Macroeconomics!$C$66,0)*$C$119</f>
        <v>8.8800696976899848E-3</v>
      </c>
      <c r="BV119" s="170">
        <f>VLOOKUP(EOMONTH(BV111,0),Macroeconomics!$B$67:$R$380,Macroeconomics!$C$66,0)*$C$119</f>
        <v>8.8800696976899848E-3</v>
      </c>
      <c r="BW119" s="170">
        <f>VLOOKUP(EOMONTH(BW111,0),Macroeconomics!$B$67:$R$380,Macroeconomics!$C$66,0)*$C$119</f>
        <v>8.8800696976899848E-3</v>
      </c>
      <c r="BX119" s="170">
        <f>VLOOKUP(EOMONTH(BX111,0),Macroeconomics!$B$67:$R$380,Macroeconomics!$C$66,0)*$C$119</f>
        <v>8.8800696976899848E-3</v>
      </c>
      <c r="BY119" s="170">
        <f>VLOOKUP(EOMONTH(BY111,0),Macroeconomics!$B$67:$R$380,Macroeconomics!$C$66,0)*$C$119</f>
        <v>8.8800696976899848E-3</v>
      </c>
      <c r="BZ119" s="170">
        <f>VLOOKUP(EOMONTH(BZ111,0),Macroeconomics!$B$67:$R$380,Macroeconomics!$C$66,0)*$C$119</f>
        <v>8.8800696976899848E-3</v>
      </c>
      <c r="CA119" s="170">
        <f>VLOOKUP(EOMONTH(CA111,0),Macroeconomics!$B$67:$R$380,Macroeconomics!$C$66,0)*$C$119</f>
        <v>8.8800696976899848E-3</v>
      </c>
      <c r="CB119" s="170">
        <f>VLOOKUP(EOMONTH(CB111,0),Macroeconomics!$B$67:$R$380,Macroeconomics!$C$66,0)*$C$119</f>
        <v>8.6685179397594115E-3</v>
      </c>
      <c r="CC119" s="170">
        <f>VLOOKUP(EOMONTH(CC111,0),Macroeconomics!$B$67:$R$380,Macroeconomics!$C$66,0)*$C$119</f>
        <v>8.6685179397594115E-3</v>
      </c>
      <c r="CD119" s="170">
        <f>VLOOKUP(EOMONTH(CD111,0),Macroeconomics!$B$67:$R$380,Macroeconomics!$C$66,0)*$C$119</f>
        <v>8.6685179397594115E-3</v>
      </c>
      <c r="CE119" s="170">
        <f>VLOOKUP(EOMONTH(CE111,0),Macroeconomics!$B$67:$R$380,Macroeconomics!$C$66,0)*$C$119</f>
        <v>8.6685179397594115E-3</v>
      </c>
      <c r="CF119" s="170">
        <f>VLOOKUP(EOMONTH(CF111,0),Macroeconomics!$B$67:$R$380,Macroeconomics!$C$66,0)*$C$119</f>
        <v>8.6685179397594115E-3</v>
      </c>
      <c r="CG119" s="170">
        <f>VLOOKUP(EOMONTH(CG111,0),Macroeconomics!$B$67:$R$380,Macroeconomics!$C$66,0)*$C$119</f>
        <v>8.6685179397594115E-3</v>
      </c>
      <c r="CH119" s="170">
        <f>VLOOKUP(EOMONTH(CH111,0),Macroeconomics!$B$67:$R$380,Macroeconomics!$C$66,0)*$C$119</f>
        <v>8.6685179397594115E-3</v>
      </c>
      <c r="CI119" s="170">
        <f>VLOOKUP(EOMONTH(CI111,0),Macroeconomics!$B$67:$R$380,Macroeconomics!$C$66,0)*$C$119</f>
        <v>8.6685179397594115E-3</v>
      </c>
      <c r="CJ119" s="170">
        <f>VLOOKUP(EOMONTH(CJ111,0),Macroeconomics!$B$67:$R$380,Macroeconomics!$C$66,0)*$C$119</f>
        <v>8.6685179397594115E-3</v>
      </c>
      <c r="CK119" s="170">
        <f>VLOOKUP(EOMONTH(CK111,0),Macroeconomics!$B$67:$R$380,Macroeconomics!$C$66,0)*$C$119</f>
        <v>8.6685179397594115E-3</v>
      </c>
      <c r="CL119" s="170">
        <f>VLOOKUP(EOMONTH(CL111,0),Macroeconomics!$B$67:$R$380,Macroeconomics!$C$66,0)*$C$119</f>
        <v>8.6685179397594115E-3</v>
      </c>
      <c r="CM119" s="170">
        <f>VLOOKUP(EOMONTH(CM111,0),Macroeconomics!$B$67:$R$380,Macroeconomics!$C$66,0)*$C$119</f>
        <v>8.6685179397594115E-3</v>
      </c>
      <c r="CN119" s="170">
        <f>VLOOKUP(EOMONTH(CN111,0),Macroeconomics!$B$67:$R$380,Macroeconomics!$C$66,0)*$C$119</f>
        <v>8.6596940565304079E-3</v>
      </c>
      <c r="CO119" s="170">
        <f>VLOOKUP(EOMONTH(CO111,0),Macroeconomics!$B$67:$R$380,Macroeconomics!$C$66,0)*$C$119</f>
        <v>8.6596940565304079E-3</v>
      </c>
      <c r="CP119" s="170">
        <f>VLOOKUP(EOMONTH(CP111,0),Macroeconomics!$B$67:$R$380,Macroeconomics!$C$66,0)*$C$119</f>
        <v>8.6596940565304079E-3</v>
      </c>
      <c r="CQ119" s="170">
        <f>VLOOKUP(EOMONTH(CQ111,0),Macroeconomics!$B$67:$R$380,Macroeconomics!$C$66,0)*$C$119</f>
        <v>8.6596940565304079E-3</v>
      </c>
      <c r="CR119" s="170">
        <f>VLOOKUP(EOMONTH(CR111,0),Macroeconomics!$B$67:$R$380,Macroeconomics!$C$66,0)*$C$119</f>
        <v>8.6596940565304079E-3</v>
      </c>
      <c r="CS119" s="170">
        <f>VLOOKUP(EOMONTH(CS111,0),Macroeconomics!$B$67:$R$380,Macroeconomics!$C$66,0)*$C$119</f>
        <v>8.6596940565304079E-3</v>
      </c>
      <c r="CT119" s="170">
        <f>VLOOKUP(EOMONTH(CT111,0),Macroeconomics!$B$67:$R$380,Macroeconomics!$C$66,0)*$C$119</f>
        <v>8.6596940565304079E-3</v>
      </c>
      <c r="CU119" s="170">
        <f>VLOOKUP(EOMONTH(CU111,0),Macroeconomics!$B$67:$R$380,Macroeconomics!$C$66,0)*$C$119</f>
        <v>8.6596940565304079E-3</v>
      </c>
      <c r="CV119" s="170">
        <f>VLOOKUP(EOMONTH(CV111,0),Macroeconomics!$B$67:$R$380,Macroeconomics!$C$66,0)*$C$119</f>
        <v>8.6596940565304079E-3</v>
      </c>
      <c r="CW119" s="170">
        <f>VLOOKUP(EOMONTH(CW111,0),Macroeconomics!$B$67:$R$380,Macroeconomics!$C$66,0)*$C$119</f>
        <v>8.6596940565304079E-3</v>
      </c>
      <c r="CX119" s="170">
        <f>VLOOKUP(EOMONTH(CX111,0),Macroeconomics!$B$67:$R$380,Macroeconomics!$C$66,0)*$C$119</f>
        <v>8.6596940565304079E-3</v>
      </c>
      <c r="CY119" s="170">
        <f>VLOOKUP(EOMONTH(CY111,0),Macroeconomics!$B$67:$R$380,Macroeconomics!$C$66,0)*$C$119</f>
        <v>8.6596940565304079E-3</v>
      </c>
      <c r="CZ119" s="170">
        <f>VLOOKUP(EOMONTH(CZ111,0),Macroeconomics!$B$67:$R$380,Macroeconomics!$C$66,0)*$C$119</f>
        <v>8.6596940565304079E-3</v>
      </c>
      <c r="DA119" s="170">
        <f>VLOOKUP(EOMONTH(DA111,0),Macroeconomics!$B$67:$R$380,Macroeconomics!$C$66,0)*$C$119</f>
        <v>8.6596940565304079E-3</v>
      </c>
      <c r="DB119" s="170">
        <f>VLOOKUP(EOMONTH(DB111,0),Macroeconomics!$B$67:$R$380,Macroeconomics!$C$66,0)*$C$119</f>
        <v>8.6596940565304079E-3</v>
      </c>
      <c r="DC119" s="170">
        <f>VLOOKUP(EOMONTH(DC111,0),Macroeconomics!$B$67:$R$380,Macroeconomics!$C$66,0)*$C$119</f>
        <v>8.6596940565304079E-3</v>
      </c>
      <c r="DD119" s="170">
        <f>VLOOKUP(EOMONTH(DD111,0),Macroeconomics!$B$67:$R$380,Macroeconomics!$C$66,0)*$C$119</f>
        <v>8.6596940565304079E-3</v>
      </c>
      <c r="DE119" s="170">
        <f>VLOOKUP(EOMONTH(DE111,0),Macroeconomics!$B$67:$R$380,Macroeconomics!$C$66,0)*$C$119</f>
        <v>8.6596940565304079E-3</v>
      </c>
      <c r="DF119" s="170">
        <f>VLOOKUP(EOMONTH(DF111,0),Macroeconomics!$B$67:$R$380,Macroeconomics!$C$66,0)*$C$119</f>
        <v>8.6596940565304079E-3</v>
      </c>
      <c r="DG119" s="170">
        <f>VLOOKUP(EOMONTH(DG111,0),Macroeconomics!$B$67:$R$380,Macroeconomics!$C$66,0)*$C$119</f>
        <v>8.6596940565304079E-3</v>
      </c>
      <c r="DH119" s="170">
        <f>VLOOKUP(EOMONTH(DH111,0),Macroeconomics!$B$67:$R$380,Macroeconomics!$C$66,0)*$C$119</f>
        <v>8.6596940565304079E-3</v>
      </c>
      <c r="DI119" s="170">
        <f>VLOOKUP(EOMONTH(DI111,0),Macroeconomics!$B$67:$R$380,Macroeconomics!$C$66,0)*$C$119</f>
        <v>8.6596940565304079E-3</v>
      </c>
      <c r="DJ119" s="170">
        <f>VLOOKUP(EOMONTH(DJ111,0),Macroeconomics!$B$67:$R$380,Macroeconomics!$C$66,0)*$C$119</f>
        <v>8.6596940565304079E-3</v>
      </c>
      <c r="DK119" s="170">
        <f>VLOOKUP(EOMONTH(DK111,0),Macroeconomics!$B$67:$R$380,Macroeconomics!$C$66,0)*$C$119</f>
        <v>8.6596940565304079E-3</v>
      </c>
      <c r="DL119" s="170">
        <f>VLOOKUP(EOMONTH(DL111,0),Macroeconomics!$B$67:$R$380,Macroeconomics!$C$66,0)*$C$119</f>
        <v>8.6596940565304079E-3</v>
      </c>
      <c r="DM119" s="170">
        <f>VLOOKUP(EOMONTH(DM111,0),Macroeconomics!$B$67:$R$380,Macroeconomics!$C$66,0)*$C$119</f>
        <v>8.6596940565304079E-3</v>
      </c>
      <c r="DN119" s="170">
        <f>VLOOKUP(EOMONTH(DN111,0),Macroeconomics!$B$67:$R$380,Macroeconomics!$C$66,0)*$C$119</f>
        <v>8.6596940565304079E-3</v>
      </c>
      <c r="DO119" s="170">
        <f>VLOOKUP(EOMONTH(DO111,0),Macroeconomics!$B$67:$R$380,Macroeconomics!$C$66,0)*$C$119</f>
        <v>8.6596940565304079E-3</v>
      </c>
      <c r="DP119" s="170">
        <f>VLOOKUP(EOMONTH(DP111,0),Macroeconomics!$B$67:$R$380,Macroeconomics!$C$66,0)*$C$119</f>
        <v>8.6596940565304079E-3</v>
      </c>
      <c r="DQ119" s="170">
        <f>VLOOKUP(EOMONTH(DQ111,0),Macroeconomics!$B$67:$R$380,Macroeconomics!$C$66,0)*$C$119</f>
        <v>8.6596940565304079E-3</v>
      </c>
      <c r="DR119" s="170">
        <f>VLOOKUP(EOMONTH(DR111,0),Macroeconomics!$B$67:$R$380,Macroeconomics!$C$66,0)*$C$119</f>
        <v>8.6596940565304079E-3</v>
      </c>
      <c r="DS119" s="170">
        <f>VLOOKUP(EOMONTH(DS111,0),Macroeconomics!$B$67:$R$380,Macroeconomics!$C$66,0)*$C$119</f>
        <v>8.6596940565304079E-3</v>
      </c>
      <c r="DT119" s="170">
        <f>VLOOKUP(EOMONTH(DT111,0),Macroeconomics!$B$67:$R$380,Macroeconomics!$C$66,0)*$C$119</f>
        <v>8.6596940565304079E-3</v>
      </c>
      <c r="DU119" s="170">
        <f>VLOOKUP(EOMONTH(DU111,0),Macroeconomics!$B$67:$R$380,Macroeconomics!$C$66,0)*$C$119</f>
        <v>8.6596940565304079E-3</v>
      </c>
      <c r="DV119" s="170">
        <f>VLOOKUP(EOMONTH(DV111,0),Macroeconomics!$B$67:$R$380,Macroeconomics!$C$66,0)*$C$119</f>
        <v>8.6596940565304079E-3</v>
      </c>
      <c r="DW119" s="170">
        <f>VLOOKUP(EOMONTH(DW111,0),Macroeconomics!$B$67:$R$380,Macroeconomics!$C$66,0)*$C$119</f>
        <v>8.6596940565304079E-3</v>
      </c>
      <c r="DX119" s="170">
        <f>VLOOKUP(EOMONTH(DX111,0),Macroeconomics!$B$67:$R$380,Macroeconomics!$C$66,0)*$C$119</f>
        <v>8.4476987850418891E-3</v>
      </c>
      <c r="DY119" s="170">
        <f>VLOOKUP(EOMONTH(DY111,0),Macroeconomics!$B$67:$R$380,Macroeconomics!$C$66,0)*$C$119</f>
        <v>8.4476987850418891E-3</v>
      </c>
      <c r="DZ119" s="170">
        <f>VLOOKUP(EOMONTH(DZ111,0),Macroeconomics!$B$67:$R$380,Macroeconomics!$C$66,0)*$C$119</f>
        <v>8.4476987850418891E-3</v>
      </c>
      <c r="EA119" s="170">
        <f>VLOOKUP(EOMONTH(EA111,0),Macroeconomics!$B$67:$R$380,Macroeconomics!$C$66,0)*$C$119</f>
        <v>8.4476987850418891E-3</v>
      </c>
      <c r="EB119" s="170">
        <f>VLOOKUP(EOMONTH(EB111,0),Macroeconomics!$B$67:$R$380,Macroeconomics!$C$66,0)*$C$119</f>
        <v>8.4476987850418891E-3</v>
      </c>
      <c r="EC119" s="170">
        <f>VLOOKUP(EOMONTH(EC111,0),Macroeconomics!$B$67:$R$380,Macroeconomics!$C$66,0)*$C$119</f>
        <v>8.4476987850418891E-3</v>
      </c>
      <c r="ED119" s="170">
        <f>VLOOKUP(EOMONTH(ED111,0),Macroeconomics!$B$67:$R$380,Macroeconomics!$C$66,0)*$C$119</f>
        <v>8.4476987850418891E-3</v>
      </c>
      <c r="EE119" s="170">
        <f>VLOOKUP(EOMONTH(EE111,0),Macroeconomics!$B$67:$R$380,Macroeconomics!$C$66,0)*$C$119</f>
        <v>8.4476987850418891E-3</v>
      </c>
      <c r="EF119" s="170">
        <f>VLOOKUP(EOMONTH(EF111,0),Macroeconomics!$B$67:$R$380,Macroeconomics!$C$66,0)*$C$119</f>
        <v>8.4476987850418891E-3</v>
      </c>
      <c r="EG119" s="170">
        <f>VLOOKUP(EOMONTH(EG111,0),Macroeconomics!$B$67:$R$380,Macroeconomics!$C$66,0)*$C$119</f>
        <v>8.4476987850418891E-3</v>
      </c>
      <c r="EH119" s="170">
        <f>VLOOKUP(EOMONTH(EH111,0),Macroeconomics!$B$67:$R$380,Macroeconomics!$C$66,0)*$C$119</f>
        <v>8.4476987850418891E-3</v>
      </c>
      <c r="EI119" s="170">
        <f>VLOOKUP(EOMONTH(EI111,0),Macroeconomics!$B$67:$R$380,Macroeconomics!$C$66,0)*$C$119</f>
        <v>8.4476987850418891E-3</v>
      </c>
      <c r="EJ119" s="170">
        <f>VLOOKUP(EOMONTH(EJ111,0),Macroeconomics!$B$67:$R$380,Macroeconomics!$C$66,0)*$C$119</f>
        <v>8.4476987850418891E-3</v>
      </c>
      <c r="EK119" s="170">
        <f>VLOOKUP(EOMONTH(EK111,0),Macroeconomics!$B$67:$R$380,Macroeconomics!$C$66,0)*$C$119</f>
        <v>8.4476987850418891E-3</v>
      </c>
      <c r="EL119" s="170">
        <f>VLOOKUP(EOMONTH(EL111,0),Macroeconomics!$B$67:$R$380,Macroeconomics!$C$66,0)*$C$119</f>
        <v>8.4476987850418891E-3</v>
      </c>
      <c r="EM119" s="170">
        <f>VLOOKUP(EOMONTH(EM111,0),Macroeconomics!$B$67:$R$380,Macroeconomics!$C$66,0)*$C$119</f>
        <v>8.4476987850418891E-3</v>
      </c>
      <c r="EN119" s="170">
        <f>VLOOKUP(EOMONTH(EN111,0),Macroeconomics!$B$67:$R$380,Macroeconomics!$C$66,0)*$C$119</f>
        <v>8.4476987850418891E-3</v>
      </c>
      <c r="EO119" s="170">
        <f>VLOOKUP(EOMONTH(EO111,0),Macroeconomics!$B$67:$R$380,Macroeconomics!$C$66,0)*$C$119</f>
        <v>8.4476987850418891E-3</v>
      </c>
      <c r="EP119" s="170">
        <f>VLOOKUP(EOMONTH(EP111,0),Macroeconomics!$B$67:$R$380,Macroeconomics!$C$66,0)*$C$119</f>
        <v>8.4476987850418891E-3</v>
      </c>
      <c r="EQ119" s="170">
        <f>VLOOKUP(EOMONTH(EQ111,0),Macroeconomics!$B$67:$R$380,Macroeconomics!$C$66,0)*$C$119</f>
        <v>8.4476987850418891E-3</v>
      </c>
      <c r="ER119" s="170">
        <f>VLOOKUP(EOMONTH(ER111,0),Macroeconomics!$B$67:$R$380,Macroeconomics!$C$66,0)*$C$119</f>
        <v>8.4476987850418891E-3</v>
      </c>
      <c r="ES119" s="170">
        <f>VLOOKUP(EOMONTH(ES111,0),Macroeconomics!$B$67:$R$380,Macroeconomics!$C$66,0)*$C$119</f>
        <v>8.4476987850418891E-3</v>
      </c>
      <c r="ET119" s="170">
        <f>VLOOKUP(EOMONTH(ET111,0),Macroeconomics!$B$67:$R$380,Macroeconomics!$C$66,0)*$C$119</f>
        <v>8.4476987850418891E-3</v>
      </c>
      <c r="EU119" s="170">
        <f>VLOOKUP(EOMONTH(EU111,0),Macroeconomics!$B$67:$R$380,Macroeconomics!$C$66,0)*$C$119</f>
        <v>8.4476987850418891E-3</v>
      </c>
      <c r="EV119" s="170">
        <f>VLOOKUP(EOMONTH(EV111,0),Macroeconomics!$B$67:$R$380,Macroeconomics!$C$66,0)*$C$119</f>
        <v>8.4476987850418891E-3</v>
      </c>
      <c r="EW119" s="170">
        <f>VLOOKUP(EOMONTH(EW111,0),Macroeconomics!$B$67:$R$380,Macroeconomics!$C$66,0)*$C$119</f>
        <v>8.4476987850418891E-3</v>
      </c>
      <c r="EX119" s="170">
        <f>VLOOKUP(EOMONTH(EX111,0),Macroeconomics!$B$67:$R$380,Macroeconomics!$C$66,0)*$C$119</f>
        <v>8.4476987850418891E-3</v>
      </c>
      <c r="EY119" s="170">
        <f>VLOOKUP(EOMONTH(EY111,0),Macroeconomics!$B$67:$R$380,Macroeconomics!$C$66,0)*$C$119</f>
        <v>8.4476987850418891E-3</v>
      </c>
      <c r="EZ119" s="170">
        <f>VLOOKUP(EOMONTH(EZ111,0),Macroeconomics!$B$67:$R$380,Macroeconomics!$C$66,0)*$C$119</f>
        <v>8.4476987850418891E-3</v>
      </c>
      <c r="FA119" s="170">
        <f>VLOOKUP(EOMONTH(FA111,0),Macroeconomics!$B$67:$R$380,Macroeconomics!$C$66,0)*$C$119</f>
        <v>8.4476987850418891E-3</v>
      </c>
      <c r="FB119" s="170">
        <f>VLOOKUP(EOMONTH(FB111,0),Macroeconomics!$B$67:$R$380,Macroeconomics!$C$66,0)*$C$119</f>
        <v>8.4476987850418891E-3</v>
      </c>
      <c r="FC119" s="170">
        <f>VLOOKUP(EOMONTH(FC111,0),Macroeconomics!$B$67:$R$380,Macroeconomics!$C$66,0)*$C$119</f>
        <v>8.4476987850418891E-3</v>
      </c>
      <c r="FD119" s="170">
        <f>VLOOKUP(EOMONTH(FD111,0),Macroeconomics!$B$67:$R$380,Macroeconomics!$C$66,0)*$C$119</f>
        <v>8.4476987850418891E-3</v>
      </c>
      <c r="FE119" s="170">
        <f>VLOOKUP(EOMONTH(FE111,0),Macroeconomics!$B$67:$R$380,Macroeconomics!$C$66,0)*$C$119</f>
        <v>8.4476987850418891E-3</v>
      </c>
      <c r="FF119" s="170">
        <f>VLOOKUP(EOMONTH(FF111,0),Macroeconomics!$B$67:$R$380,Macroeconomics!$C$66,0)*$C$119</f>
        <v>8.4476987850418891E-3</v>
      </c>
      <c r="FG119" s="170">
        <f>VLOOKUP(EOMONTH(FG111,0),Macroeconomics!$B$67:$R$380,Macroeconomics!$C$66,0)*$C$119</f>
        <v>8.4476987850418891E-3</v>
      </c>
      <c r="FH119" s="170">
        <f>VLOOKUP(EOMONTH(FH111,0),Macroeconomics!$B$67:$R$380,Macroeconomics!$C$66,0)*$C$119</f>
        <v>8.4476987850418891E-3</v>
      </c>
      <c r="FI119" s="170">
        <f>VLOOKUP(EOMONTH(FI111,0),Macroeconomics!$B$67:$R$380,Macroeconomics!$C$66,0)*$C$119</f>
        <v>8.4476987850418891E-3</v>
      </c>
      <c r="FJ119" s="170">
        <f>VLOOKUP(EOMONTH(FJ111,0),Macroeconomics!$B$67:$R$380,Macroeconomics!$C$66,0)*$C$119</f>
        <v>8.4476987850418891E-3</v>
      </c>
      <c r="FK119" s="170">
        <f>VLOOKUP(EOMONTH(FK111,0),Macroeconomics!$B$67:$R$380,Macroeconomics!$C$66,0)*$C$119</f>
        <v>8.4476987850418891E-3</v>
      </c>
      <c r="FL119" s="170">
        <f>VLOOKUP(EOMONTH(FL111,0),Macroeconomics!$B$67:$R$380,Macroeconomics!$C$66,0)*$C$119</f>
        <v>8.4476987850418891E-3</v>
      </c>
      <c r="FM119" s="170">
        <f>VLOOKUP(EOMONTH(FM111,0),Macroeconomics!$B$67:$R$380,Macroeconomics!$C$66,0)*$C$119</f>
        <v>8.4476987850418891E-3</v>
      </c>
      <c r="FN119" s="170">
        <f>VLOOKUP(EOMONTH(FN111,0),Macroeconomics!$B$67:$R$380,Macroeconomics!$C$66,0)*$C$119</f>
        <v>8.4476987850418891E-3</v>
      </c>
      <c r="FO119" s="170">
        <f>VLOOKUP(EOMONTH(FO111,0),Macroeconomics!$B$67:$R$380,Macroeconomics!$C$66,0)*$C$119</f>
        <v>8.4476987850418891E-3</v>
      </c>
      <c r="FP119" s="170">
        <f>VLOOKUP(EOMONTH(FP111,0),Macroeconomics!$B$67:$R$380,Macroeconomics!$C$66,0)*$C$119</f>
        <v>8.4476987850418891E-3</v>
      </c>
      <c r="FQ119" s="170">
        <f>VLOOKUP(EOMONTH(FQ111,0),Macroeconomics!$B$67:$R$380,Macroeconomics!$C$66,0)*$C$119</f>
        <v>8.4476987850418891E-3</v>
      </c>
      <c r="FR119" s="170">
        <f>VLOOKUP(EOMONTH(FR111,0),Macroeconomics!$B$67:$R$380,Macroeconomics!$C$66,0)*$C$119</f>
        <v>8.4476987850418891E-3</v>
      </c>
      <c r="FS119" s="170">
        <f>VLOOKUP(EOMONTH(FS111,0),Macroeconomics!$B$67:$R$380,Macroeconomics!$C$66,0)*$C$119</f>
        <v>8.4476987850418891E-3</v>
      </c>
      <c r="FT119" s="170">
        <f>VLOOKUP(EOMONTH(FT111,0),Macroeconomics!$B$67:$R$380,Macroeconomics!$C$66,0)*$C$119</f>
        <v>8.4476987850418891E-3</v>
      </c>
      <c r="FU119" s="170">
        <f>VLOOKUP(EOMONTH(FU111,0),Macroeconomics!$B$67:$R$380,Macroeconomics!$C$66,0)*$C$119</f>
        <v>8.4476987850418891E-3</v>
      </c>
      <c r="FV119" s="170">
        <f>VLOOKUP(EOMONTH(FV111,0),Macroeconomics!$B$67:$R$380,Macroeconomics!$C$66,0)*$C$119</f>
        <v>8.4476987850418891E-3</v>
      </c>
      <c r="FW119" s="170">
        <f>VLOOKUP(EOMONTH(FW111,0),Macroeconomics!$B$67:$R$380,Macroeconomics!$C$66,0)*$C$119</f>
        <v>8.4476987850418891E-3</v>
      </c>
      <c r="FX119" s="170">
        <f>VLOOKUP(EOMONTH(FX111,0),Macroeconomics!$B$67:$R$380,Macroeconomics!$C$66,0)*$C$119</f>
        <v>8.4476987850418891E-3</v>
      </c>
      <c r="FY119" s="170">
        <f>VLOOKUP(EOMONTH(FY111,0),Macroeconomics!$B$67:$R$380,Macroeconomics!$C$66,0)*$C$119</f>
        <v>8.4476987850418891E-3</v>
      </c>
      <c r="FZ119" s="170">
        <f>VLOOKUP(EOMONTH(FZ111,0),Macroeconomics!$B$67:$R$380,Macroeconomics!$C$66,0)*$C$119</f>
        <v>8.4476987850418891E-3</v>
      </c>
      <c r="GA119" s="170">
        <f>VLOOKUP(EOMONTH(GA111,0),Macroeconomics!$B$67:$R$380,Macroeconomics!$C$66,0)*$C$119</f>
        <v>8.4476987850418891E-3</v>
      </c>
      <c r="GB119" s="170">
        <f>VLOOKUP(EOMONTH(GB111,0),Macroeconomics!$B$67:$R$380,Macroeconomics!$C$66,0)*$C$119</f>
        <v>8.4476987850418891E-3</v>
      </c>
      <c r="GC119" s="170">
        <f>VLOOKUP(EOMONTH(GC111,0),Macroeconomics!$B$67:$R$380,Macroeconomics!$C$66,0)*$C$119</f>
        <v>8.4476987850418891E-3</v>
      </c>
      <c r="GD119" s="170">
        <f>VLOOKUP(EOMONTH(GD111,0),Macroeconomics!$B$67:$R$380,Macroeconomics!$C$66,0)*$C$119</f>
        <v>8.4476987850418891E-3</v>
      </c>
      <c r="GE119" s="170">
        <f>VLOOKUP(EOMONTH(GE111,0),Macroeconomics!$B$67:$R$380,Macroeconomics!$C$66,0)*$C$119</f>
        <v>8.4476987850418891E-3</v>
      </c>
      <c r="GF119" s="170">
        <f>VLOOKUP(EOMONTH(GF111,0),Macroeconomics!$B$67:$R$380,Macroeconomics!$C$66,0)*$C$119</f>
        <v>8.2264156479074247E-3</v>
      </c>
      <c r="GG119" s="170">
        <f>VLOOKUP(EOMONTH(GG111,0),Macroeconomics!$B$67:$R$380,Macroeconomics!$C$66,0)*$C$119</f>
        <v>8.2264156479074247E-3</v>
      </c>
      <c r="GH119" s="170">
        <f>VLOOKUP(EOMONTH(GH111,0),Macroeconomics!$B$67:$R$380,Macroeconomics!$C$66,0)*$C$119</f>
        <v>8.2264156479074247E-3</v>
      </c>
      <c r="GI119" s="170">
        <f>VLOOKUP(EOMONTH(GI111,0),Macroeconomics!$B$67:$R$380,Macroeconomics!$C$66,0)*$C$119</f>
        <v>8.2264156479074247E-3</v>
      </c>
      <c r="GJ119" s="170">
        <f>VLOOKUP(EOMONTH(GJ111,0),Macroeconomics!$B$67:$R$380,Macroeconomics!$C$66,0)*$C$119</f>
        <v>8.2264156479074247E-3</v>
      </c>
      <c r="GK119" s="170">
        <f>VLOOKUP(EOMONTH(GK111,0),Macroeconomics!$B$67:$R$380,Macroeconomics!$C$66,0)*$C$119</f>
        <v>8.2264156479074247E-3</v>
      </c>
      <c r="GL119" s="170">
        <f>VLOOKUP(EOMONTH(GL111,0),Macroeconomics!$B$67:$R$380,Macroeconomics!$C$66,0)*$C$119</f>
        <v>8.2264156479074247E-3</v>
      </c>
      <c r="GM119" s="170">
        <f>VLOOKUP(EOMONTH(GM111,0),Macroeconomics!$B$67:$R$380,Macroeconomics!$C$66,0)*$C$119</f>
        <v>8.2264156479074247E-3</v>
      </c>
      <c r="GN119" s="170">
        <f>VLOOKUP(EOMONTH(GN111,0),Macroeconomics!$B$67:$R$380,Macroeconomics!$C$66,0)*$C$119</f>
        <v>8.2264156479074247E-3</v>
      </c>
      <c r="GO119" s="170">
        <f>VLOOKUP(EOMONTH(GO111,0),Macroeconomics!$B$67:$R$380,Macroeconomics!$C$66,0)*$C$119</f>
        <v>8.2264156479074247E-3</v>
      </c>
      <c r="GP119" s="170">
        <f>VLOOKUP(EOMONTH(GP111,0),Macroeconomics!$B$67:$R$380,Macroeconomics!$C$66,0)*$C$119</f>
        <v>8.2264156479074247E-3</v>
      </c>
      <c r="GQ119" s="170">
        <f>VLOOKUP(EOMONTH(GQ111,0),Macroeconomics!$B$67:$R$380,Macroeconomics!$C$66,0)*$C$119</f>
        <v>8.2264156479074247E-3</v>
      </c>
    </row>
    <row r="120" spans="2:199" hidden="1" outlineLevel="1">
      <c r="B120" s="315" t="s">
        <v>413</v>
      </c>
      <c r="C120" s="316">
        <v>6</v>
      </c>
    </row>
    <row r="121" spans="2:199" hidden="1" outlineLevel="1">
      <c r="B121" s="182" t="s">
        <v>409</v>
      </c>
      <c r="C121" s="131">
        <v>0</v>
      </c>
      <c r="D121" s="182" t="s">
        <v>404</v>
      </c>
      <c r="E121" s="160">
        <f>IF(OR(E111&lt;=$C113,E111&gt;$C114),0,IF(AND(E111&lt;=$C115,$C121=1,MOD(MONTH(E111)-MONTH($C113),6)=0),1,IF(AND(MOD(MONTH(E111)-MONTH($C113),$C120)=0,E111&gt;=$C115),1,0)))</f>
        <v>0</v>
      </c>
      <c r="F121" s="160">
        <f t="shared" ref="F121" si="1943">IF(OR(F111&lt;=$C113,F111&gt;$C114),0,IF(AND(F111&lt;=$C115,$C121=1,MOD(MONTH(F111)-MONTH($C113),6)=0),1,IF(AND(MOD(MONTH(F111)-MONTH($C113),$C120)=0,F111&gt;=$C115),1,0)))</f>
        <v>0</v>
      </c>
      <c r="G121" s="160">
        <f t="shared" ref="G121" si="1944">IF(OR(G111&lt;=$C113,G111&gt;$C114),0,IF(AND(G111&lt;=$C115,$C121=1,MOD(MONTH(G111)-MONTH($C113),6)=0),1,IF(AND(MOD(MONTH(G111)-MONTH($C113),$C120)=0,G111&gt;=$C115),1,0)))</f>
        <v>0</v>
      </c>
      <c r="H121" s="160">
        <f t="shared" ref="H121" si="1945">IF(OR(H111&lt;=$C113,H111&gt;$C114),0,IF(AND(H111&lt;=$C115,$C121=1,MOD(MONTH(H111)-MONTH($C113),6)=0),1,IF(AND(MOD(MONTH(H111)-MONTH($C113),$C120)=0,H111&gt;=$C115),1,0)))</f>
        <v>0</v>
      </c>
      <c r="I121" s="160">
        <f t="shared" ref="I121" si="1946">IF(OR(I111&lt;=$C113,I111&gt;$C114),0,IF(AND(I111&lt;=$C115,$C121=1,MOD(MONTH(I111)-MONTH($C113),6)=0),1,IF(AND(MOD(MONTH(I111)-MONTH($C113),$C120)=0,I111&gt;=$C115),1,0)))</f>
        <v>0</v>
      </c>
      <c r="J121" s="160">
        <f t="shared" ref="J121" si="1947">IF(OR(J111&lt;=$C113,J111&gt;$C114),0,IF(AND(J111&lt;=$C115,$C121=1,MOD(MONTH(J111)-MONTH($C113),6)=0),1,IF(AND(MOD(MONTH(J111)-MONTH($C113),$C120)=0,J111&gt;=$C115),1,0)))</f>
        <v>0</v>
      </c>
      <c r="K121" s="160">
        <f t="shared" ref="K121" si="1948">IF(OR(K111&lt;=$C113,K111&gt;$C114),0,IF(AND(K111&lt;=$C115,$C121=1,MOD(MONTH(K111)-MONTH($C113),6)=0),1,IF(AND(MOD(MONTH(K111)-MONTH($C113),$C120)=0,K111&gt;=$C115),1,0)))</f>
        <v>1</v>
      </c>
      <c r="L121" s="160">
        <f t="shared" ref="L121" si="1949">IF(OR(L111&lt;=$C113,L111&gt;$C114),0,IF(AND(L111&lt;=$C115,$C121=1,MOD(MONTH(L111)-MONTH($C113),6)=0),1,IF(AND(MOD(MONTH(L111)-MONTH($C113),$C120)=0,L111&gt;=$C115),1,0)))</f>
        <v>0</v>
      </c>
      <c r="M121" s="160">
        <f t="shared" ref="M121" si="1950">IF(OR(M111&lt;=$C113,M111&gt;$C114),0,IF(AND(M111&lt;=$C115,$C121=1,MOD(MONTH(M111)-MONTH($C113),6)=0),1,IF(AND(MOD(MONTH(M111)-MONTH($C113),$C120)=0,M111&gt;=$C115),1,0)))</f>
        <v>0</v>
      </c>
      <c r="N121" s="160">
        <f t="shared" ref="N121" si="1951">IF(OR(N111&lt;=$C113,N111&gt;$C114),0,IF(AND(N111&lt;=$C115,$C121=1,MOD(MONTH(N111)-MONTH($C113),6)=0),1,IF(AND(MOD(MONTH(N111)-MONTH($C113),$C120)=0,N111&gt;=$C115),1,0)))</f>
        <v>0</v>
      </c>
      <c r="O121" s="160">
        <f t="shared" ref="O121" si="1952">IF(OR(O111&lt;=$C113,O111&gt;$C114),0,IF(AND(O111&lt;=$C115,$C121=1,MOD(MONTH(O111)-MONTH($C113),6)=0),1,IF(AND(MOD(MONTH(O111)-MONTH($C113),$C120)=0,O111&gt;=$C115),1,0)))</f>
        <v>0</v>
      </c>
      <c r="P121" s="160">
        <f t="shared" ref="P121" si="1953">IF(OR(P111&lt;=$C113,P111&gt;$C114),0,IF(AND(P111&lt;=$C115,$C121=1,MOD(MONTH(P111)-MONTH($C113),6)=0),1,IF(AND(MOD(MONTH(P111)-MONTH($C113),$C120)=0,P111&gt;=$C115),1,0)))</f>
        <v>0</v>
      </c>
      <c r="Q121" s="160">
        <f t="shared" ref="Q121" si="1954">IF(OR(Q111&lt;=$C113,Q111&gt;$C114),0,IF(AND(Q111&lt;=$C115,$C121=1,MOD(MONTH(Q111)-MONTH($C113),6)=0),1,IF(AND(MOD(MONTH(Q111)-MONTH($C113),$C120)=0,Q111&gt;=$C115),1,0)))</f>
        <v>1</v>
      </c>
      <c r="R121" s="160">
        <f t="shared" ref="R121" si="1955">IF(OR(R111&lt;=$C113,R111&gt;$C114),0,IF(AND(R111&lt;=$C115,$C121=1,MOD(MONTH(R111)-MONTH($C113),6)=0),1,IF(AND(MOD(MONTH(R111)-MONTH($C113),$C120)=0,R111&gt;=$C115),1,0)))</f>
        <v>0</v>
      </c>
      <c r="S121" s="160">
        <f t="shared" ref="S121" si="1956">IF(OR(S111&lt;=$C113,S111&gt;$C114),0,IF(AND(S111&lt;=$C115,$C121=1,MOD(MONTH(S111)-MONTH($C113),6)=0),1,IF(AND(MOD(MONTH(S111)-MONTH($C113),$C120)=0,S111&gt;=$C115),1,0)))</f>
        <v>0</v>
      </c>
      <c r="T121" s="160">
        <f t="shared" ref="T121" si="1957">IF(OR(T111&lt;=$C113,T111&gt;$C114),0,IF(AND(T111&lt;=$C115,$C121=1,MOD(MONTH(T111)-MONTH($C113),6)=0),1,IF(AND(MOD(MONTH(T111)-MONTH($C113),$C120)=0,T111&gt;=$C115),1,0)))</f>
        <v>0</v>
      </c>
      <c r="U121" s="160">
        <f t="shared" ref="U121" si="1958">IF(OR(U111&lt;=$C113,U111&gt;$C114),0,IF(AND(U111&lt;=$C115,$C121=1,MOD(MONTH(U111)-MONTH($C113),6)=0),1,IF(AND(MOD(MONTH(U111)-MONTH($C113),$C120)=0,U111&gt;=$C115),1,0)))</f>
        <v>0</v>
      </c>
      <c r="V121" s="160">
        <f t="shared" ref="V121" si="1959">IF(OR(V111&lt;=$C113,V111&gt;$C114),0,IF(AND(V111&lt;=$C115,$C121=1,MOD(MONTH(V111)-MONTH($C113),6)=0),1,IF(AND(MOD(MONTH(V111)-MONTH($C113),$C120)=0,V111&gt;=$C115),1,0)))</f>
        <v>0</v>
      </c>
      <c r="W121" s="160">
        <f t="shared" ref="W121" si="1960">IF(OR(W111&lt;=$C113,W111&gt;$C114),0,IF(AND(W111&lt;=$C115,$C121=1,MOD(MONTH(W111)-MONTH($C113),6)=0),1,IF(AND(MOD(MONTH(W111)-MONTH($C113),$C120)=0,W111&gt;=$C115),1,0)))</f>
        <v>1</v>
      </c>
      <c r="X121" s="160">
        <f t="shared" ref="X121" si="1961">IF(OR(X111&lt;=$C113,X111&gt;$C114),0,IF(AND(X111&lt;=$C115,$C121=1,MOD(MONTH(X111)-MONTH($C113),6)=0),1,IF(AND(MOD(MONTH(X111)-MONTH($C113),$C120)=0,X111&gt;=$C115),1,0)))</f>
        <v>0</v>
      </c>
      <c r="Y121" s="160">
        <f t="shared" ref="Y121" si="1962">IF(OR(Y111&lt;=$C113,Y111&gt;$C114),0,IF(AND(Y111&lt;=$C115,$C121=1,MOD(MONTH(Y111)-MONTH($C113),6)=0),1,IF(AND(MOD(MONTH(Y111)-MONTH($C113),$C120)=0,Y111&gt;=$C115),1,0)))</f>
        <v>0</v>
      </c>
      <c r="Z121" s="160">
        <f t="shared" ref="Z121" si="1963">IF(OR(Z111&lt;=$C113,Z111&gt;$C114),0,IF(AND(Z111&lt;=$C115,$C121=1,MOD(MONTH(Z111)-MONTH($C113),6)=0),1,IF(AND(MOD(MONTH(Z111)-MONTH($C113),$C120)=0,Z111&gt;=$C115),1,0)))</f>
        <v>0</v>
      </c>
      <c r="AA121" s="160">
        <f t="shared" ref="AA121" si="1964">IF(OR(AA111&lt;=$C113,AA111&gt;$C114),0,IF(AND(AA111&lt;=$C115,$C121=1,MOD(MONTH(AA111)-MONTH($C113),6)=0),1,IF(AND(MOD(MONTH(AA111)-MONTH($C113),$C120)=0,AA111&gt;=$C115),1,0)))</f>
        <v>0</v>
      </c>
      <c r="AB121" s="160">
        <f t="shared" ref="AB121" si="1965">IF(OR(AB111&lt;=$C113,AB111&gt;$C114),0,IF(AND(AB111&lt;=$C115,$C121=1,MOD(MONTH(AB111)-MONTH($C113),6)=0),1,IF(AND(MOD(MONTH(AB111)-MONTH($C113),$C120)=0,AB111&gt;=$C115),1,0)))</f>
        <v>0</v>
      </c>
      <c r="AC121" s="160">
        <f t="shared" ref="AC121" si="1966">IF(OR(AC111&lt;=$C113,AC111&gt;$C114),0,IF(AND(AC111&lt;=$C115,$C121=1,MOD(MONTH(AC111)-MONTH($C113),6)=0),1,IF(AND(MOD(MONTH(AC111)-MONTH($C113),$C120)=0,AC111&gt;=$C115),1,0)))</f>
        <v>1</v>
      </c>
      <c r="AD121" s="160">
        <f t="shared" ref="AD121" si="1967">IF(OR(AD111&lt;=$C113,AD111&gt;$C114),0,IF(AND(AD111&lt;=$C115,$C121=1,MOD(MONTH(AD111)-MONTH($C113),6)=0),1,IF(AND(MOD(MONTH(AD111)-MONTH($C113),$C120)=0,AD111&gt;=$C115),1,0)))</f>
        <v>0</v>
      </c>
      <c r="AE121" s="160">
        <f t="shared" ref="AE121" si="1968">IF(OR(AE111&lt;=$C113,AE111&gt;$C114),0,IF(AND(AE111&lt;=$C115,$C121=1,MOD(MONTH(AE111)-MONTH($C113),6)=0),1,IF(AND(MOD(MONTH(AE111)-MONTH($C113),$C120)=0,AE111&gt;=$C115),1,0)))</f>
        <v>0</v>
      </c>
      <c r="AF121" s="160">
        <f t="shared" ref="AF121" si="1969">IF(OR(AF111&lt;=$C113,AF111&gt;$C114),0,IF(AND(AF111&lt;=$C115,$C121=1,MOD(MONTH(AF111)-MONTH($C113),6)=0),1,IF(AND(MOD(MONTH(AF111)-MONTH($C113),$C120)=0,AF111&gt;=$C115),1,0)))</f>
        <v>0</v>
      </c>
      <c r="AG121" s="160">
        <f t="shared" ref="AG121" si="1970">IF(OR(AG111&lt;=$C113,AG111&gt;$C114),0,IF(AND(AG111&lt;=$C115,$C121=1,MOD(MONTH(AG111)-MONTH($C113),6)=0),1,IF(AND(MOD(MONTH(AG111)-MONTH($C113),$C120)=0,AG111&gt;=$C115),1,0)))</f>
        <v>0</v>
      </c>
      <c r="AH121" s="160">
        <f t="shared" ref="AH121" si="1971">IF(OR(AH111&lt;=$C113,AH111&gt;$C114),0,IF(AND(AH111&lt;=$C115,$C121=1,MOD(MONTH(AH111)-MONTH($C113),6)=0),1,IF(AND(MOD(MONTH(AH111)-MONTH($C113),$C120)=0,AH111&gt;=$C115),1,0)))</f>
        <v>0</v>
      </c>
      <c r="AI121" s="160">
        <f t="shared" ref="AI121" si="1972">IF(OR(AI111&lt;=$C113,AI111&gt;$C114),0,IF(AND(AI111&lt;=$C115,$C121=1,MOD(MONTH(AI111)-MONTH($C113),6)=0),1,IF(AND(MOD(MONTH(AI111)-MONTH($C113),$C120)=0,AI111&gt;=$C115),1,0)))</f>
        <v>1</v>
      </c>
      <c r="AJ121" s="160">
        <f t="shared" ref="AJ121" si="1973">IF(OR(AJ111&lt;=$C113,AJ111&gt;$C114),0,IF(AND(AJ111&lt;=$C115,$C121=1,MOD(MONTH(AJ111)-MONTH($C113),6)=0),1,IF(AND(MOD(MONTH(AJ111)-MONTH($C113),$C120)=0,AJ111&gt;=$C115),1,0)))</f>
        <v>0</v>
      </c>
      <c r="AK121" s="160">
        <f t="shared" ref="AK121" si="1974">IF(OR(AK111&lt;=$C113,AK111&gt;$C114),0,IF(AND(AK111&lt;=$C115,$C121=1,MOD(MONTH(AK111)-MONTH($C113),6)=0),1,IF(AND(MOD(MONTH(AK111)-MONTH($C113),$C120)=0,AK111&gt;=$C115),1,0)))</f>
        <v>0</v>
      </c>
      <c r="AL121" s="160">
        <f t="shared" ref="AL121" si="1975">IF(OR(AL111&lt;=$C113,AL111&gt;$C114),0,IF(AND(AL111&lt;=$C115,$C121=1,MOD(MONTH(AL111)-MONTH($C113),6)=0),1,IF(AND(MOD(MONTH(AL111)-MONTH($C113),$C120)=0,AL111&gt;=$C115),1,0)))</f>
        <v>0</v>
      </c>
      <c r="AM121" s="160">
        <f t="shared" ref="AM121" si="1976">IF(OR(AM111&lt;=$C113,AM111&gt;$C114),0,IF(AND(AM111&lt;=$C115,$C121=1,MOD(MONTH(AM111)-MONTH($C113),6)=0),1,IF(AND(MOD(MONTH(AM111)-MONTH($C113),$C120)=0,AM111&gt;=$C115),1,0)))</f>
        <v>0</v>
      </c>
      <c r="AN121" s="160">
        <f t="shared" ref="AN121" si="1977">IF(OR(AN111&lt;=$C113,AN111&gt;$C114),0,IF(AND(AN111&lt;=$C115,$C121=1,MOD(MONTH(AN111)-MONTH($C113),6)=0),1,IF(AND(MOD(MONTH(AN111)-MONTH($C113),$C120)=0,AN111&gt;=$C115),1,0)))</f>
        <v>0</v>
      </c>
      <c r="AO121" s="160">
        <f t="shared" ref="AO121" si="1978">IF(OR(AO111&lt;=$C113,AO111&gt;$C114),0,IF(AND(AO111&lt;=$C115,$C121=1,MOD(MONTH(AO111)-MONTH($C113),6)=0),1,IF(AND(MOD(MONTH(AO111)-MONTH($C113),$C120)=0,AO111&gt;=$C115),1,0)))</f>
        <v>1</v>
      </c>
      <c r="AP121" s="160">
        <f t="shared" ref="AP121" si="1979">IF(OR(AP111&lt;=$C113,AP111&gt;$C114),0,IF(AND(AP111&lt;=$C115,$C121=1,MOD(MONTH(AP111)-MONTH($C113),6)=0),1,IF(AND(MOD(MONTH(AP111)-MONTH($C113),$C120)=0,AP111&gt;=$C115),1,0)))</f>
        <v>0</v>
      </c>
      <c r="AQ121" s="160">
        <f t="shared" ref="AQ121" si="1980">IF(OR(AQ111&lt;=$C113,AQ111&gt;$C114),0,IF(AND(AQ111&lt;=$C115,$C121=1,MOD(MONTH(AQ111)-MONTH($C113),6)=0),1,IF(AND(MOD(MONTH(AQ111)-MONTH($C113),$C120)=0,AQ111&gt;=$C115),1,0)))</f>
        <v>0</v>
      </c>
      <c r="AR121" s="160">
        <f t="shared" ref="AR121" si="1981">IF(OR(AR111&lt;=$C113,AR111&gt;$C114),0,IF(AND(AR111&lt;=$C115,$C121=1,MOD(MONTH(AR111)-MONTH($C113),6)=0),1,IF(AND(MOD(MONTH(AR111)-MONTH($C113),$C120)=0,AR111&gt;=$C115),1,0)))</f>
        <v>0</v>
      </c>
      <c r="AS121" s="160">
        <f t="shared" ref="AS121" si="1982">IF(OR(AS111&lt;=$C113,AS111&gt;$C114),0,IF(AND(AS111&lt;=$C115,$C121=1,MOD(MONTH(AS111)-MONTH($C113),6)=0),1,IF(AND(MOD(MONTH(AS111)-MONTH($C113),$C120)=0,AS111&gt;=$C115),1,0)))</f>
        <v>0</v>
      </c>
      <c r="AT121" s="160">
        <f t="shared" ref="AT121" si="1983">IF(OR(AT111&lt;=$C113,AT111&gt;$C114),0,IF(AND(AT111&lt;=$C115,$C121=1,MOD(MONTH(AT111)-MONTH($C113),6)=0),1,IF(AND(MOD(MONTH(AT111)-MONTH($C113),$C120)=0,AT111&gt;=$C115),1,0)))</f>
        <v>0</v>
      </c>
      <c r="AU121" s="160">
        <f t="shared" ref="AU121" si="1984">IF(OR(AU111&lt;=$C113,AU111&gt;$C114),0,IF(AND(AU111&lt;=$C115,$C121=1,MOD(MONTH(AU111)-MONTH($C113),6)=0),1,IF(AND(MOD(MONTH(AU111)-MONTH($C113),$C120)=0,AU111&gt;=$C115),1,0)))</f>
        <v>0</v>
      </c>
      <c r="AV121" s="160">
        <f t="shared" ref="AV121" si="1985">IF(OR(AV111&lt;=$C113,AV111&gt;$C114),0,IF(AND(AV111&lt;=$C115,$C121=1,MOD(MONTH(AV111)-MONTH($C113),6)=0),1,IF(AND(MOD(MONTH(AV111)-MONTH($C113),$C120)=0,AV111&gt;=$C115),1,0)))</f>
        <v>0</v>
      </c>
      <c r="AW121" s="160">
        <f t="shared" ref="AW121" si="1986">IF(OR(AW111&lt;=$C113,AW111&gt;$C114),0,IF(AND(AW111&lt;=$C115,$C121=1,MOD(MONTH(AW111)-MONTH($C113),6)=0),1,IF(AND(MOD(MONTH(AW111)-MONTH($C113),$C120)=0,AW111&gt;=$C115),1,0)))</f>
        <v>0</v>
      </c>
      <c r="AX121" s="160">
        <f t="shared" ref="AX121" si="1987">IF(OR(AX111&lt;=$C113,AX111&gt;$C114),0,IF(AND(AX111&lt;=$C115,$C121=1,MOD(MONTH(AX111)-MONTH($C113),6)=0),1,IF(AND(MOD(MONTH(AX111)-MONTH($C113),$C120)=0,AX111&gt;=$C115),1,0)))</f>
        <v>0</v>
      </c>
      <c r="AY121" s="160">
        <f t="shared" ref="AY121" si="1988">IF(OR(AY111&lt;=$C113,AY111&gt;$C114),0,IF(AND(AY111&lt;=$C115,$C121=1,MOD(MONTH(AY111)-MONTH($C113),6)=0),1,IF(AND(MOD(MONTH(AY111)-MONTH($C113),$C120)=0,AY111&gt;=$C115),1,0)))</f>
        <v>0</v>
      </c>
      <c r="AZ121" s="160">
        <f t="shared" ref="AZ121" si="1989">IF(OR(AZ111&lt;=$C113,AZ111&gt;$C114),0,IF(AND(AZ111&lt;=$C115,$C121=1,MOD(MONTH(AZ111)-MONTH($C113),6)=0),1,IF(AND(MOD(MONTH(AZ111)-MONTH($C113),$C120)=0,AZ111&gt;=$C115),1,0)))</f>
        <v>0</v>
      </c>
      <c r="BA121" s="160">
        <f t="shared" ref="BA121" si="1990">IF(OR(BA111&lt;=$C113,BA111&gt;$C114),0,IF(AND(BA111&lt;=$C115,$C121=1,MOD(MONTH(BA111)-MONTH($C113),6)=0),1,IF(AND(MOD(MONTH(BA111)-MONTH($C113),$C120)=0,BA111&gt;=$C115),1,0)))</f>
        <v>0</v>
      </c>
      <c r="BB121" s="160">
        <f t="shared" ref="BB121" si="1991">IF(OR(BB111&lt;=$C113,BB111&gt;$C114),0,IF(AND(BB111&lt;=$C115,$C121=1,MOD(MONTH(BB111)-MONTH($C113),6)=0),1,IF(AND(MOD(MONTH(BB111)-MONTH($C113),$C120)=0,BB111&gt;=$C115),1,0)))</f>
        <v>0</v>
      </c>
      <c r="BC121" s="160">
        <f t="shared" ref="BC121" si="1992">IF(OR(BC111&lt;=$C113,BC111&gt;$C114),0,IF(AND(BC111&lt;=$C115,$C121=1,MOD(MONTH(BC111)-MONTH($C113),6)=0),1,IF(AND(MOD(MONTH(BC111)-MONTH($C113),$C120)=0,BC111&gt;=$C115),1,0)))</f>
        <v>0</v>
      </c>
      <c r="BD121" s="160">
        <f t="shared" ref="BD121" si="1993">IF(OR(BD111&lt;=$C113,BD111&gt;$C114),0,IF(AND(BD111&lt;=$C115,$C121=1,MOD(MONTH(BD111)-MONTH($C113),6)=0),1,IF(AND(MOD(MONTH(BD111)-MONTH($C113),$C120)=0,BD111&gt;=$C115),1,0)))</f>
        <v>0</v>
      </c>
      <c r="BE121" s="160">
        <f t="shared" ref="BE121" si="1994">IF(OR(BE111&lt;=$C113,BE111&gt;$C114),0,IF(AND(BE111&lt;=$C115,$C121=1,MOD(MONTH(BE111)-MONTH($C113),6)=0),1,IF(AND(MOD(MONTH(BE111)-MONTH($C113),$C120)=0,BE111&gt;=$C115),1,0)))</f>
        <v>0</v>
      </c>
      <c r="BF121" s="160">
        <f t="shared" ref="BF121" si="1995">IF(OR(BF111&lt;=$C113,BF111&gt;$C114),0,IF(AND(BF111&lt;=$C115,$C121=1,MOD(MONTH(BF111)-MONTH($C113),6)=0),1,IF(AND(MOD(MONTH(BF111)-MONTH($C113),$C120)=0,BF111&gt;=$C115),1,0)))</f>
        <v>0</v>
      </c>
      <c r="BG121" s="160">
        <f t="shared" ref="BG121" si="1996">IF(OR(BG111&lt;=$C113,BG111&gt;$C114),0,IF(AND(BG111&lt;=$C115,$C121=1,MOD(MONTH(BG111)-MONTH($C113),6)=0),1,IF(AND(MOD(MONTH(BG111)-MONTH($C113),$C120)=0,BG111&gt;=$C115),1,0)))</f>
        <v>0</v>
      </c>
      <c r="BH121" s="160">
        <f t="shared" ref="BH121" si="1997">IF(OR(BH111&lt;=$C113,BH111&gt;$C114),0,IF(AND(BH111&lt;=$C115,$C121=1,MOD(MONTH(BH111)-MONTH($C113),6)=0),1,IF(AND(MOD(MONTH(BH111)-MONTH($C113),$C120)=0,BH111&gt;=$C115),1,0)))</f>
        <v>0</v>
      </c>
      <c r="BI121" s="160">
        <f t="shared" ref="BI121" si="1998">IF(OR(BI111&lt;=$C113,BI111&gt;$C114),0,IF(AND(BI111&lt;=$C115,$C121=1,MOD(MONTH(BI111)-MONTH($C113),6)=0),1,IF(AND(MOD(MONTH(BI111)-MONTH($C113),$C120)=0,BI111&gt;=$C115),1,0)))</f>
        <v>0</v>
      </c>
      <c r="BJ121" s="160">
        <f t="shared" ref="BJ121" si="1999">IF(OR(BJ111&lt;=$C113,BJ111&gt;$C114),0,IF(AND(BJ111&lt;=$C115,$C121=1,MOD(MONTH(BJ111)-MONTH($C113),6)=0),1,IF(AND(MOD(MONTH(BJ111)-MONTH($C113),$C120)=0,BJ111&gt;=$C115),1,0)))</f>
        <v>0</v>
      </c>
      <c r="BK121" s="160">
        <f t="shared" ref="BK121" si="2000">IF(OR(BK111&lt;=$C113,BK111&gt;$C114),0,IF(AND(BK111&lt;=$C115,$C121=1,MOD(MONTH(BK111)-MONTH($C113),6)=0),1,IF(AND(MOD(MONTH(BK111)-MONTH($C113),$C120)=0,BK111&gt;=$C115),1,0)))</f>
        <v>0</v>
      </c>
      <c r="BL121" s="160">
        <f t="shared" ref="BL121" si="2001">IF(OR(BL111&lt;=$C113,BL111&gt;$C114),0,IF(AND(BL111&lt;=$C115,$C121=1,MOD(MONTH(BL111)-MONTH($C113),6)=0),1,IF(AND(MOD(MONTH(BL111)-MONTH($C113),$C120)=0,BL111&gt;=$C115),1,0)))</f>
        <v>0</v>
      </c>
      <c r="BM121" s="160">
        <f t="shared" ref="BM121" si="2002">IF(OR(BM111&lt;=$C113,BM111&gt;$C114),0,IF(AND(BM111&lt;=$C115,$C121=1,MOD(MONTH(BM111)-MONTH($C113),6)=0),1,IF(AND(MOD(MONTH(BM111)-MONTH($C113),$C120)=0,BM111&gt;=$C115),1,0)))</f>
        <v>0</v>
      </c>
      <c r="BN121" s="160">
        <f t="shared" ref="BN121" si="2003">IF(OR(BN111&lt;=$C113,BN111&gt;$C114),0,IF(AND(BN111&lt;=$C115,$C121=1,MOD(MONTH(BN111)-MONTH($C113),6)=0),1,IF(AND(MOD(MONTH(BN111)-MONTH($C113),$C120)=0,BN111&gt;=$C115),1,0)))</f>
        <v>0</v>
      </c>
      <c r="BO121" s="160">
        <f t="shared" ref="BO121" si="2004">IF(OR(BO111&lt;=$C113,BO111&gt;$C114),0,IF(AND(BO111&lt;=$C115,$C121=1,MOD(MONTH(BO111)-MONTH($C113),6)=0),1,IF(AND(MOD(MONTH(BO111)-MONTH($C113),$C120)=0,BO111&gt;=$C115),1,0)))</f>
        <v>0</v>
      </c>
      <c r="BP121" s="160">
        <f t="shared" ref="BP121" si="2005">IF(OR(BP111&lt;=$C113,BP111&gt;$C114),0,IF(AND(BP111&lt;=$C115,$C121=1,MOD(MONTH(BP111)-MONTH($C113),6)=0),1,IF(AND(MOD(MONTH(BP111)-MONTH($C113),$C120)=0,BP111&gt;=$C115),1,0)))</f>
        <v>0</v>
      </c>
      <c r="BQ121" s="160">
        <f t="shared" ref="BQ121" si="2006">IF(OR(BQ111&lt;=$C113,BQ111&gt;$C114),0,IF(AND(BQ111&lt;=$C115,$C121=1,MOD(MONTH(BQ111)-MONTH($C113),6)=0),1,IF(AND(MOD(MONTH(BQ111)-MONTH($C113),$C120)=0,BQ111&gt;=$C115),1,0)))</f>
        <v>0</v>
      </c>
      <c r="BR121" s="160">
        <f t="shared" ref="BR121" si="2007">IF(OR(BR111&lt;=$C113,BR111&gt;$C114),0,IF(AND(BR111&lt;=$C115,$C121=1,MOD(MONTH(BR111)-MONTH($C113),6)=0),1,IF(AND(MOD(MONTH(BR111)-MONTH($C113),$C120)=0,BR111&gt;=$C115),1,0)))</f>
        <v>0</v>
      </c>
      <c r="BS121" s="160">
        <f t="shared" ref="BS121" si="2008">IF(OR(BS111&lt;=$C113,BS111&gt;$C114),0,IF(AND(BS111&lt;=$C115,$C121=1,MOD(MONTH(BS111)-MONTH($C113),6)=0),1,IF(AND(MOD(MONTH(BS111)-MONTH($C113),$C120)=0,BS111&gt;=$C115),1,0)))</f>
        <v>0</v>
      </c>
      <c r="BT121" s="160">
        <f t="shared" ref="BT121" si="2009">IF(OR(BT111&lt;=$C113,BT111&gt;$C114),0,IF(AND(BT111&lt;=$C115,$C121=1,MOD(MONTH(BT111)-MONTH($C113),6)=0),1,IF(AND(MOD(MONTH(BT111)-MONTH($C113),$C120)=0,BT111&gt;=$C115),1,0)))</f>
        <v>0</v>
      </c>
      <c r="BU121" s="160">
        <f t="shared" ref="BU121" si="2010">IF(OR(BU111&lt;=$C113,BU111&gt;$C114),0,IF(AND(BU111&lt;=$C115,$C121=1,MOD(MONTH(BU111)-MONTH($C113),6)=0),1,IF(AND(MOD(MONTH(BU111)-MONTH($C113),$C120)=0,BU111&gt;=$C115),1,0)))</f>
        <v>0</v>
      </c>
      <c r="BV121" s="160">
        <f t="shared" ref="BV121" si="2011">IF(OR(BV111&lt;=$C113,BV111&gt;$C114),0,IF(AND(BV111&lt;=$C115,$C121=1,MOD(MONTH(BV111)-MONTH($C113),6)=0),1,IF(AND(MOD(MONTH(BV111)-MONTH($C113),$C120)=0,BV111&gt;=$C115),1,0)))</f>
        <v>0</v>
      </c>
      <c r="BW121" s="160">
        <f t="shared" ref="BW121" si="2012">IF(OR(BW111&lt;=$C113,BW111&gt;$C114),0,IF(AND(BW111&lt;=$C115,$C121=1,MOD(MONTH(BW111)-MONTH($C113),6)=0),1,IF(AND(MOD(MONTH(BW111)-MONTH($C113),$C120)=0,BW111&gt;=$C115),1,0)))</f>
        <v>0</v>
      </c>
      <c r="BX121" s="160">
        <f t="shared" ref="BX121" si="2013">IF(OR(BX111&lt;=$C113,BX111&gt;$C114),0,IF(AND(BX111&lt;=$C115,$C121=1,MOD(MONTH(BX111)-MONTH($C113),6)=0),1,IF(AND(MOD(MONTH(BX111)-MONTH($C113),$C120)=0,BX111&gt;=$C115),1,0)))</f>
        <v>0</v>
      </c>
      <c r="BY121" s="160">
        <f t="shared" ref="BY121" si="2014">IF(OR(BY111&lt;=$C113,BY111&gt;$C114),0,IF(AND(BY111&lt;=$C115,$C121=1,MOD(MONTH(BY111)-MONTH($C113),6)=0),1,IF(AND(MOD(MONTH(BY111)-MONTH($C113),$C120)=0,BY111&gt;=$C115),1,0)))</f>
        <v>0</v>
      </c>
      <c r="BZ121" s="160">
        <f t="shared" ref="BZ121" si="2015">IF(OR(BZ111&lt;=$C113,BZ111&gt;$C114),0,IF(AND(BZ111&lt;=$C115,$C121=1,MOD(MONTH(BZ111)-MONTH($C113),6)=0),1,IF(AND(MOD(MONTH(BZ111)-MONTH($C113),$C120)=0,BZ111&gt;=$C115),1,0)))</f>
        <v>0</v>
      </c>
      <c r="CA121" s="160">
        <f t="shared" ref="CA121" si="2016">IF(OR(CA111&lt;=$C113,CA111&gt;$C114),0,IF(AND(CA111&lt;=$C115,$C121=1,MOD(MONTH(CA111)-MONTH($C113),6)=0),1,IF(AND(MOD(MONTH(CA111)-MONTH($C113),$C120)=0,CA111&gt;=$C115),1,0)))</f>
        <v>0</v>
      </c>
      <c r="CB121" s="160">
        <f t="shared" ref="CB121" si="2017">IF(OR(CB111&lt;=$C113,CB111&gt;$C114),0,IF(AND(CB111&lt;=$C115,$C121=1,MOD(MONTH(CB111)-MONTH($C113),6)=0),1,IF(AND(MOD(MONTH(CB111)-MONTH($C113),$C120)=0,CB111&gt;=$C115),1,0)))</f>
        <v>0</v>
      </c>
      <c r="CC121" s="160">
        <f t="shared" ref="CC121" si="2018">IF(OR(CC111&lt;=$C113,CC111&gt;$C114),0,IF(AND(CC111&lt;=$C115,$C121=1,MOD(MONTH(CC111)-MONTH($C113),6)=0),1,IF(AND(MOD(MONTH(CC111)-MONTH($C113),$C120)=0,CC111&gt;=$C115),1,0)))</f>
        <v>0</v>
      </c>
      <c r="CD121" s="160">
        <f t="shared" ref="CD121" si="2019">IF(OR(CD111&lt;=$C113,CD111&gt;$C114),0,IF(AND(CD111&lt;=$C115,$C121=1,MOD(MONTH(CD111)-MONTH($C113),6)=0),1,IF(AND(MOD(MONTH(CD111)-MONTH($C113),$C120)=0,CD111&gt;=$C115),1,0)))</f>
        <v>0</v>
      </c>
      <c r="CE121" s="160">
        <f t="shared" ref="CE121" si="2020">IF(OR(CE111&lt;=$C113,CE111&gt;$C114),0,IF(AND(CE111&lt;=$C115,$C121=1,MOD(MONTH(CE111)-MONTH($C113),6)=0),1,IF(AND(MOD(MONTH(CE111)-MONTH($C113),$C120)=0,CE111&gt;=$C115),1,0)))</f>
        <v>0</v>
      </c>
      <c r="CF121" s="160">
        <f t="shared" ref="CF121" si="2021">IF(OR(CF111&lt;=$C113,CF111&gt;$C114),0,IF(AND(CF111&lt;=$C115,$C121=1,MOD(MONTH(CF111)-MONTH($C113),6)=0),1,IF(AND(MOD(MONTH(CF111)-MONTH($C113),$C120)=0,CF111&gt;=$C115),1,0)))</f>
        <v>0</v>
      </c>
      <c r="CG121" s="160">
        <f t="shared" ref="CG121" si="2022">IF(OR(CG111&lt;=$C113,CG111&gt;$C114),0,IF(AND(CG111&lt;=$C115,$C121=1,MOD(MONTH(CG111)-MONTH($C113),6)=0),1,IF(AND(MOD(MONTH(CG111)-MONTH($C113),$C120)=0,CG111&gt;=$C115),1,0)))</f>
        <v>0</v>
      </c>
      <c r="CH121" s="160">
        <f t="shared" ref="CH121" si="2023">IF(OR(CH111&lt;=$C113,CH111&gt;$C114),0,IF(AND(CH111&lt;=$C115,$C121=1,MOD(MONTH(CH111)-MONTH($C113),6)=0),1,IF(AND(MOD(MONTH(CH111)-MONTH($C113),$C120)=0,CH111&gt;=$C115),1,0)))</f>
        <v>0</v>
      </c>
      <c r="CI121" s="160">
        <f t="shared" ref="CI121" si="2024">IF(OR(CI111&lt;=$C113,CI111&gt;$C114),0,IF(AND(CI111&lt;=$C115,$C121=1,MOD(MONTH(CI111)-MONTH($C113),6)=0),1,IF(AND(MOD(MONTH(CI111)-MONTH($C113),$C120)=0,CI111&gt;=$C115),1,0)))</f>
        <v>0</v>
      </c>
      <c r="CJ121" s="160">
        <f t="shared" ref="CJ121" si="2025">IF(OR(CJ111&lt;=$C113,CJ111&gt;$C114),0,IF(AND(CJ111&lt;=$C115,$C121=1,MOD(MONTH(CJ111)-MONTH($C113),6)=0),1,IF(AND(MOD(MONTH(CJ111)-MONTH($C113),$C120)=0,CJ111&gt;=$C115),1,0)))</f>
        <v>0</v>
      </c>
      <c r="CK121" s="160">
        <f t="shared" ref="CK121" si="2026">IF(OR(CK111&lt;=$C113,CK111&gt;$C114),0,IF(AND(CK111&lt;=$C115,$C121=1,MOD(MONTH(CK111)-MONTH($C113),6)=0),1,IF(AND(MOD(MONTH(CK111)-MONTH($C113),$C120)=0,CK111&gt;=$C115),1,0)))</f>
        <v>0</v>
      </c>
      <c r="CL121" s="160">
        <f t="shared" ref="CL121" si="2027">IF(OR(CL111&lt;=$C113,CL111&gt;$C114),0,IF(AND(CL111&lt;=$C115,$C121=1,MOD(MONTH(CL111)-MONTH($C113),6)=0),1,IF(AND(MOD(MONTH(CL111)-MONTH($C113),$C120)=0,CL111&gt;=$C115),1,0)))</f>
        <v>0</v>
      </c>
      <c r="CM121" s="160">
        <f t="shared" ref="CM121" si="2028">IF(OR(CM111&lt;=$C113,CM111&gt;$C114),0,IF(AND(CM111&lt;=$C115,$C121=1,MOD(MONTH(CM111)-MONTH($C113),6)=0),1,IF(AND(MOD(MONTH(CM111)-MONTH($C113),$C120)=0,CM111&gt;=$C115),1,0)))</f>
        <v>0</v>
      </c>
      <c r="CN121" s="160">
        <f t="shared" ref="CN121" si="2029">IF(OR(CN111&lt;=$C113,CN111&gt;$C114),0,IF(AND(CN111&lt;=$C115,$C121=1,MOD(MONTH(CN111)-MONTH($C113),6)=0),1,IF(AND(MOD(MONTH(CN111)-MONTH($C113),$C120)=0,CN111&gt;=$C115),1,0)))</f>
        <v>0</v>
      </c>
      <c r="CO121" s="160">
        <f t="shared" ref="CO121" si="2030">IF(OR(CO111&lt;=$C113,CO111&gt;$C114),0,IF(AND(CO111&lt;=$C115,$C121=1,MOD(MONTH(CO111)-MONTH($C113),6)=0),1,IF(AND(MOD(MONTH(CO111)-MONTH($C113),$C120)=0,CO111&gt;=$C115),1,0)))</f>
        <v>0</v>
      </c>
      <c r="CP121" s="160">
        <f t="shared" ref="CP121" si="2031">IF(OR(CP111&lt;=$C113,CP111&gt;$C114),0,IF(AND(CP111&lt;=$C115,$C121=1,MOD(MONTH(CP111)-MONTH($C113),6)=0),1,IF(AND(MOD(MONTH(CP111)-MONTH($C113),$C120)=0,CP111&gt;=$C115),1,0)))</f>
        <v>0</v>
      </c>
      <c r="CQ121" s="160">
        <f t="shared" ref="CQ121" si="2032">IF(OR(CQ111&lt;=$C113,CQ111&gt;$C114),0,IF(AND(CQ111&lt;=$C115,$C121=1,MOD(MONTH(CQ111)-MONTH($C113),6)=0),1,IF(AND(MOD(MONTH(CQ111)-MONTH($C113),$C120)=0,CQ111&gt;=$C115),1,0)))</f>
        <v>0</v>
      </c>
      <c r="CR121" s="160">
        <f t="shared" ref="CR121" si="2033">IF(OR(CR111&lt;=$C113,CR111&gt;$C114),0,IF(AND(CR111&lt;=$C115,$C121=1,MOD(MONTH(CR111)-MONTH($C113),6)=0),1,IF(AND(MOD(MONTH(CR111)-MONTH($C113),$C120)=0,CR111&gt;=$C115),1,0)))</f>
        <v>0</v>
      </c>
      <c r="CS121" s="160">
        <f t="shared" ref="CS121" si="2034">IF(OR(CS111&lt;=$C113,CS111&gt;$C114),0,IF(AND(CS111&lt;=$C115,$C121=1,MOD(MONTH(CS111)-MONTH($C113),6)=0),1,IF(AND(MOD(MONTH(CS111)-MONTH($C113),$C120)=0,CS111&gt;=$C115),1,0)))</f>
        <v>0</v>
      </c>
      <c r="CT121" s="160">
        <f t="shared" ref="CT121" si="2035">IF(OR(CT111&lt;=$C113,CT111&gt;$C114),0,IF(AND(CT111&lt;=$C115,$C121=1,MOD(MONTH(CT111)-MONTH($C113),6)=0),1,IF(AND(MOD(MONTH(CT111)-MONTH($C113),$C120)=0,CT111&gt;=$C115),1,0)))</f>
        <v>0</v>
      </c>
      <c r="CU121" s="160">
        <f t="shared" ref="CU121" si="2036">IF(OR(CU111&lt;=$C113,CU111&gt;$C114),0,IF(AND(CU111&lt;=$C115,$C121=1,MOD(MONTH(CU111)-MONTH($C113),6)=0),1,IF(AND(MOD(MONTH(CU111)-MONTH($C113),$C120)=0,CU111&gt;=$C115),1,0)))</f>
        <v>0</v>
      </c>
      <c r="CV121" s="160">
        <f t="shared" ref="CV121" si="2037">IF(OR(CV111&lt;=$C113,CV111&gt;$C114),0,IF(AND(CV111&lt;=$C115,$C121=1,MOD(MONTH(CV111)-MONTH($C113),6)=0),1,IF(AND(MOD(MONTH(CV111)-MONTH($C113),$C120)=0,CV111&gt;=$C115),1,0)))</f>
        <v>0</v>
      </c>
      <c r="CW121" s="160">
        <f t="shared" ref="CW121" si="2038">IF(OR(CW111&lt;=$C113,CW111&gt;$C114),0,IF(AND(CW111&lt;=$C115,$C121=1,MOD(MONTH(CW111)-MONTH($C113),6)=0),1,IF(AND(MOD(MONTH(CW111)-MONTH($C113),$C120)=0,CW111&gt;=$C115),1,0)))</f>
        <v>0</v>
      </c>
      <c r="CX121" s="160">
        <f t="shared" ref="CX121" si="2039">IF(OR(CX111&lt;=$C113,CX111&gt;$C114),0,IF(AND(CX111&lt;=$C115,$C121=1,MOD(MONTH(CX111)-MONTH($C113),6)=0),1,IF(AND(MOD(MONTH(CX111)-MONTH($C113),$C120)=0,CX111&gt;=$C115),1,0)))</f>
        <v>0</v>
      </c>
      <c r="CY121" s="160">
        <f t="shared" ref="CY121" si="2040">IF(OR(CY111&lt;=$C113,CY111&gt;$C114),0,IF(AND(CY111&lt;=$C115,$C121=1,MOD(MONTH(CY111)-MONTH($C113),6)=0),1,IF(AND(MOD(MONTH(CY111)-MONTH($C113),$C120)=0,CY111&gt;=$C115),1,0)))</f>
        <v>0</v>
      </c>
      <c r="CZ121" s="160">
        <f t="shared" ref="CZ121" si="2041">IF(OR(CZ111&lt;=$C113,CZ111&gt;$C114),0,IF(AND(CZ111&lt;=$C115,$C121=1,MOD(MONTH(CZ111)-MONTH($C113),6)=0),1,IF(AND(MOD(MONTH(CZ111)-MONTH($C113),$C120)=0,CZ111&gt;=$C115),1,0)))</f>
        <v>0</v>
      </c>
      <c r="DA121" s="160">
        <f t="shared" ref="DA121" si="2042">IF(OR(DA111&lt;=$C113,DA111&gt;$C114),0,IF(AND(DA111&lt;=$C115,$C121=1,MOD(MONTH(DA111)-MONTH($C113),6)=0),1,IF(AND(MOD(MONTH(DA111)-MONTH($C113),$C120)=0,DA111&gt;=$C115),1,0)))</f>
        <v>0</v>
      </c>
      <c r="DB121" s="160">
        <f t="shared" ref="DB121" si="2043">IF(OR(DB111&lt;=$C113,DB111&gt;$C114),0,IF(AND(DB111&lt;=$C115,$C121=1,MOD(MONTH(DB111)-MONTH($C113),6)=0),1,IF(AND(MOD(MONTH(DB111)-MONTH($C113),$C120)=0,DB111&gt;=$C115),1,0)))</f>
        <v>0</v>
      </c>
      <c r="DC121" s="160">
        <f t="shared" ref="DC121" si="2044">IF(OR(DC111&lt;=$C113,DC111&gt;$C114),0,IF(AND(DC111&lt;=$C115,$C121=1,MOD(MONTH(DC111)-MONTH($C113),6)=0),1,IF(AND(MOD(MONTH(DC111)-MONTH($C113),$C120)=0,DC111&gt;=$C115),1,0)))</f>
        <v>0</v>
      </c>
      <c r="DD121" s="160">
        <f t="shared" ref="DD121" si="2045">IF(OR(DD111&lt;=$C113,DD111&gt;$C114),0,IF(AND(DD111&lt;=$C115,$C121=1,MOD(MONTH(DD111)-MONTH($C113),6)=0),1,IF(AND(MOD(MONTH(DD111)-MONTH($C113),$C120)=0,DD111&gt;=$C115),1,0)))</f>
        <v>0</v>
      </c>
      <c r="DE121" s="160">
        <f t="shared" ref="DE121" si="2046">IF(OR(DE111&lt;=$C113,DE111&gt;$C114),0,IF(AND(DE111&lt;=$C115,$C121=1,MOD(MONTH(DE111)-MONTH($C113),6)=0),1,IF(AND(MOD(MONTH(DE111)-MONTH($C113),$C120)=0,DE111&gt;=$C115),1,0)))</f>
        <v>0</v>
      </c>
      <c r="DF121" s="160">
        <f t="shared" ref="DF121" si="2047">IF(OR(DF111&lt;=$C113,DF111&gt;$C114),0,IF(AND(DF111&lt;=$C115,$C121=1,MOD(MONTH(DF111)-MONTH($C113),6)=0),1,IF(AND(MOD(MONTH(DF111)-MONTH($C113),$C120)=0,DF111&gt;=$C115),1,0)))</f>
        <v>0</v>
      </c>
      <c r="DG121" s="160">
        <f t="shared" ref="DG121" si="2048">IF(OR(DG111&lt;=$C113,DG111&gt;$C114),0,IF(AND(DG111&lt;=$C115,$C121=1,MOD(MONTH(DG111)-MONTH($C113),6)=0),1,IF(AND(MOD(MONTH(DG111)-MONTH($C113),$C120)=0,DG111&gt;=$C115),1,0)))</f>
        <v>0</v>
      </c>
      <c r="DH121" s="160">
        <f t="shared" ref="DH121" si="2049">IF(OR(DH111&lt;=$C113,DH111&gt;$C114),0,IF(AND(DH111&lt;=$C115,$C121=1,MOD(MONTH(DH111)-MONTH($C113),6)=0),1,IF(AND(MOD(MONTH(DH111)-MONTH($C113),$C120)=0,DH111&gt;=$C115),1,0)))</f>
        <v>0</v>
      </c>
      <c r="DI121" s="160">
        <f t="shared" ref="DI121" si="2050">IF(OR(DI111&lt;=$C113,DI111&gt;$C114),0,IF(AND(DI111&lt;=$C115,$C121=1,MOD(MONTH(DI111)-MONTH($C113),6)=0),1,IF(AND(MOD(MONTH(DI111)-MONTH($C113),$C120)=0,DI111&gt;=$C115),1,0)))</f>
        <v>0</v>
      </c>
      <c r="DJ121" s="160">
        <f t="shared" ref="DJ121" si="2051">IF(OR(DJ111&lt;=$C113,DJ111&gt;$C114),0,IF(AND(DJ111&lt;=$C115,$C121=1,MOD(MONTH(DJ111)-MONTH($C113),6)=0),1,IF(AND(MOD(MONTH(DJ111)-MONTH($C113),$C120)=0,DJ111&gt;=$C115),1,0)))</f>
        <v>0</v>
      </c>
      <c r="DK121" s="160">
        <f t="shared" ref="DK121" si="2052">IF(OR(DK111&lt;=$C113,DK111&gt;$C114),0,IF(AND(DK111&lt;=$C115,$C121=1,MOD(MONTH(DK111)-MONTH($C113),6)=0),1,IF(AND(MOD(MONTH(DK111)-MONTH($C113),$C120)=0,DK111&gt;=$C115),1,0)))</f>
        <v>0</v>
      </c>
      <c r="DL121" s="160">
        <f t="shared" ref="DL121" si="2053">IF(OR(DL111&lt;=$C113,DL111&gt;$C114),0,IF(AND(DL111&lt;=$C115,$C121=1,MOD(MONTH(DL111)-MONTH($C113),6)=0),1,IF(AND(MOD(MONTH(DL111)-MONTH($C113),$C120)=0,DL111&gt;=$C115),1,0)))</f>
        <v>0</v>
      </c>
      <c r="DM121" s="160">
        <f t="shared" ref="DM121" si="2054">IF(OR(DM111&lt;=$C113,DM111&gt;$C114),0,IF(AND(DM111&lt;=$C115,$C121=1,MOD(MONTH(DM111)-MONTH($C113),6)=0),1,IF(AND(MOD(MONTH(DM111)-MONTH($C113),$C120)=0,DM111&gt;=$C115),1,0)))</f>
        <v>0</v>
      </c>
      <c r="DN121" s="160">
        <f t="shared" ref="DN121" si="2055">IF(OR(DN111&lt;=$C113,DN111&gt;$C114),0,IF(AND(DN111&lt;=$C115,$C121=1,MOD(MONTH(DN111)-MONTH($C113),6)=0),1,IF(AND(MOD(MONTH(DN111)-MONTH($C113),$C120)=0,DN111&gt;=$C115),1,0)))</f>
        <v>0</v>
      </c>
      <c r="DO121" s="160">
        <f t="shared" ref="DO121" si="2056">IF(OR(DO111&lt;=$C113,DO111&gt;$C114),0,IF(AND(DO111&lt;=$C115,$C121=1,MOD(MONTH(DO111)-MONTH($C113),6)=0),1,IF(AND(MOD(MONTH(DO111)-MONTH($C113),$C120)=0,DO111&gt;=$C115),1,0)))</f>
        <v>0</v>
      </c>
      <c r="DP121" s="160">
        <f t="shared" ref="DP121" si="2057">IF(OR(DP111&lt;=$C113,DP111&gt;$C114),0,IF(AND(DP111&lt;=$C115,$C121=1,MOD(MONTH(DP111)-MONTH($C113),6)=0),1,IF(AND(MOD(MONTH(DP111)-MONTH($C113),$C120)=0,DP111&gt;=$C115),1,0)))</f>
        <v>0</v>
      </c>
      <c r="DQ121" s="160">
        <f t="shared" ref="DQ121" si="2058">IF(OR(DQ111&lt;=$C113,DQ111&gt;$C114),0,IF(AND(DQ111&lt;=$C115,$C121=1,MOD(MONTH(DQ111)-MONTH($C113),6)=0),1,IF(AND(MOD(MONTH(DQ111)-MONTH($C113),$C120)=0,DQ111&gt;=$C115),1,0)))</f>
        <v>0</v>
      </c>
      <c r="DR121" s="160">
        <f t="shared" ref="DR121" si="2059">IF(OR(DR111&lt;=$C113,DR111&gt;$C114),0,IF(AND(DR111&lt;=$C115,$C121=1,MOD(MONTH(DR111)-MONTH($C113),6)=0),1,IF(AND(MOD(MONTH(DR111)-MONTH($C113),$C120)=0,DR111&gt;=$C115),1,0)))</f>
        <v>0</v>
      </c>
      <c r="DS121" s="160">
        <f t="shared" ref="DS121" si="2060">IF(OR(DS111&lt;=$C113,DS111&gt;$C114),0,IF(AND(DS111&lt;=$C115,$C121=1,MOD(MONTH(DS111)-MONTH($C113),6)=0),1,IF(AND(MOD(MONTH(DS111)-MONTH($C113),$C120)=0,DS111&gt;=$C115),1,0)))</f>
        <v>0</v>
      </c>
      <c r="DT121" s="160">
        <f t="shared" ref="DT121" si="2061">IF(OR(DT111&lt;=$C113,DT111&gt;$C114),0,IF(AND(DT111&lt;=$C115,$C121=1,MOD(MONTH(DT111)-MONTH($C113),6)=0),1,IF(AND(MOD(MONTH(DT111)-MONTH($C113),$C120)=0,DT111&gt;=$C115),1,0)))</f>
        <v>0</v>
      </c>
      <c r="DU121" s="160">
        <f t="shared" ref="DU121" si="2062">IF(OR(DU111&lt;=$C113,DU111&gt;$C114),0,IF(AND(DU111&lt;=$C115,$C121=1,MOD(MONTH(DU111)-MONTH($C113),6)=0),1,IF(AND(MOD(MONTH(DU111)-MONTH($C113),$C120)=0,DU111&gt;=$C115),1,0)))</f>
        <v>0</v>
      </c>
      <c r="DV121" s="160">
        <f t="shared" ref="DV121" si="2063">IF(OR(DV111&lt;=$C113,DV111&gt;$C114),0,IF(AND(DV111&lt;=$C115,$C121=1,MOD(MONTH(DV111)-MONTH($C113),6)=0),1,IF(AND(MOD(MONTH(DV111)-MONTH($C113),$C120)=0,DV111&gt;=$C115),1,0)))</f>
        <v>0</v>
      </c>
      <c r="DW121" s="160">
        <f t="shared" ref="DW121" si="2064">IF(OR(DW111&lt;=$C113,DW111&gt;$C114),0,IF(AND(DW111&lt;=$C115,$C121=1,MOD(MONTH(DW111)-MONTH($C113),6)=0),1,IF(AND(MOD(MONTH(DW111)-MONTH($C113),$C120)=0,DW111&gt;=$C115),1,0)))</f>
        <v>0</v>
      </c>
      <c r="DX121" s="160">
        <f t="shared" ref="DX121" si="2065">IF(OR(DX111&lt;=$C113,DX111&gt;$C114),0,IF(AND(DX111&lt;=$C115,$C121=1,MOD(MONTH(DX111)-MONTH($C113),6)=0),1,IF(AND(MOD(MONTH(DX111)-MONTH($C113),$C120)=0,DX111&gt;=$C115),1,0)))</f>
        <v>0</v>
      </c>
      <c r="DY121" s="160">
        <f t="shared" ref="DY121" si="2066">IF(OR(DY111&lt;=$C113,DY111&gt;$C114),0,IF(AND(DY111&lt;=$C115,$C121=1,MOD(MONTH(DY111)-MONTH($C113),6)=0),1,IF(AND(MOD(MONTH(DY111)-MONTH($C113),$C120)=0,DY111&gt;=$C115),1,0)))</f>
        <v>0</v>
      </c>
      <c r="DZ121" s="160">
        <f t="shared" ref="DZ121" si="2067">IF(OR(DZ111&lt;=$C113,DZ111&gt;$C114),0,IF(AND(DZ111&lt;=$C115,$C121=1,MOD(MONTH(DZ111)-MONTH($C113),6)=0),1,IF(AND(MOD(MONTH(DZ111)-MONTH($C113),$C120)=0,DZ111&gt;=$C115),1,0)))</f>
        <v>0</v>
      </c>
      <c r="EA121" s="160">
        <f t="shared" ref="EA121" si="2068">IF(OR(EA111&lt;=$C113,EA111&gt;$C114),0,IF(AND(EA111&lt;=$C115,$C121=1,MOD(MONTH(EA111)-MONTH($C113),6)=0),1,IF(AND(MOD(MONTH(EA111)-MONTH($C113),$C120)=0,EA111&gt;=$C115),1,0)))</f>
        <v>0</v>
      </c>
      <c r="EB121" s="160">
        <f t="shared" ref="EB121" si="2069">IF(OR(EB111&lt;=$C113,EB111&gt;$C114),0,IF(AND(EB111&lt;=$C115,$C121=1,MOD(MONTH(EB111)-MONTH($C113),6)=0),1,IF(AND(MOD(MONTH(EB111)-MONTH($C113),$C120)=0,EB111&gt;=$C115),1,0)))</f>
        <v>0</v>
      </c>
      <c r="EC121" s="160">
        <f t="shared" ref="EC121" si="2070">IF(OR(EC111&lt;=$C113,EC111&gt;$C114),0,IF(AND(EC111&lt;=$C115,$C121=1,MOD(MONTH(EC111)-MONTH($C113),6)=0),1,IF(AND(MOD(MONTH(EC111)-MONTH($C113),$C120)=0,EC111&gt;=$C115),1,0)))</f>
        <v>0</v>
      </c>
      <c r="ED121" s="160">
        <f t="shared" ref="ED121" si="2071">IF(OR(ED111&lt;=$C113,ED111&gt;$C114),0,IF(AND(ED111&lt;=$C115,$C121=1,MOD(MONTH(ED111)-MONTH($C113),6)=0),1,IF(AND(MOD(MONTH(ED111)-MONTH($C113),$C120)=0,ED111&gt;=$C115),1,0)))</f>
        <v>0</v>
      </c>
      <c r="EE121" s="160">
        <f t="shared" ref="EE121" si="2072">IF(OR(EE111&lt;=$C113,EE111&gt;$C114),0,IF(AND(EE111&lt;=$C115,$C121=1,MOD(MONTH(EE111)-MONTH($C113),6)=0),1,IF(AND(MOD(MONTH(EE111)-MONTH($C113),$C120)=0,EE111&gt;=$C115),1,0)))</f>
        <v>0</v>
      </c>
      <c r="EF121" s="160">
        <f t="shared" ref="EF121" si="2073">IF(OR(EF111&lt;=$C113,EF111&gt;$C114),0,IF(AND(EF111&lt;=$C115,$C121=1,MOD(MONTH(EF111)-MONTH($C113),6)=0),1,IF(AND(MOD(MONTH(EF111)-MONTH($C113),$C120)=0,EF111&gt;=$C115),1,0)))</f>
        <v>0</v>
      </c>
      <c r="EG121" s="160">
        <f t="shared" ref="EG121" si="2074">IF(OR(EG111&lt;=$C113,EG111&gt;$C114),0,IF(AND(EG111&lt;=$C115,$C121=1,MOD(MONTH(EG111)-MONTH($C113),6)=0),1,IF(AND(MOD(MONTH(EG111)-MONTH($C113),$C120)=0,EG111&gt;=$C115),1,0)))</f>
        <v>0</v>
      </c>
      <c r="EH121" s="160">
        <f t="shared" ref="EH121" si="2075">IF(OR(EH111&lt;=$C113,EH111&gt;$C114),0,IF(AND(EH111&lt;=$C115,$C121=1,MOD(MONTH(EH111)-MONTH($C113),6)=0),1,IF(AND(MOD(MONTH(EH111)-MONTH($C113),$C120)=0,EH111&gt;=$C115),1,0)))</f>
        <v>0</v>
      </c>
      <c r="EI121" s="160">
        <f t="shared" ref="EI121" si="2076">IF(OR(EI111&lt;=$C113,EI111&gt;$C114),0,IF(AND(EI111&lt;=$C115,$C121=1,MOD(MONTH(EI111)-MONTH($C113),6)=0),1,IF(AND(MOD(MONTH(EI111)-MONTH($C113),$C120)=0,EI111&gt;=$C115),1,0)))</f>
        <v>0</v>
      </c>
      <c r="EJ121" s="160">
        <f t="shared" ref="EJ121" si="2077">IF(OR(EJ111&lt;=$C113,EJ111&gt;$C114),0,IF(AND(EJ111&lt;=$C115,$C121=1,MOD(MONTH(EJ111)-MONTH($C113),6)=0),1,IF(AND(MOD(MONTH(EJ111)-MONTH($C113),$C120)=0,EJ111&gt;=$C115),1,0)))</f>
        <v>0</v>
      </c>
      <c r="EK121" s="160">
        <f t="shared" ref="EK121" si="2078">IF(OR(EK111&lt;=$C113,EK111&gt;$C114),0,IF(AND(EK111&lt;=$C115,$C121=1,MOD(MONTH(EK111)-MONTH($C113),6)=0),1,IF(AND(MOD(MONTH(EK111)-MONTH($C113),$C120)=0,EK111&gt;=$C115),1,0)))</f>
        <v>0</v>
      </c>
      <c r="EL121" s="160">
        <f t="shared" ref="EL121" si="2079">IF(OR(EL111&lt;=$C113,EL111&gt;$C114),0,IF(AND(EL111&lt;=$C115,$C121=1,MOD(MONTH(EL111)-MONTH($C113),6)=0),1,IF(AND(MOD(MONTH(EL111)-MONTH($C113),$C120)=0,EL111&gt;=$C115),1,0)))</f>
        <v>0</v>
      </c>
      <c r="EM121" s="160">
        <f t="shared" ref="EM121" si="2080">IF(OR(EM111&lt;=$C113,EM111&gt;$C114),0,IF(AND(EM111&lt;=$C115,$C121=1,MOD(MONTH(EM111)-MONTH($C113),6)=0),1,IF(AND(MOD(MONTH(EM111)-MONTH($C113),$C120)=0,EM111&gt;=$C115),1,0)))</f>
        <v>0</v>
      </c>
      <c r="EN121" s="160">
        <f t="shared" ref="EN121" si="2081">IF(OR(EN111&lt;=$C113,EN111&gt;$C114),0,IF(AND(EN111&lt;=$C115,$C121=1,MOD(MONTH(EN111)-MONTH($C113),6)=0),1,IF(AND(MOD(MONTH(EN111)-MONTH($C113),$C120)=0,EN111&gt;=$C115),1,0)))</f>
        <v>0</v>
      </c>
      <c r="EO121" s="160">
        <f t="shared" ref="EO121" si="2082">IF(OR(EO111&lt;=$C113,EO111&gt;$C114),0,IF(AND(EO111&lt;=$C115,$C121=1,MOD(MONTH(EO111)-MONTH($C113),6)=0),1,IF(AND(MOD(MONTH(EO111)-MONTH($C113),$C120)=0,EO111&gt;=$C115),1,0)))</f>
        <v>0</v>
      </c>
      <c r="EP121" s="160">
        <f t="shared" ref="EP121" si="2083">IF(OR(EP111&lt;=$C113,EP111&gt;$C114),0,IF(AND(EP111&lt;=$C115,$C121=1,MOD(MONTH(EP111)-MONTH($C113),6)=0),1,IF(AND(MOD(MONTH(EP111)-MONTH($C113),$C120)=0,EP111&gt;=$C115),1,0)))</f>
        <v>0</v>
      </c>
      <c r="EQ121" s="160">
        <f t="shared" ref="EQ121" si="2084">IF(OR(EQ111&lt;=$C113,EQ111&gt;$C114),0,IF(AND(EQ111&lt;=$C115,$C121=1,MOD(MONTH(EQ111)-MONTH($C113),6)=0),1,IF(AND(MOD(MONTH(EQ111)-MONTH($C113),$C120)=0,EQ111&gt;=$C115),1,0)))</f>
        <v>0</v>
      </c>
      <c r="ER121" s="160">
        <f t="shared" ref="ER121" si="2085">IF(OR(ER111&lt;=$C113,ER111&gt;$C114),0,IF(AND(ER111&lt;=$C115,$C121=1,MOD(MONTH(ER111)-MONTH($C113),6)=0),1,IF(AND(MOD(MONTH(ER111)-MONTH($C113),$C120)=0,ER111&gt;=$C115),1,0)))</f>
        <v>0</v>
      </c>
      <c r="ES121" s="160">
        <f t="shared" ref="ES121" si="2086">IF(OR(ES111&lt;=$C113,ES111&gt;$C114),0,IF(AND(ES111&lt;=$C115,$C121=1,MOD(MONTH(ES111)-MONTH($C113),6)=0),1,IF(AND(MOD(MONTH(ES111)-MONTH($C113),$C120)=0,ES111&gt;=$C115),1,0)))</f>
        <v>0</v>
      </c>
      <c r="ET121" s="160">
        <f t="shared" ref="ET121" si="2087">IF(OR(ET111&lt;=$C113,ET111&gt;$C114),0,IF(AND(ET111&lt;=$C115,$C121=1,MOD(MONTH(ET111)-MONTH($C113),6)=0),1,IF(AND(MOD(MONTH(ET111)-MONTH($C113),$C120)=0,ET111&gt;=$C115),1,0)))</f>
        <v>0</v>
      </c>
      <c r="EU121" s="160">
        <f t="shared" ref="EU121" si="2088">IF(OR(EU111&lt;=$C113,EU111&gt;$C114),0,IF(AND(EU111&lt;=$C115,$C121=1,MOD(MONTH(EU111)-MONTH($C113),6)=0),1,IF(AND(MOD(MONTH(EU111)-MONTH($C113),$C120)=0,EU111&gt;=$C115),1,0)))</f>
        <v>0</v>
      </c>
      <c r="EV121" s="160">
        <f t="shared" ref="EV121" si="2089">IF(OR(EV111&lt;=$C113,EV111&gt;$C114),0,IF(AND(EV111&lt;=$C115,$C121=1,MOD(MONTH(EV111)-MONTH($C113),6)=0),1,IF(AND(MOD(MONTH(EV111)-MONTH($C113),$C120)=0,EV111&gt;=$C115),1,0)))</f>
        <v>0</v>
      </c>
      <c r="EW121" s="160">
        <f t="shared" ref="EW121" si="2090">IF(OR(EW111&lt;=$C113,EW111&gt;$C114),0,IF(AND(EW111&lt;=$C115,$C121=1,MOD(MONTH(EW111)-MONTH($C113),6)=0),1,IF(AND(MOD(MONTH(EW111)-MONTH($C113),$C120)=0,EW111&gt;=$C115),1,0)))</f>
        <v>0</v>
      </c>
      <c r="EX121" s="160">
        <f t="shared" ref="EX121" si="2091">IF(OR(EX111&lt;=$C113,EX111&gt;$C114),0,IF(AND(EX111&lt;=$C115,$C121=1,MOD(MONTH(EX111)-MONTH($C113),6)=0),1,IF(AND(MOD(MONTH(EX111)-MONTH($C113),$C120)=0,EX111&gt;=$C115),1,0)))</f>
        <v>0</v>
      </c>
      <c r="EY121" s="160">
        <f t="shared" ref="EY121" si="2092">IF(OR(EY111&lt;=$C113,EY111&gt;$C114),0,IF(AND(EY111&lt;=$C115,$C121=1,MOD(MONTH(EY111)-MONTH($C113),6)=0),1,IF(AND(MOD(MONTH(EY111)-MONTH($C113),$C120)=0,EY111&gt;=$C115),1,0)))</f>
        <v>0</v>
      </c>
      <c r="EZ121" s="160">
        <f t="shared" ref="EZ121" si="2093">IF(OR(EZ111&lt;=$C113,EZ111&gt;$C114),0,IF(AND(EZ111&lt;=$C115,$C121=1,MOD(MONTH(EZ111)-MONTH($C113),6)=0),1,IF(AND(MOD(MONTH(EZ111)-MONTH($C113),$C120)=0,EZ111&gt;=$C115),1,0)))</f>
        <v>0</v>
      </c>
      <c r="FA121" s="160">
        <f t="shared" ref="FA121" si="2094">IF(OR(FA111&lt;=$C113,FA111&gt;$C114),0,IF(AND(FA111&lt;=$C115,$C121=1,MOD(MONTH(FA111)-MONTH($C113),6)=0),1,IF(AND(MOD(MONTH(FA111)-MONTH($C113),$C120)=0,FA111&gt;=$C115),1,0)))</f>
        <v>0</v>
      </c>
      <c r="FB121" s="160">
        <f t="shared" ref="FB121" si="2095">IF(OR(FB111&lt;=$C113,FB111&gt;$C114),0,IF(AND(FB111&lt;=$C115,$C121=1,MOD(MONTH(FB111)-MONTH($C113),6)=0),1,IF(AND(MOD(MONTH(FB111)-MONTH($C113),$C120)=0,FB111&gt;=$C115),1,0)))</f>
        <v>0</v>
      </c>
      <c r="FC121" s="160">
        <f t="shared" ref="FC121" si="2096">IF(OR(FC111&lt;=$C113,FC111&gt;$C114),0,IF(AND(FC111&lt;=$C115,$C121=1,MOD(MONTH(FC111)-MONTH($C113),6)=0),1,IF(AND(MOD(MONTH(FC111)-MONTH($C113),$C120)=0,FC111&gt;=$C115),1,0)))</f>
        <v>0</v>
      </c>
      <c r="FD121" s="160">
        <f t="shared" ref="FD121" si="2097">IF(OR(FD111&lt;=$C113,FD111&gt;$C114),0,IF(AND(FD111&lt;=$C115,$C121=1,MOD(MONTH(FD111)-MONTH($C113),6)=0),1,IF(AND(MOD(MONTH(FD111)-MONTH($C113),$C120)=0,FD111&gt;=$C115),1,0)))</f>
        <v>0</v>
      </c>
      <c r="FE121" s="160">
        <f t="shared" ref="FE121" si="2098">IF(OR(FE111&lt;=$C113,FE111&gt;$C114),0,IF(AND(FE111&lt;=$C115,$C121=1,MOD(MONTH(FE111)-MONTH($C113),6)=0),1,IF(AND(MOD(MONTH(FE111)-MONTH($C113),$C120)=0,FE111&gt;=$C115),1,0)))</f>
        <v>0</v>
      </c>
      <c r="FF121" s="160">
        <f t="shared" ref="FF121" si="2099">IF(OR(FF111&lt;=$C113,FF111&gt;$C114),0,IF(AND(FF111&lt;=$C115,$C121=1,MOD(MONTH(FF111)-MONTH($C113),6)=0),1,IF(AND(MOD(MONTH(FF111)-MONTH($C113),$C120)=0,FF111&gt;=$C115),1,0)))</f>
        <v>0</v>
      </c>
      <c r="FG121" s="160">
        <f t="shared" ref="FG121" si="2100">IF(OR(FG111&lt;=$C113,FG111&gt;$C114),0,IF(AND(FG111&lt;=$C115,$C121=1,MOD(MONTH(FG111)-MONTH($C113),6)=0),1,IF(AND(MOD(MONTH(FG111)-MONTH($C113),$C120)=0,FG111&gt;=$C115),1,0)))</f>
        <v>0</v>
      </c>
      <c r="FH121" s="160">
        <f t="shared" ref="FH121" si="2101">IF(OR(FH111&lt;=$C113,FH111&gt;$C114),0,IF(AND(FH111&lt;=$C115,$C121=1,MOD(MONTH(FH111)-MONTH($C113),6)=0),1,IF(AND(MOD(MONTH(FH111)-MONTH($C113),$C120)=0,FH111&gt;=$C115),1,0)))</f>
        <v>0</v>
      </c>
      <c r="FI121" s="160">
        <f t="shared" ref="FI121" si="2102">IF(OR(FI111&lt;=$C113,FI111&gt;$C114),0,IF(AND(FI111&lt;=$C115,$C121=1,MOD(MONTH(FI111)-MONTH($C113),6)=0),1,IF(AND(MOD(MONTH(FI111)-MONTH($C113),$C120)=0,FI111&gt;=$C115),1,0)))</f>
        <v>0</v>
      </c>
      <c r="FJ121" s="160">
        <f t="shared" ref="FJ121" si="2103">IF(OR(FJ111&lt;=$C113,FJ111&gt;$C114),0,IF(AND(FJ111&lt;=$C115,$C121=1,MOD(MONTH(FJ111)-MONTH($C113),6)=0),1,IF(AND(MOD(MONTH(FJ111)-MONTH($C113),$C120)=0,FJ111&gt;=$C115),1,0)))</f>
        <v>0</v>
      </c>
      <c r="FK121" s="160">
        <f t="shared" ref="FK121" si="2104">IF(OR(FK111&lt;=$C113,FK111&gt;$C114),0,IF(AND(FK111&lt;=$C115,$C121=1,MOD(MONTH(FK111)-MONTH($C113),6)=0),1,IF(AND(MOD(MONTH(FK111)-MONTH($C113),$C120)=0,FK111&gt;=$C115),1,0)))</f>
        <v>0</v>
      </c>
      <c r="FL121" s="160">
        <f t="shared" ref="FL121" si="2105">IF(OR(FL111&lt;=$C113,FL111&gt;$C114),0,IF(AND(FL111&lt;=$C115,$C121=1,MOD(MONTH(FL111)-MONTH($C113),6)=0),1,IF(AND(MOD(MONTH(FL111)-MONTH($C113),$C120)=0,FL111&gt;=$C115),1,0)))</f>
        <v>0</v>
      </c>
      <c r="FM121" s="160">
        <f t="shared" ref="FM121" si="2106">IF(OR(FM111&lt;=$C113,FM111&gt;$C114),0,IF(AND(FM111&lt;=$C115,$C121=1,MOD(MONTH(FM111)-MONTH($C113),6)=0),1,IF(AND(MOD(MONTH(FM111)-MONTH($C113),$C120)=0,FM111&gt;=$C115),1,0)))</f>
        <v>0</v>
      </c>
      <c r="FN121" s="160">
        <f t="shared" ref="FN121" si="2107">IF(OR(FN111&lt;=$C113,FN111&gt;$C114),0,IF(AND(FN111&lt;=$C115,$C121=1,MOD(MONTH(FN111)-MONTH($C113),6)=0),1,IF(AND(MOD(MONTH(FN111)-MONTH($C113),$C120)=0,FN111&gt;=$C115),1,0)))</f>
        <v>0</v>
      </c>
      <c r="FO121" s="160">
        <f t="shared" ref="FO121" si="2108">IF(OR(FO111&lt;=$C113,FO111&gt;$C114),0,IF(AND(FO111&lt;=$C115,$C121=1,MOD(MONTH(FO111)-MONTH($C113),6)=0),1,IF(AND(MOD(MONTH(FO111)-MONTH($C113),$C120)=0,FO111&gt;=$C115),1,0)))</f>
        <v>0</v>
      </c>
      <c r="FP121" s="160">
        <f t="shared" ref="FP121" si="2109">IF(OR(FP111&lt;=$C113,FP111&gt;$C114),0,IF(AND(FP111&lt;=$C115,$C121=1,MOD(MONTH(FP111)-MONTH($C113),6)=0),1,IF(AND(MOD(MONTH(FP111)-MONTH($C113),$C120)=0,FP111&gt;=$C115),1,0)))</f>
        <v>0</v>
      </c>
      <c r="FQ121" s="160">
        <f t="shared" ref="FQ121" si="2110">IF(OR(FQ111&lt;=$C113,FQ111&gt;$C114),0,IF(AND(FQ111&lt;=$C115,$C121=1,MOD(MONTH(FQ111)-MONTH($C113),6)=0),1,IF(AND(MOD(MONTH(FQ111)-MONTH($C113),$C120)=0,FQ111&gt;=$C115),1,0)))</f>
        <v>0</v>
      </c>
      <c r="FR121" s="160">
        <f t="shared" ref="FR121" si="2111">IF(OR(FR111&lt;=$C113,FR111&gt;$C114),0,IF(AND(FR111&lt;=$C115,$C121=1,MOD(MONTH(FR111)-MONTH($C113),6)=0),1,IF(AND(MOD(MONTH(FR111)-MONTH($C113),$C120)=0,FR111&gt;=$C115),1,0)))</f>
        <v>0</v>
      </c>
      <c r="FS121" s="160">
        <f t="shared" ref="FS121" si="2112">IF(OR(FS111&lt;=$C113,FS111&gt;$C114),0,IF(AND(FS111&lt;=$C115,$C121=1,MOD(MONTH(FS111)-MONTH($C113),6)=0),1,IF(AND(MOD(MONTH(FS111)-MONTH($C113),$C120)=0,FS111&gt;=$C115),1,0)))</f>
        <v>0</v>
      </c>
      <c r="FT121" s="160">
        <f t="shared" ref="FT121" si="2113">IF(OR(FT111&lt;=$C113,FT111&gt;$C114),0,IF(AND(FT111&lt;=$C115,$C121=1,MOD(MONTH(FT111)-MONTH($C113),6)=0),1,IF(AND(MOD(MONTH(FT111)-MONTH($C113),$C120)=0,FT111&gt;=$C115),1,0)))</f>
        <v>0</v>
      </c>
      <c r="FU121" s="160">
        <f t="shared" ref="FU121" si="2114">IF(OR(FU111&lt;=$C113,FU111&gt;$C114),0,IF(AND(FU111&lt;=$C115,$C121=1,MOD(MONTH(FU111)-MONTH($C113),6)=0),1,IF(AND(MOD(MONTH(FU111)-MONTH($C113),$C120)=0,FU111&gt;=$C115),1,0)))</f>
        <v>0</v>
      </c>
      <c r="FV121" s="160">
        <f t="shared" ref="FV121" si="2115">IF(OR(FV111&lt;=$C113,FV111&gt;$C114),0,IF(AND(FV111&lt;=$C115,$C121=1,MOD(MONTH(FV111)-MONTH($C113),6)=0),1,IF(AND(MOD(MONTH(FV111)-MONTH($C113),$C120)=0,FV111&gt;=$C115),1,0)))</f>
        <v>0</v>
      </c>
      <c r="FW121" s="160">
        <f t="shared" ref="FW121" si="2116">IF(OR(FW111&lt;=$C113,FW111&gt;$C114),0,IF(AND(FW111&lt;=$C115,$C121=1,MOD(MONTH(FW111)-MONTH($C113),6)=0),1,IF(AND(MOD(MONTH(FW111)-MONTH($C113),$C120)=0,FW111&gt;=$C115),1,0)))</f>
        <v>0</v>
      </c>
      <c r="FX121" s="160">
        <f t="shared" ref="FX121" si="2117">IF(OR(FX111&lt;=$C113,FX111&gt;$C114),0,IF(AND(FX111&lt;=$C115,$C121=1,MOD(MONTH(FX111)-MONTH($C113),6)=0),1,IF(AND(MOD(MONTH(FX111)-MONTH($C113),$C120)=0,FX111&gt;=$C115),1,0)))</f>
        <v>0</v>
      </c>
      <c r="FY121" s="160">
        <f t="shared" ref="FY121" si="2118">IF(OR(FY111&lt;=$C113,FY111&gt;$C114),0,IF(AND(FY111&lt;=$C115,$C121=1,MOD(MONTH(FY111)-MONTH($C113),6)=0),1,IF(AND(MOD(MONTH(FY111)-MONTH($C113),$C120)=0,FY111&gt;=$C115),1,0)))</f>
        <v>0</v>
      </c>
      <c r="FZ121" s="160">
        <f t="shared" ref="FZ121" si="2119">IF(OR(FZ111&lt;=$C113,FZ111&gt;$C114),0,IF(AND(FZ111&lt;=$C115,$C121=1,MOD(MONTH(FZ111)-MONTH($C113),6)=0),1,IF(AND(MOD(MONTH(FZ111)-MONTH($C113),$C120)=0,FZ111&gt;=$C115),1,0)))</f>
        <v>0</v>
      </c>
      <c r="GA121" s="160">
        <f t="shared" ref="GA121" si="2120">IF(OR(GA111&lt;=$C113,GA111&gt;$C114),0,IF(AND(GA111&lt;=$C115,$C121=1,MOD(MONTH(GA111)-MONTH($C113),6)=0),1,IF(AND(MOD(MONTH(GA111)-MONTH($C113),$C120)=0,GA111&gt;=$C115),1,0)))</f>
        <v>0</v>
      </c>
      <c r="GB121" s="160">
        <f t="shared" ref="GB121" si="2121">IF(OR(GB111&lt;=$C113,GB111&gt;$C114),0,IF(AND(GB111&lt;=$C115,$C121=1,MOD(MONTH(GB111)-MONTH($C113),6)=0),1,IF(AND(MOD(MONTH(GB111)-MONTH($C113),$C120)=0,GB111&gt;=$C115),1,0)))</f>
        <v>0</v>
      </c>
      <c r="GC121" s="160">
        <f t="shared" ref="GC121" si="2122">IF(OR(GC111&lt;=$C113,GC111&gt;$C114),0,IF(AND(GC111&lt;=$C115,$C121=1,MOD(MONTH(GC111)-MONTH($C113),6)=0),1,IF(AND(MOD(MONTH(GC111)-MONTH($C113),$C120)=0,GC111&gt;=$C115),1,0)))</f>
        <v>0</v>
      </c>
      <c r="GD121" s="160">
        <f t="shared" ref="GD121" si="2123">IF(OR(GD111&lt;=$C113,GD111&gt;$C114),0,IF(AND(GD111&lt;=$C115,$C121=1,MOD(MONTH(GD111)-MONTH($C113),6)=0),1,IF(AND(MOD(MONTH(GD111)-MONTH($C113),$C120)=0,GD111&gt;=$C115),1,0)))</f>
        <v>0</v>
      </c>
      <c r="GE121" s="160">
        <f t="shared" ref="GE121" si="2124">IF(OR(GE111&lt;=$C113,GE111&gt;$C114),0,IF(AND(GE111&lt;=$C115,$C121=1,MOD(MONTH(GE111)-MONTH($C113),6)=0),1,IF(AND(MOD(MONTH(GE111)-MONTH($C113),$C120)=0,GE111&gt;=$C115),1,0)))</f>
        <v>0</v>
      </c>
      <c r="GF121" s="160">
        <f t="shared" ref="GF121" si="2125">IF(OR(GF111&lt;=$C113,GF111&gt;$C114),0,IF(AND(GF111&lt;=$C115,$C121=1,MOD(MONTH(GF111)-MONTH($C113),6)=0),1,IF(AND(MOD(MONTH(GF111)-MONTH($C113),$C120)=0,GF111&gt;=$C115),1,0)))</f>
        <v>0</v>
      </c>
      <c r="GG121" s="160">
        <f t="shared" ref="GG121" si="2126">IF(OR(GG111&lt;=$C113,GG111&gt;$C114),0,IF(AND(GG111&lt;=$C115,$C121=1,MOD(MONTH(GG111)-MONTH($C113),6)=0),1,IF(AND(MOD(MONTH(GG111)-MONTH($C113),$C120)=0,GG111&gt;=$C115),1,0)))</f>
        <v>0</v>
      </c>
      <c r="GH121" s="160">
        <f t="shared" ref="GH121" si="2127">IF(OR(GH111&lt;=$C113,GH111&gt;$C114),0,IF(AND(GH111&lt;=$C115,$C121=1,MOD(MONTH(GH111)-MONTH($C113),6)=0),1,IF(AND(MOD(MONTH(GH111)-MONTH($C113),$C120)=0,GH111&gt;=$C115),1,0)))</f>
        <v>0</v>
      </c>
      <c r="GI121" s="160">
        <f t="shared" ref="GI121" si="2128">IF(OR(GI111&lt;=$C113,GI111&gt;$C114),0,IF(AND(GI111&lt;=$C115,$C121=1,MOD(MONTH(GI111)-MONTH($C113),6)=0),1,IF(AND(MOD(MONTH(GI111)-MONTH($C113),$C120)=0,GI111&gt;=$C115),1,0)))</f>
        <v>0</v>
      </c>
      <c r="GJ121" s="160">
        <f t="shared" ref="GJ121" si="2129">IF(OR(GJ111&lt;=$C113,GJ111&gt;$C114),0,IF(AND(GJ111&lt;=$C115,$C121=1,MOD(MONTH(GJ111)-MONTH($C113),6)=0),1,IF(AND(MOD(MONTH(GJ111)-MONTH($C113),$C120)=0,GJ111&gt;=$C115),1,0)))</f>
        <v>0</v>
      </c>
      <c r="GK121" s="160">
        <f t="shared" ref="GK121" si="2130">IF(OR(GK111&lt;=$C113,GK111&gt;$C114),0,IF(AND(GK111&lt;=$C115,$C121=1,MOD(MONTH(GK111)-MONTH($C113),6)=0),1,IF(AND(MOD(MONTH(GK111)-MONTH($C113),$C120)=0,GK111&gt;=$C115),1,0)))</f>
        <v>0</v>
      </c>
      <c r="GL121" s="160">
        <f t="shared" ref="GL121" si="2131">IF(OR(GL111&lt;=$C113,GL111&gt;$C114),0,IF(AND(GL111&lt;=$C115,$C121=1,MOD(MONTH(GL111)-MONTH($C113),6)=0),1,IF(AND(MOD(MONTH(GL111)-MONTH($C113),$C120)=0,GL111&gt;=$C115),1,0)))</f>
        <v>0</v>
      </c>
      <c r="GM121" s="160">
        <f t="shared" ref="GM121" si="2132">IF(OR(GM111&lt;=$C113,GM111&gt;$C114),0,IF(AND(GM111&lt;=$C115,$C121=1,MOD(MONTH(GM111)-MONTH($C113),6)=0),1,IF(AND(MOD(MONTH(GM111)-MONTH($C113),$C120)=0,GM111&gt;=$C115),1,0)))</f>
        <v>0</v>
      </c>
      <c r="GN121" s="160">
        <f t="shared" ref="GN121" si="2133">IF(OR(GN111&lt;=$C113,GN111&gt;$C114),0,IF(AND(GN111&lt;=$C115,$C121=1,MOD(MONTH(GN111)-MONTH($C113),6)=0),1,IF(AND(MOD(MONTH(GN111)-MONTH($C113),$C120)=0,GN111&gt;=$C115),1,0)))</f>
        <v>0</v>
      </c>
      <c r="GO121" s="160">
        <f t="shared" ref="GO121" si="2134">IF(OR(GO111&lt;=$C113,GO111&gt;$C114),0,IF(AND(GO111&lt;=$C115,$C121=1,MOD(MONTH(GO111)-MONTH($C113),6)=0),1,IF(AND(MOD(MONTH(GO111)-MONTH($C113),$C120)=0,GO111&gt;=$C115),1,0)))</f>
        <v>0</v>
      </c>
      <c r="GP121" s="160">
        <f t="shared" ref="GP121" si="2135">IF(OR(GP111&lt;=$C113,GP111&gt;$C114),0,IF(AND(GP111&lt;=$C115,$C121=1,MOD(MONTH(GP111)-MONTH($C113),6)=0),1,IF(AND(MOD(MONTH(GP111)-MONTH($C113),$C120)=0,GP111&gt;=$C115),1,0)))</f>
        <v>0</v>
      </c>
      <c r="GQ121" s="160">
        <f t="shared" ref="GQ121" si="2136">IF(OR(GQ111&lt;=$C113,GQ111&gt;$C114),0,IF(AND(GQ111&lt;=$C115,$C121=1,MOD(MONTH(GQ111)-MONTH($C113),6)=0),1,IF(AND(MOD(MONTH(GQ111)-MONTH($C113),$C120)=0,GQ111&gt;=$C115),1,0)))</f>
        <v>0</v>
      </c>
    </row>
    <row r="122" spans="2:199" hidden="1" outlineLevel="1">
      <c r="B122" s="182" t="s">
        <v>412</v>
      </c>
      <c r="C122" s="131">
        <v>0</v>
      </c>
      <c r="D122" s="182" t="s">
        <v>405</v>
      </c>
      <c r="E122" s="160">
        <f>IF(E116&lt;&gt;"",1,0)</f>
        <v>0</v>
      </c>
      <c r="F122" s="160">
        <f t="shared" ref="F122:J122" si="2137">IF(F116&lt;&gt;"",1,0)</f>
        <v>0</v>
      </c>
      <c r="G122" s="160">
        <f t="shared" si="2137"/>
        <v>0</v>
      </c>
      <c r="H122" s="160">
        <f t="shared" si="2137"/>
        <v>0</v>
      </c>
      <c r="I122" s="160">
        <f t="shared" si="2137"/>
        <v>0</v>
      </c>
      <c r="J122" s="160">
        <f t="shared" si="2137"/>
        <v>0</v>
      </c>
      <c r="K122" s="160">
        <f t="shared" ref="K122:BV122" si="2138">IF(K116&lt;&gt;"",1,0)</f>
        <v>1</v>
      </c>
      <c r="L122" s="160">
        <f t="shared" si="2138"/>
        <v>0</v>
      </c>
      <c r="M122" s="160">
        <f t="shared" si="2138"/>
        <v>0</v>
      </c>
      <c r="N122" s="160">
        <f t="shared" si="2138"/>
        <v>0</v>
      </c>
      <c r="O122" s="160">
        <f t="shared" si="2138"/>
        <v>0</v>
      </c>
      <c r="P122" s="160">
        <f t="shared" si="2138"/>
        <v>0</v>
      </c>
      <c r="Q122" s="160">
        <f t="shared" si="2138"/>
        <v>1</v>
      </c>
      <c r="R122" s="160">
        <f t="shared" si="2138"/>
        <v>0</v>
      </c>
      <c r="S122" s="160">
        <f t="shared" si="2138"/>
        <v>0</v>
      </c>
      <c r="T122" s="160">
        <f t="shared" si="2138"/>
        <v>0</v>
      </c>
      <c r="U122" s="160">
        <f t="shared" si="2138"/>
        <v>0</v>
      </c>
      <c r="V122" s="160">
        <f t="shared" si="2138"/>
        <v>0</v>
      </c>
      <c r="W122" s="160">
        <f t="shared" si="2138"/>
        <v>1</v>
      </c>
      <c r="X122" s="160">
        <f t="shared" si="2138"/>
        <v>0</v>
      </c>
      <c r="Y122" s="160">
        <f t="shared" si="2138"/>
        <v>0</v>
      </c>
      <c r="Z122" s="160">
        <f t="shared" si="2138"/>
        <v>0</v>
      </c>
      <c r="AA122" s="160">
        <f t="shared" si="2138"/>
        <v>0</v>
      </c>
      <c r="AB122" s="160">
        <f t="shared" si="2138"/>
        <v>0</v>
      </c>
      <c r="AC122" s="160">
        <f t="shared" si="2138"/>
        <v>1</v>
      </c>
      <c r="AD122" s="160">
        <f t="shared" si="2138"/>
        <v>0</v>
      </c>
      <c r="AE122" s="160">
        <f t="shared" si="2138"/>
        <v>0</v>
      </c>
      <c r="AF122" s="160">
        <f t="shared" si="2138"/>
        <v>0</v>
      </c>
      <c r="AG122" s="160">
        <f t="shared" si="2138"/>
        <v>0</v>
      </c>
      <c r="AH122" s="160">
        <f t="shared" si="2138"/>
        <v>0</v>
      </c>
      <c r="AI122" s="160">
        <f t="shared" si="2138"/>
        <v>1</v>
      </c>
      <c r="AJ122" s="160">
        <f t="shared" si="2138"/>
        <v>0</v>
      </c>
      <c r="AK122" s="160">
        <f t="shared" si="2138"/>
        <v>0</v>
      </c>
      <c r="AL122" s="160">
        <f t="shared" si="2138"/>
        <v>0</v>
      </c>
      <c r="AM122" s="160">
        <f t="shared" si="2138"/>
        <v>0</v>
      </c>
      <c r="AN122" s="160">
        <f t="shared" si="2138"/>
        <v>0</v>
      </c>
      <c r="AO122" s="160">
        <f t="shared" si="2138"/>
        <v>1</v>
      </c>
      <c r="AP122" s="160">
        <f t="shared" si="2138"/>
        <v>0</v>
      </c>
      <c r="AQ122" s="160">
        <f t="shared" si="2138"/>
        <v>0</v>
      </c>
      <c r="AR122" s="160">
        <f t="shared" si="2138"/>
        <v>0</v>
      </c>
      <c r="AS122" s="160">
        <f t="shared" si="2138"/>
        <v>0</v>
      </c>
      <c r="AT122" s="160">
        <f t="shared" si="2138"/>
        <v>0</v>
      </c>
      <c r="AU122" s="160">
        <f t="shared" si="2138"/>
        <v>0</v>
      </c>
      <c r="AV122" s="160">
        <f t="shared" si="2138"/>
        <v>0</v>
      </c>
      <c r="AW122" s="160">
        <f t="shared" si="2138"/>
        <v>0</v>
      </c>
      <c r="AX122" s="160">
        <f t="shared" si="2138"/>
        <v>0</v>
      </c>
      <c r="AY122" s="160">
        <f t="shared" si="2138"/>
        <v>0</v>
      </c>
      <c r="AZ122" s="160">
        <f t="shared" si="2138"/>
        <v>0</v>
      </c>
      <c r="BA122" s="160">
        <f t="shared" si="2138"/>
        <v>0</v>
      </c>
      <c r="BB122" s="160">
        <f t="shared" si="2138"/>
        <v>0</v>
      </c>
      <c r="BC122" s="160">
        <f t="shared" si="2138"/>
        <v>0</v>
      </c>
      <c r="BD122" s="160">
        <f t="shared" si="2138"/>
        <v>0</v>
      </c>
      <c r="BE122" s="160">
        <f t="shared" si="2138"/>
        <v>0</v>
      </c>
      <c r="BF122" s="160">
        <f t="shared" si="2138"/>
        <v>0</v>
      </c>
      <c r="BG122" s="160">
        <f t="shared" si="2138"/>
        <v>0</v>
      </c>
      <c r="BH122" s="160">
        <f t="shared" si="2138"/>
        <v>0</v>
      </c>
      <c r="BI122" s="160">
        <f t="shared" si="2138"/>
        <v>0</v>
      </c>
      <c r="BJ122" s="160">
        <f t="shared" si="2138"/>
        <v>0</v>
      </c>
      <c r="BK122" s="160">
        <f t="shared" si="2138"/>
        <v>0</v>
      </c>
      <c r="BL122" s="160">
        <f t="shared" si="2138"/>
        <v>0</v>
      </c>
      <c r="BM122" s="160">
        <f t="shared" si="2138"/>
        <v>0</v>
      </c>
      <c r="BN122" s="160">
        <f t="shared" si="2138"/>
        <v>0</v>
      </c>
      <c r="BO122" s="160">
        <f t="shared" si="2138"/>
        <v>0</v>
      </c>
      <c r="BP122" s="160">
        <f t="shared" si="2138"/>
        <v>0</v>
      </c>
      <c r="BQ122" s="160">
        <f t="shared" si="2138"/>
        <v>0</v>
      </c>
      <c r="BR122" s="160">
        <f t="shared" si="2138"/>
        <v>0</v>
      </c>
      <c r="BS122" s="160">
        <f t="shared" si="2138"/>
        <v>0</v>
      </c>
      <c r="BT122" s="160">
        <f t="shared" si="2138"/>
        <v>0</v>
      </c>
      <c r="BU122" s="160">
        <f t="shared" si="2138"/>
        <v>0</v>
      </c>
      <c r="BV122" s="160">
        <f t="shared" si="2138"/>
        <v>0</v>
      </c>
      <c r="BW122" s="160">
        <f t="shared" ref="BW122:BZ122" si="2139">IF(BW116&lt;&gt;"",1,0)</f>
        <v>0</v>
      </c>
      <c r="BX122" s="160">
        <f t="shared" si="2139"/>
        <v>0</v>
      </c>
      <c r="BY122" s="160">
        <f t="shared" si="2139"/>
        <v>0</v>
      </c>
      <c r="BZ122" s="160">
        <f t="shared" si="2139"/>
        <v>0</v>
      </c>
      <c r="CA122" s="160">
        <f t="shared" ref="CA122:EC122" si="2140">IF(CA116&lt;&gt;"",1,0)</f>
        <v>0</v>
      </c>
      <c r="CB122" s="160">
        <f t="shared" si="2140"/>
        <v>0</v>
      </c>
      <c r="CC122" s="160">
        <f t="shared" si="2140"/>
        <v>0</v>
      </c>
      <c r="CD122" s="160">
        <f t="shared" si="2140"/>
        <v>0</v>
      </c>
      <c r="CE122" s="160">
        <f t="shared" si="2140"/>
        <v>0</v>
      </c>
      <c r="CF122" s="160">
        <f t="shared" si="2140"/>
        <v>0</v>
      </c>
      <c r="CG122" s="160">
        <f t="shared" si="2140"/>
        <v>0</v>
      </c>
      <c r="CH122" s="160">
        <f t="shared" si="2140"/>
        <v>0</v>
      </c>
      <c r="CI122" s="160">
        <f t="shared" si="2140"/>
        <v>0</v>
      </c>
      <c r="CJ122" s="160">
        <f t="shared" si="2140"/>
        <v>0</v>
      </c>
      <c r="CK122" s="160">
        <f t="shared" si="2140"/>
        <v>0</v>
      </c>
      <c r="CL122" s="160">
        <f t="shared" si="2140"/>
        <v>0</v>
      </c>
      <c r="CM122" s="160">
        <f t="shared" si="2140"/>
        <v>0</v>
      </c>
      <c r="CN122" s="160">
        <f t="shared" si="2140"/>
        <v>0</v>
      </c>
      <c r="CO122" s="160">
        <f t="shared" si="2140"/>
        <v>0</v>
      </c>
      <c r="CP122" s="160">
        <f t="shared" si="2140"/>
        <v>0</v>
      </c>
      <c r="CQ122" s="160">
        <f t="shared" si="2140"/>
        <v>0</v>
      </c>
      <c r="CR122" s="160">
        <f t="shared" si="2140"/>
        <v>0</v>
      </c>
      <c r="CS122" s="160">
        <f t="shared" si="2140"/>
        <v>0</v>
      </c>
      <c r="CT122" s="160">
        <f t="shared" si="2140"/>
        <v>0</v>
      </c>
      <c r="CU122" s="160">
        <f t="shared" si="2140"/>
        <v>0</v>
      </c>
      <c r="CV122" s="160">
        <f t="shared" si="2140"/>
        <v>0</v>
      </c>
      <c r="CW122" s="160">
        <f t="shared" si="2140"/>
        <v>0</v>
      </c>
      <c r="CX122" s="160">
        <f t="shared" si="2140"/>
        <v>0</v>
      </c>
      <c r="CY122" s="160">
        <f t="shared" si="2140"/>
        <v>0</v>
      </c>
      <c r="CZ122" s="160">
        <f t="shared" si="2140"/>
        <v>0</v>
      </c>
      <c r="DA122" s="160">
        <f t="shared" si="2140"/>
        <v>0</v>
      </c>
      <c r="DB122" s="160">
        <f t="shared" si="2140"/>
        <v>0</v>
      </c>
      <c r="DC122" s="160">
        <f t="shared" si="2140"/>
        <v>0</v>
      </c>
      <c r="DD122" s="160">
        <f t="shared" si="2140"/>
        <v>0</v>
      </c>
      <c r="DE122" s="160">
        <f t="shared" si="2140"/>
        <v>0</v>
      </c>
      <c r="DF122" s="160">
        <f t="shared" si="2140"/>
        <v>0</v>
      </c>
      <c r="DG122" s="160">
        <f t="shared" si="2140"/>
        <v>0</v>
      </c>
      <c r="DH122" s="160">
        <f t="shared" si="2140"/>
        <v>0</v>
      </c>
      <c r="DI122" s="160">
        <f t="shared" si="2140"/>
        <v>0</v>
      </c>
      <c r="DJ122" s="160">
        <f t="shared" si="2140"/>
        <v>0</v>
      </c>
      <c r="DK122" s="160">
        <f t="shared" si="2140"/>
        <v>0</v>
      </c>
      <c r="DL122" s="160">
        <f t="shared" si="2140"/>
        <v>0</v>
      </c>
      <c r="DM122" s="160">
        <f t="shared" si="2140"/>
        <v>0</v>
      </c>
      <c r="DN122" s="160">
        <f t="shared" si="2140"/>
        <v>0</v>
      </c>
      <c r="DO122" s="160">
        <f t="shared" si="2140"/>
        <v>0</v>
      </c>
      <c r="DP122" s="160">
        <f t="shared" si="2140"/>
        <v>0</v>
      </c>
      <c r="DQ122" s="160">
        <f t="shared" si="2140"/>
        <v>0</v>
      </c>
      <c r="DR122" s="160">
        <f t="shared" si="2140"/>
        <v>0</v>
      </c>
      <c r="DS122" s="160">
        <f t="shared" si="2140"/>
        <v>0</v>
      </c>
      <c r="DT122" s="160">
        <f t="shared" si="2140"/>
        <v>0</v>
      </c>
      <c r="DU122" s="160">
        <f t="shared" si="2140"/>
        <v>0</v>
      </c>
      <c r="DV122" s="160">
        <f t="shared" si="2140"/>
        <v>0</v>
      </c>
      <c r="DW122" s="160">
        <f t="shared" si="2140"/>
        <v>0</v>
      </c>
      <c r="DX122" s="160">
        <f t="shared" si="2140"/>
        <v>0</v>
      </c>
      <c r="DY122" s="160">
        <f t="shared" si="2140"/>
        <v>0</v>
      </c>
      <c r="DZ122" s="160">
        <f t="shared" si="2140"/>
        <v>0</v>
      </c>
      <c r="EA122" s="160">
        <f t="shared" si="2140"/>
        <v>0</v>
      </c>
      <c r="EB122" s="160">
        <f t="shared" si="2140"/>
        <v>0</v>
      </c>
      <c r="EC122" s="160">
        <f t="shared" si="2140"/>
        <v>0</v>
      </c>
      <c r="ED122" s="160">
        <f t="shared" ref="ED122:GO122" si="2141">IF(ED116&lt;&gt;"",1,0)</f>
        <v>0</v>
      </c>
      <c r="EE122" s="160">
        <f t="shared" si="2141"/>
        <v>0</v>
      </c>
      <c r="EF122" s="160">
        <f t="shared" si="2141"/>
        <v>0</v>
      </c>
      <c r="EG122" s="160">
        <f t="shared" si="2141"/>
        <v>0</v>
      </c>
      <c r="EH122" s="160">
        <f t="shared" si="2141"/>
        <v>0</v>
      </c>
      <c r="EI122" s="160">
        <f t="shared" si="2141"/>
        <v>0</v>
      </c>
      <c r="EJ122" s="160">
        <f t="shared" si="2141"/>
        <v>0</v>
      </c>
      <c r="EK122" s="160">
        <f t="shared" si="2141"/>
        <v>0</v>
      </c>
      <c r="EL122" s="160">
        <f t="shared" si="2141"/>
        <v>0</v>
      </c>
      <c r="EM122" s="160">
        <f t="shared" si="2141"/>
        <v>0</v>
      </c>
      <c r="EN122" s="160">
        <f t="shared" si="2141"/>
        <v>0</v>
      </c>
      <c r="EO122" s="160">
        <f t="shared" si="2141"/>
        <v>0</v>
      </c>
      <c r="EP122" s="160">
        <f t="shared" si="2141"/>
        <v>0</v>
      </c>
      <c r="EQ122" s="160">
        <f t="shared" si="2141"/>
        <v>0</v>
      </c>
      <c r="ER122" s="160">
        <f t="shared" si="2141"/>
        <v>0</v>
      </c>
      <c r="ES122" s="160">
        <f t="shared" si="2141"/>
        <v>0</v>
      </c>
      <c r="ET122" s="160">
        <f t="shared" si="2141"/>
        <v>0</v>
      </c>
      <c r="EU122" s="160">
        <f t="shared" si="2141"/>
        <v>0</v>
      </c>
      <c r="EV122" s="160">
        <f t="shared" si="2141"/>
        <v>0</v>
      </c>
      <c r="EW122" s="160">
        <f t="shared" si="2141"/>
        <v>0</v>
      </c>
      <c r="EX122" s="160">
        <f t="shared" si="2141"/>
        <v>0</v>
      </c>
      <c r="EY122" s="160">
        <f t="shared" si="2141"/>
        <v>0</v>
      </c>
      <c r="EZ122" s="160">
        <f t="shared" si="2141"/>
        <v>0</v>
      </c>
      <c r="FA122" s="160">
        <f t="shared" si="2141"/>
        <v>0</v>
      </c>
      <c r="FB122" s="160">
        <f t="shared" si="2141"/>
        <v>0</v>
      </c>
      <c r="FC122" s="160">
        <f t="shared" si="2141"/>
        <v>0</v>
      </c>
      <c r="FD122" s="160">
        <f t="shared" si="2141"/>
        <v>0</v>
      </c>
      <c r="FE122" s="160">
        <f t="shared" si="2141"/>
        <v>0</v>
      </c>
      <c r="FF122" s="160">
        <f t="shared" si="2141"/>
        <v>0</v>
      </c>
      <c r="FG122" s="160">
        <f t="shared" si="2141"/>
        <v>0</v>
      </c>
      <c r="FH122" s="160">
        <f t="shared" si="2141"/>
        <v>0</v>
      </c>
      <c r="FI122" s="160">
        <f t="shared" si="2141"/>
        <v>0</v>
      </c>
      <c r="FJ122" s="160">
        <f t="shared" si="2141"/>
        <v>0</v>
      </c>
      <c r="FK122" s="160">
        <f t="shared" si="2141"/>
        <v>0</v>
      </c>
      <c r="FL122" s="160">
        <f t="shared" si="2141"/>
        <v>0</v>
      </c>
      <c r="FM122" s="160">
        <f t="shared" si="2141"/>
        <v>0</v>
      </c>
      <c r="FN122" s="160">
        <f t="shared" si="2141"/>
        <v>0</v>
      </c>
      <c r="FO122" s="160">
        <f t="shared" si="2141"/>
        <v>0</v>
      </c>
      <c r="FP122" s="160">
        <f t="shared" si="2141"/>
        <v>0</v>
      </c>
      <c r="FQ122" s="160">
        <f t="shared" si="2141"/>
        <v>0</v>
      </c>
      <c r="FR122" s="160">
        <f t="shared" si="2141"/>
        <v>0</v>
      </c>
      <c r="FS122" s="160">
        <f t="shared" si="2141"/>
        <v>0</v>
      </c>
      <c r="FT122" s="160">
        <f t="shared" si="2141"/>
        <v>0</v>
      </c>
      <c r="FU122" s="160">
        <f t="shared" si="2141"/>
        <v>0</v>
      </c>
      <c r="FV122" s="160">
        <f t="shared" si="2141"/>
        <v>0</v>
      </c>
      <c r="FW122" s="160">
        <f t="shared" si="2141"/>
        <v>0</v>
      </c>
      <c r="FX122" s="160">
        <f t="shared" si="2141"/>
        <v>0</v>
      </c>
      <c r="FY122" s="160">
        <f t="shared" si="2141"/>
        <v>0</v>
      </c>
      <c r="FZ122" s="160">
        <f t="shared" si="2141"/>
        <v>0</v>
      </c>
      <c r="GA122" s="160">
        <f t="shared" si="2141"/>
        <v>0</v>
      </c>
      <c r="GB122" s="160">
        <f t="shared" si="2141"/>
        <v>0</v>
      </c>
      <c r="GC122" s="160">
        <f t="shared" si="2141"/>
        <v>0</v>
      </c>
      <c r="GD122" s="160">
        <f t="shared" si="2141"/>
        <v>0</v>
      </c>
      <c r="GE122" s="160">
        <f t="shared" si="2141"/>
        <v>0</v>
      </c>
      <c r="GF122" s="160">
        <f t="shared" si="2141"/>
        <v>0</v>
      </c>
      <c r="GG122" s="160">
        <f t="shared" si="2141"/>
        <v>0</v>
      </c>
      <c r="GH122" s="160">
        <f t="shared" si="2141"/>
        <v>0</v>
      </c>
      <c r="GI122" s="160">
        <f t="shared" si="2141"/>
        <v>0</v>
      </c>
      <c r="GJ122" s="160">
        <f t="shared" si="2141"/>
        <v>0</v>
      </c>
      <c r="GK122" s="160">
        <f t="shared" si="2141"/>
        <v>0</v>
      </c>
      <c r="GL122" s="160">
        <f t="shared" si="2141"/>
        <v>0</v>
      </c>
      <c r="GM122" s="160">
        <f t="shared" si="2141"/>
        <v>0</v>
      </c>
      <c r="GN122" s="160">
        <f t="shared" si="2141"/>
        <v>0</v>
      </c>
      <c r="GO122" s="160">
        <f t="shared" si="2141"/>
        <v>0</v>
      </c>
      <c r="GP122" s="160">
        <f t="shared" ref="GP122:GQ122" si="2142">IF(GP116&lt;&gt;"",1,0)</f>
        <v>0</v>
      </c>
      <c r="GQ122" s="160">
        <f t="shared" si="2142"/>
        <v>0</v>
      </c>
    </row>
    <row r="123" spans="2:199" hidden="1" outlineLevel="1">
      <c r="B123" s="182" t="s">
        <v>406</v>
      </c>
      <c r="C123" s="207">
        <v>6</v>
      </c>
      <c r="D123" s="159"/>
      <c r="E123" s="159">
        <f>MAX(C123-E122,0)</f>
        <v>6</v>
      </c>
      <c r="F123" s="159">
        <f>MAX(E123-F122,0)</f>
        <v>6</v>
      </c>
      <c r="G123" s="159">
        <f t="shared" ref="G123" si="2143">MAX(F123-G122,0)</f>
        <v>6</v>
      </c>
      <c r="H123" s="159">
        <f t="shared" ref="H123" si="2144">MAX(G123-H122,0)</f>
        <v>6</v>
      </c>
      <c r="I123" s="159">
        <f t="shared" ref="I123" si="2145">MAX(H123-I122,0)</f>
        <v>6</v>
      </c>
      <c r="J123" s="159">
        <f t="shared" ref="J123" si="2146">MAX(I123-J122,0)</f>
        <v>6</v>
      </c>
      <c r="K123" s="159">
        <f t="shared" ref="K123" si="2147">MAX(J123-K122,0)</f>
        <v>5</v>
      </c>
      <c r="L123" s="159">
        <f t="shared" ref="L123" si="2148">MAX(K123-L122,0)</f>
        <v>5</v>
      </c>
      <c r="M123" s="159">
        <f t="shared" ref="M123" si="2149">MAX(L123-M122,0)</f>
        <v>5</v>
      </c>
      <c r="N123" s="159">
        <f t="shared" ref="N123" si="2150">MAX(M123-N122,0)</f>
        <v>5</v>
      </c>
      <c r="O123" s="159">
        <f t="shared" ref="O123" si="2151">MAX(N123-O122,0)</f>
        <v>5</v>
      </c>
      <c r="P123" s="159">
        <f t="shared" ref="P123" si="2152">MAX(O123-P122,0)</f>
        <v>5</v>
      </c>
      <c r="Q123" s="159">
        <f t="shared" ref="Q123" si="2153">MAX(P123-Q122,0)</f>
        <v>4</v>
      </c>
      <c r="R123" s="159">
        <f t="shared" ref="R123" si="2154">MAX(Q123-R122,0)</f>
        <v>4</v>
      </c>
      <c r="S123" s="159">
        <f t="shared" ref="S123" si="2155">MAX(R123-S122,0)</f>
        <v>4</v>
      </c>
      <c r="T123" s="159">
        <f t="shared" ref="T123" si="2156">MAX(S123-T122,0)</f>
        <v>4</v>
      </c>
      <c r="U123" s="159">
        <f t="shared" ref="U123" si="2157">MAX(T123-U122,0)</f>
        <v>4</v>
      </c>
      <c r="V123" s="159">
        <f t="shared" ref="V123" si="2158">MAX(U123-V122,0)</f>
        <v>4</v>
      </c>
      <c r="W123" s="159">
        <f t="shared" ref="W123" si="2159">MAX(V123-W122,0)</f>
        <v>3</v>
      </c>
      <c r="X123" s="159">
        <f t="shared" ref="X123" si="2160">MAX(W123-X122,0)</f>
        <v>3</v>
      </c>
      <c r="Y123" s="159">
        <f t="shared" ref="Y123" si="2161">MAX(X123-Y122,0)</f>
        <v>3</v>
      </c>
      <c r="Z123" s="159">
        <f t="shared" ref="Z123" si="2162">MAX(Y123-Z122,0)</f>
        <v>3</v>
      </c>
      <c r="AA123" s="159">
        <f t="shared" ref="AA123" si="2163">MAX(Z123-AA122,0)</f>
        <v>3</v>
      </c>
      <c r="AB123" s="159">
        <f t="shared" ref="AB123" si="2164">MAX(AA123-AB122,0)</f>
        <v>3</v>
      </c>
      <c r="AC123" s="159">
        <f t="shared" ref="AC123" si="2165">MAX(AB123-AC122,0)</f>
        <v>2</v>
      </c>
      <c r="AD123" s="159">
        <f t="shared" ref="AD123" si="2166">MAX(AC123-AD122,0)</f>
        <v>2</v>
      </c>
      <c r="AE123" s="159">
        <f t="shared" ref="AE123" si="2167">MAX(AD123-AE122,0)</f>
        <v>2</v>
      </c>
      <c r="AF123" s="159">
        <f t="shared" ref="AF123" si="2168">MAX(AE123-AF122,0)</f>
        <v>2</v>
      </c>
      <c r="AG123" s="159">
        <f t="shared" ref="AG123" si="2169">MAX(AF123-AG122,0)</f>
        <v>2</v>
      </c>
      <c r="AH123" s="159">
        <f t="shared" ref="AH123" si="2170">MAX(AG123-AH122,0)</f>
        <v>2</v>
      </c>
      <c r="AI123" s="159">
        <f t="shared" ref="AI123" si="2171">MAX(AH123-AI122,0)</f>
        <v>1</v>
      </c>
      <c r="AJ123" s="159">
        <f t="shared" ref="AJ123" si="2172">MAX(AI123-AJ122,0)</f>
        <v>1</v>
      </c>
      <c r="AK123" s="159">
        <f t="shared" ref="AK123" si="2173">MAX(AJ123-AK122,0)</f>
        <v>1</v>
      </c>
      <c r="AL123" s="159">
        <f t="shared" ref="AL123" si="2174">MAX(AK123-AL122,0)</f>
        <v>1</v>
      </c>
      <c r="AM123" s="159">
        <f t="shared" ref="AM123" si="2175">MAX(AL123-AM122,0)</f>
        <v>1</v>
      </c>
      <c r="AN123" s="159">
        <f t="shared" ref="AN123" si="2176">MAX(AM123-AN122,0)</f>
        <v>1</v>
      </c>
      <c r="AO123" s="159">
        <f t="shared" ref="AO123" si="2177">MAX(AN123-AO122,0)</f>
        <v>0</v>
      </c>
      <c r="AP123" s="159">
        <f t="shared" ref="AP123" si="2178">MAX(AO123-AP122,0)</f>
        <v>0</v>
      </c>
      <c r="AQ123" s="159">
        <f t="shared" ref="AQ123" si="2179">MAX(AP123-AQ122,0)</f>
        <v>0</v>
      </c>
      <c r="AR123" s="159">
        <f t="shared" ref="AR123" si="2180">MAX(AQ123-AR122,0)</f>
        <v>0</v>
      </c>
      <c r="AS123" s="159">
        <f t="shared" ref="AS123" si="2181">MAX(AR123-AS122,0)</f>
        <v>0</v>
      </c>
      <c r="AT123" s="159">
        <f t="shared" ref="AT123" si="2182">MAX(AS123-AT122,0)</f>
        <v>0</v>
      </c>
      <c r="AU123" s="159">
        <f t="shared" ref="AU123" si="2183">MAX(AT123-AU122,0)</f>
        <v>0</v>
      </c>
      <c r="AV123" s="159">
        <f t="shared" ref="AV123" si="2184">MAX(AU123-AV122,0)</f>
        <v>0</v>
      </c>
      <c r="AW123" s="159">
        <f t="shared" ref="AW123" si="2185">MAX(AV123-AW122,0)</f>
        <v>0</v>
      </c>
      <c r="AX123" s="159">
        <f t="shared" ref="AX123" si="2186">MAX(AW123-AX122,0)</f>
        <v>0</v>
      </c>
      <c r="AY123" s="159">
        <f t="shared" ref="AY123" si="2187">MAX(AX123-AY122,0)</f>
        <v>0</v>
      </c>
      <c r="AZ123" s="159">
        <f t="shared" ref="AZ123" si="2188">MAX(AY123-AZ122,0)</f>
        <v>0</v>
      </c>
      <c r="BA123" s="159">
        <f t="shared" ref="BA123" si="2189">MAX(AZ123-BA122,0)</f>
        <v>0</v>
      </c>
      <c r="BB123" s="159">
        <f t="shared" ref="BB123" si="2190">MAX(BA123-BB122,0)</f>
        <v>0</v>
      </c>
      <c r="BC123" s="159">
        <f t="shared" ref="BC123" si="2191">MAX(BB123-BC122,0)</f>
        <v>0</v>
      </c>
      <c r="BD123" s="159">
        <f t="shared" ref="BD123" si="2192">MAX(BC123-BD122,0)</f>
        <v>0</v>
      </c>
      <c r="BE123" s="159">
        <f t="shared" ref="BE123" si="2193">MAX(BD123-BE122,0)</f>
        <v>0</v>
      </c>
      <c r="BF123" s="159">
        <f t="shared" ref="BF123" si="2194">MAX(BE123-BF122,0)</f>
        <v>0</v>
      </c>
      <c r="BG123" s="159">
        <f t="shared" ref="BG123" si="2195">MAX(BF123-BG122,0)</f>
        <v>0</v>
      </c>
      <c r="BH123" s="159">
        <f t="shared" ref="BH123" si="2196">MAX(BG123-BH122,0)</f>
        <v>0</v>
      </c>
      <c r="BI123" s="159">
        <f t="shared" ref="BI123" si="2197">MAX(BH123-BI122,0)</f>
        <v>0</v>
      </c>
      <c r="BJ123" s="159">
        <f t="shared" ref="BJ123" si="2198">MAX(BI123-BJ122,0)</f>
        <v>0</v>
      </c>
      <c r="BK123" s="159">
        <f t="shared" ref="BK123" si="2199">MAX(BJ123-BK122,0)</f>
        <v>0</v>
      </c>
      <c r="BL123" s="159">
        <f t="shared" ref="BL123" si="2200">MAX(BK123-BL122,0)</f>
        <v>0</v>
      </c>
      <c r="BM123" s="159">
        <f t="shared" ref="BM123" si="2201">MAX(BL123-BM122,0)</f>
        <v>0</v>
      </c>
      <c r="BN123" s="159">
        <f t="shared" ref="BN123" si="2202">MAX(BM123-BN122,0)</f>
        <v>0</v>
      </c>
      <c r="BO123" s="159">
        <f t="shared" ref="BO123" si="2203">MAX(BN123-BO122,0)</f>
        <v>0</v>
      </c>
      <c r="BP123" s="159">
        <f t="shared" ref="BP123" si="2204">MAX(BO123-BP122,0)</f>
        <v>0</v>
      </c>
      <c r="BQ123" s="159">
        <f t="shared" ref="BQ123" si="2205">MAX(BP123-BQ122,0)</f>
        <v>0</v>
      </c>
      <c r="BR123" s="159">
        <f t="shared" ref="BR123" si="2206">MAX(BQ123-BR122,0)</f>
        <v>0</v>
      </c>
      <c r="BS123" s="159">
        <f t="shared" ref="BS123" si="2207">MAX(BR123-BS122,0)</f>
        <v>0</v>
      </c>
      <c r="BT123" s="159">
        <f t="shared" ref="BT123" si="2208">MAX(BS123-BT122,0)</f>
        <v>0</v>
      </c>
      <c r="BU123" s="159">
        <f t="shared" ref="BU123" si="2209">MAX(BT123-BU122,0)</f>
        <v>0</v>
      </c>
      <c r="BV123" s="159">
        <f t="shared" ref="BV123" si="2210">MAX(BU123-BV122,0)</f>
        <v>0</v>
      </c>
      <c r="BW123" s="159">
        <f t="shared" ref="BW123" si="2211">MAX(BV123-BW122,0)</f>
        <v>0</v>
      </c>
      <c r="BX123" s="159">
        <f t="shared" ref="BX123" si="2212">MAX(BW123-BX122,0)</f>
        <v>0</v>
      </c>
      <c r="BY123" s="159">
        <f t="shared" ref="BY123" si="2213">MAX(BX123-BY122,0)</f>
        <v>0</v>
      </c>
      <c r="BZ123" s="159">
        <f t="shared" ref="BZ123" si="2214">MAX(BY123-BZ122,0)</f>
        <v>0</v>
      </c>
      <c r="CA123" s="159">
        <f t="shared" ref="CA123" si="2215">MAX(BZ123-CA122,0)</f>
        <v>0</v>
      </c>
      <c r="CB123" s="159">
        <f t="shared" ref="CB123" si="2216">MAX(CA123-CB122,0)</f>
        <v>0</v>
      </c>
      <c r="CC123" s="159">
        <f t="shared" ref="CC123" si="2217">MAX(CB123-CC122,0)</f>
        <v>0</v>
      </c>
      <c r="CD123" s="159">
        <f t="shared" ref="CD123" si="2218">MAX(CC123-CD122,0)</f>
        <v>0</v>
      </c>
      <c r="CE123" s="159">
        <f t="shared" ref="CE123" si="2219">MAX(CD123-CE122,0)</f>
        <v>0</v>
      </c>
      <c r="CF123" s="159">
        <f t="shared" ref="CF123" si="2220">MAX(CE123-CF122,0)</f>
        <v>0</v>
      </c>
      <c r="CG123" s="159">
        <f t="shared" ref="CG123" si="2221">MAX(CF123-CG122,0)</f>
        <v>0</v>
      </c>
      <c r="CH123" s="159">
        <f t="shared" ref="CH123" si="2222">MAX(CG123-CH122,0)</f>
        <v>0</v>
      </c>
      <c r="CI123" s="159">
        <f t="shared" ref="CI123" si="2223">MAX(CH123-CI122,0)</f>
        <v>0</v>
      </c>
      <c r="CJ123" s="159">
        <f t="shared" ref="CJ123" si="2224">MAX(CI123-CJ122,0)</f>
        <v>0</v>
      </c>
      <c r="CK123" s="159">
        <f t="shared" ref="CK123" si="2225">MAX(CJ123-CK122,0)</f>
        <v>0</v>
      </c>
      <c r="CL123" s="159">
        <f t="shared" ref="CL123" si="2226">MAX(CK123-CL122,0)</f>
        <v>0</v>
      </c>
      <c r="CM123" s="159">
        <f t="shared" ref="CM123" si="2227">MAX(CL123-CM122,0)</f>
        <v>0</v>
      </c>
      <c r="CN123" s="159">
        <f t="shared" ref="CN123" si="2228">MAX(CM123-CN122,0)</f>
        <v>0</v>
      </c>
      <c r="CO123" s="159">
        <f t="shared" ref="CO123" si="2229">MAX(CN123-CO122,0)</f>
        <v>0</v>
      </c>
      <c r="CP123" s="159">
        <f t="shared" ref="CP123" si="2230">MAX(CO123-CP122,0)</f>
        <v>0</v>
      </c>
      <c r="CQ123" s="159">
        <f t="shared" ref="CQ123" si="2231">MAX(CP123-CQ122,0)</f>
        <v>0</v>
      </c>
      <c r="CR123" s="159">
        <f t="shared" ref="CR123" si="2232">MAX(CQ123-CR122,0)</f>
        <v>0</v>
      </c>
      <c r="CS123" s="159">
        <f t="shared" ref="CS123" si="2233">MAX(CR123-CS122,0)</f>
        <v>0</v>
      </c>
      <c r="CT123" s="159">
        <f t="shared" ref="CT123" si="2234">MAX(CS123-CT122,0)</f>
        <v>0</v>
      </c>
      <c r="CU123" s="159">
        <f t="shared" ref="CU123" si="2235">MAX(CT123-CU122,0)</f>
        <v>0</v>
      </c>
      <c r="CV123" s="159">
        <f t="shared" ref="CV123" si="2236">MAX(CU123-CV122,0)</f>
        <v>0</v>
      </c>
      <c r="CW123" s="159">
        <f t="shared" ref="CW123" si="2237">MAX(CV123-CW122,0)</f>
        <v>0</v>
      </c>
      <c r="CX123" s="159">
        <f t="shared" ref="CX123" si="2238">MAX(CW123-CX122,0)</f>
        <v>0</v>
      </c>
      <c r="CY123" s="159">
        <f t="shared" ref="CY123" si="2239">MAX(CX123-CY122,0)</f>
        <v>0</v>
      </c>
      <c r="CZ123" s="159">
        <f t="shared" ref="CZ123" si="2240">MAX(CY123-CZ122,0)</f>
        <v>0</v>
      </c>
      <c r="DA123" s="159">
        <f t="shared" ref="DA123" si="2241">MAX(CZ123-DA122,0)</f>
        <v>0</v>
      </c>
      <c r="DB123" s="159">
        <f t="shared" ref="DB123" si="2242">MAX(DA123-DB122,0)</f>
        <v>0</v>
      </c>
      <c r="DC123" s="159">
        <f t="shared" ref="DC123" si="2243">MAX(DB123-DC122,0)</f>
        <v>0</v>
      </c>
      <c r="DD123" s="159">
        <f t="shared" ref="DD123" si="2244">MAX(DC123-DD122,0)</f>
        <v>0</v>
      </c>
      <c r="DE123" s="159">
        <f t="shared" ref="DE123" si="2245">MAX(DD123-DE122,0)</f>
        <v>0</v>
      </c>
      <c r="DF123" s="159">
        <f t="shared" ref="DF123" si="2246">MAX(DE123-DF122,0)</f>
        <v>0</v>
      </c>
      <c r="DG123" s="159">
        <f t="shared" ref="DG123" si="2247">MAX(DF123-DG122,0)</f>
        <v>0</v>
      </c>
      <c r="DH123" s="159">
        <f t="shared" ref="DH123" si="2248">MAX(DG123-DH122,0)</f>
        <v>0</v>
      </c>
      <c r="DI123" s="159">
        <f t="shared" ref="DI123" si="2249">MAX(DH123-DI122,0)</f>
        <v>0</v>
      </c>
      <c r="DJ123" s="159">
        <f t="shared" ref="DJ123" si="2250">MAX(DI123-DJ122,0)</f>
        <v>0</v>
      </c>
      <c r="DK123" s="159">
        <f t="shared" ref="DK123" si="2251">MAX(DJ123-DK122,0)</f>
        <v>0</v>
      </c>
      <c r="DL123" s="159">
        <f t="shared" ref="DL123" si="2252">MAX(DK123-DL122,0)</f>
        <v>0</v>
      </c>
      <c r="DM123" s="159">
        <f t="shared" ref="DM123" si="2253">MAX(DL123-DM122,0)</f>
        <v>0</v>
      </c>
      <c r="DN123" s="159">
        <f t="shared" ref="DN123" si="2254">MAX(DM123-DN122,0)</f>
        <v>0</v>
      </c>
      <c r="DO123" s="159">
        <f t="shared" ref="DO123" si="2255">MAX(DN123-DO122,0)</f>
        <v>0</v>
      </c>
      <c r="DP123" s="159">
        <f t="shared" ref="DP123" si="2256">MAX(DO123-DP122,0)</f>
        <v>0</v>
      </c>
      <c r="DQ123" s="159">
        <f t="shared" ref="DQ123" si="2257">MAX(DP123-DQ122,0)</f>
        <v>0</v>
      </c>
      <c r="DR123" s="159">
        <f t="shared" ref="DR123" si="2258">MAX(DQ123-DR122,0)</f>
        <v>0</v>
      </c>
      <c r="DS123" s="159">
        <f t="shared" ref="DS123" si="2259">MAX(DR123-DS122,0)</f>
        <v>0</v>
      </c>
      <c r="DT123" s="159">
        <f t="shared" ref="DT123" si="2260">MAX(DS123-DT122,0)</f>
        <v>0</v>
      </c>
      <c r="DU123" s="159">
        <f t="shared" ref="DU123" si="2261">MAX(DT123-DU122,0)</f>
        <v>0</v>
      </c>
      <c r="DV123" s="159">
        <f t="shared" ref="DV123" si="2262">MAX(DU123-DV122,0)</f>
        <v>0</v>
      </c>
      <c r="DW123" s="159">
        <f t="shared" ref="DW123" si="2263">MAX(DV123-DW122,0)</f>
        <v>0</v>
      </c>
      <c r="DX123" s="159">
        <f t="shared" ref="DX123" si="2264">MAX(DW123-DX122,0)</f>
        <v>0</v>
      </c>
      <c r="DY123" s="159">
        <f t="shared" ref="DY123" si="2265">MAX(DX123-DY122,0)</f>
        <v>0</v>
      </c>
      <c r="DZ123" s="159">
        <f t="shared" ref="DZ123" si="2266">MAX(DY123-DZ122,0)</f>
        <v>0</v>
      </c>
      <c r="EA123" s="159">
        <f t="shared" ref="EA123" si="2267">MAX(DZ123-EA122,0)</f>
        <v>0</v>
      </c>
      <c r="EB123" s="159">
        <f t="shared" ref="EB123" si="2268">MAX(EA123-EB122,0)</f>
        <v>0</v>
      </c>
      <c r="EC123" s="159">
        <f t="shared" ref="EC123" si="2269">MAX(EB123-EC122,0)</f>
        <v>0</v>
      </c>
      <c r="ED123" s="159">
        <f t="shared" ref="ED123" si="2270">MAX(EC123-ED122,0)</f>
        <v>0</v>
      </c>
      <c r="EE123" s="159">
        <f t="shared" ref="EE123" si="2271">MAX(ED123-EE122,0)</f>
        <v>0</v>
      </c>
      <c r="EF123" s="159">
        <f t="shared" ref="EF123" si="2272">MAX(EE123-EF122,0)</f>
        <v>0</v>
      </c>
      <c r="EG123" s="159">
        <f t="shared" ref="EG123" si="2273">MAX(EF123-EG122,0)</f>
        <v>0</v>
      </c>
      <c r="EH123" s="159">
        <f t="shared" ref="EH123" si="2274">MAX(EG123-EH122,0)</f>
        <v>0</v>
      </c>
      <c r="EI123" s="159">
        <f t="shared" ref="EI123" si="2275">MAX(EH123-EI122,0)</f>
        <v>0</v>
      </c>
      <c r="EJ123" s="159">
        <f t="shared" ref="EJ123" si="2276">MAX(EI123-EJ122,0)</f>
        <v>0</v>
      </c>
      <c r="EK123" s="159">
        <f t="shared" ref="EK123" si="2277">MAX(EJ123-EK122,0)</f>
        <v>0</v>
      </c>
      <c r="EL123" s="159">
        <f t="shared" ref="EL123" si="2278">MAX(EK123-EL122,0)</f>
        <v>0</v>
      </c>
      <c r="EM123" s="159">
        <f t="shared" ref="EM123" si="2279">MAX(EL123-EM122,0)</f>
        <v>0</v>
      </c>
      <c r="EN123" s="159">
        <f t="shared" ref="EN123" si="2280">MAX(EM123-EN122,0)</f>
        <v>0</v>
      </c>
      <c r="EO123" s="159">
        <f t="shared" ref="EO123" si="2281">MAX(EN123-EO122,0)</f>
        <v>0</v>
      </c>
      <c r="EP123" s="159">
        <f t="shared" ref="EP123" si="2282">MAX(EO123-EP122,0)</f>
        <v>0</v>
      </c>
      <c r="EQ123" s="159">
        <f t="shared" ref="EQ123" si="2283">MAX(EP123-EQ122,0)</f>
        <v>0</v>
      </c>
      <c r="ER123" s="159">
        <f t="shared" ref="ER123" si="2284">MAX(EQ123-ER122,0)</f>
        <v>0</v>
      </c>
      <c r="ES123" s="159">
        <f t="shared" ref="ES123" si="2285">MAX(ER123-ES122,0)</f>
        <v>0</v>
      </c>
      <c r="ET123" s="159">
        <f t="shared" ref="ET123" si="2286">MAX(ES123-ET122,0)</f>
        <v>0</v>
      </c>
      <c r="EU123" s="159">
        <f t="shared" ref="EU123" si="2287">MAX(ET123-EU122,0)</f>
        <v>0</v>
      </c>
      <c r="EV123" s="159">
        <f t="shared" ref="EV123" si="2288">MAX(EU123-EV122,0)</f>
        <v>0</v>
      </c>
      <c r="EW123" s="159">
        <f t="shared" ref="EW123" si="2289">MAX(EV123-EW122,0)</f>
        <v>0</v>
      </c>
      <c r="EX123" s="159">
        <f t="shared" ref="EX123" si="2290">MAX(EW123-EX122,0)</f>
        <v>0</v>
      </c>
      <c r="EY123" s="159">
        <f t="shared" ref="EY123" si="2291">MAX(EX123-EY122,0)</f>
        <v>0</v>
      </c>
      <c r="EZ123" s="159">
        <f t="shared" ref="EZ123" si="2292">MAX(EY123-EZ122,0)</f>
        <v>0</v>
      </c>
      <c r="FA123" s="159">
        <f t="shared" ref="FA123" si="2293">MAX(EZ123-FA122,0)</f>
        <v>0</v>
      </c>
      <c r="FB123" s="159">
        <f t="shared" ref="FB123" si="2294">MAX(FA123-FB122,0)</f>
        <v>0</v>
      </c>
      <c r="FC123" s="159">
        <f t="shared" ref="FC123" si="2295">MAX(FB123-FC122,0)</f>
        <v>0</v>
      </c>
      <c r="FD123" s="159">
        <f t="shared" ref="FD123" si="2296">MAX(FC123-FD122,0)</f>
        <v>0</v>
      </c>
      <c r="FE123" s="159">
        <f t="shared" ref="FE123" si="2297">MAX(FD123-FE122,0)</f>
        <v>0</v>
      </c>
      <c r="FF123" s="159">
        <f t="shared" ref="FF123" si="2298">MAX(FE123-FF122,0)</f>
        <v>0</v>
      </c>
      <c r="FG123" s="159">
        <f t="shared" ref="FG123" si="2299">MAX(FF123-FG122,0)</f>
        <v>0</v>
      </c>
      <c r="FH123" s="159">
        <f t="shared" ref="FH123" si="2300">MAX(FG123-FH122,0)</f>
        <v>0</v>
      </c>
      <c r="FI123" s="159">
        <f t="shared" ref="FI123" si="2301">MAX(FH123-FI122,0)</f>
        <v>0</v>
      </c>
      <c r="FJ123" s="159">
        <f t="shared" ref="FJ123" si="2302">MAX(FI123-FJ122,0)</f>
        <v>0</v>
      </c>
      <c r="FK123" s="159">
        <f t="shared" ref="FK123" si="2303">MAX(FJ123-FK122,0)</f>
        <v>0</v>
      </c>
      <c r="FL123" s="159">
        <f t="shared" ref="FL123" si="2304">MAX(FK123-FL122,0)</f>
        <v>0</v>
      </c>
      <c r="FM123" s="159">
        <f t="shared" ref="FM123" si="2305">MAX(FL123-FM122,0)</f>
        <v>0</v>
      </c>
      <c r="FN123" s="159">
        <f t="shared" ref="FN123" si="2306">MAX(FM123-FN122,0)</f>
        <v>0</v>
      </c>
      <c r="FO123" s="159">
        <f t="shared" ref="FO123" si="2307">MAX(FN123-FO122,0)</f>
        <v>0</v>
      </c>
      <c r="FP123" s="159">
        <f t="shared" ref="FP123" si="2308">MAX(FO123-FP122,0)</f>
        <v>0</v>
      </c>
      <c r="FQ123" s="159">
        <f t="shared" ref="FQ123" si="2309">MAX(FP123-FQ122,0)</f>
        <v>0</v>
      </c>
      <c r="FR123" s="159">
        <f t="shared" ref="FR123" si="2310">MAX(FQ123-FR122,0)</f>
        <v>0</v>
      </c>
      <c r="FS123" s="159">
        <f t="shared" ref="FS123" si="2311">MAX(FR123-FS122,0)</f>
        <v>0</v>
      </c>
      <c r="FT123" s="159">
        <f t="shared" ref="FT123" si="2312">MAX(FS123-FT122,0)</f>
        <v>0</v>
      </c>
      <c r="FU123" s="159">
        <f t="shared" ref="FU123" si="2313">MAX(FT123-FU122,0)</f>
        <v>0</v>
      </c>
      <c r="FV123" s="159">
        <f t="shared" ref="FV123" si="2314">MAX(FU123-FV122,0)</f>
        <v>0</v>
      </c>
      <c r="FW123" s="159">
        <f t="shared" ref="FW123" si="2315">MAX(FV123-FW122,0)</f>
        <v>0</v>
      </c>
      <c r="FX123" s="159">
        <f t="shared" ref="FX123" si="2316">MAX(FW123-FX122,0)</f>
        <v>0</v>
      </c>
      <c r="FY123" s="159">
        <f t="shared" ref="FY123" si="2317">MAX(FX123-FY122,0)</f>
        <v>0</v>
      </c>
      <c r="FZ123" s="159">
        <f t="shared" ref="FZ123" si="2318">MAX(FY123-FZ122,0)</f>
        <v>0</v>
      </c>
      <c r="GA123" s="159">
        <f t="shared" ref="GA123" si="2319">MAX(FZ123-GA122,0)</f>
        <v>0</v>
      </c>
      <c r="GB123" s="159">
        <f t="shared" ref="GB123" si="2320">MAX(GA123-GB122,0)</f>
        <v>0</v>
      </c>
      <c r="GC123" s="159">
        <f t="shared" ref="GC123" si="2321">MAX(GB123-GC122,0)</f>
        <v>0</v>
      </c>
      <c r="GD123" s="159">
        <f t="shared" ref="GD123" si="2322">MAX(GC123-GD122,0)</f>
        <v>0</v>
      </c>
      <c r="GE123" s="159">
        <f t="shared" ref="GE123" si="2323">MAX(GD123-GE122,0)</f>
        <v>0</v>
      </c>
      <c r="GF123" s="159">
        <f t="shared" ref="GF123" si="2324">MAX(GE123-GF122,0)</f>
        <v>0</v>
      </c>
      <c r="GG123" s="159">
        <f t="shared" ref="GG123" si="2325">MAX(GF123-GG122,0)</f>
        <v>0</v>
      </c>
      <c r="GH123" s="159">
        <f t="shared" ref="GH123" si="2326">MAX(GG123-GH122,0)</f>
        <v>0</v>
      </c>
      <c r="GI123" s="159">
        <f t="shared" ref="GI123" si="2327">MAX(GH123-GI122,0)</f>
        <v>0</v>
      </c>
      <c r="GJ123" s="159">
        <f t="shared" ref="GJ123" si="2328">MAX(GI123-GJ122,0)</f>
        <v>0</v>
      </c>
      <c r="GK123" s="159">
        <f t="shared" ref="GK123" si="2329">MAX(GJ123-GK122,0)</f>
        <v>0</v>
      </c>
      <c r="GL123" s="159">
        <f t="shared" ref="GL123" si="2330">MAX(GK123-GL122,0)</f>
        <v>0</v>
      </c>
      <c r="GM123" s="159">
        <f t="shared" ref="GM123" si="2331">MAX(GL123-GM122,0)</f>
        <v>0</v>
      </c>
      <c r="GN123" s="159">
        <f t="shared" ref="GN123" si="2332">MAX(GM123-GN122,0)</f>
        <v>0</v>
      </c>
      <c r="GO123" s="159">
        <f t="shared" ref="GO123" si="2333">MAX(GN123-GO122,0)</f>
        <v>0</v>
      </c>
      <c r="GP123" s="159">
        <f t="shared" ref="GP123" si="2334">MAX(GO123-GP122,0)</f>
        <v>0</v>
      </c>
      <c r="GQ123" s="159">
        <f t="shared" ref="GQ123" si="2335">MAX(GP123-GQ122,0)</f>
        <v>0</v>
      </c>
    </row>
    <row r="124" spans="2:199" s="156" customFormat="1" hidden="1" outlineLevel="1">
      <c r="B124" s="157"/>
      <c r="C124" s="157"/>
      <c r="D124" s="315"/>
      <c r="E124" s="315"/>
      <c r="F124" s="315"/>
      <c r="G124" s="315"/>
      <c r="H124" s="315"/>
      <c r="I124" s="315"/>
      <c r="J124" s="315"/>
      <c r="K124" s="315"/>
      <c r="L124" s="315"/>
      <c r="M124" s="315"/>
      <c r="N124" s="315"/>
      <c r="O124" s="315"/>
      <c r="P124" s="315"/>
      <c r="Q124" s="315"/>
      <c r="R124" s="315"/>
      <c r="S124" s="315"/>
      <c r="T124" s="315"/>
      <c r="U124" s="315"/>
      <c r="V124" s="315"/>
      <c r="W124" s="315"/>
      <c r="X124" s="315"/>
      <c r="Y124" s="315"/>
      <c r="Z124" s="315"/>
      <c r="AA124" s="315"/>
      <c r="AB124" s="315"/>
      <c r="AC124" s="315"/>
      <c r="AD124" s="315"/>
      <c r="AE124" s="315"/>
      <c r="AF124" s="315"/>
      <c r="AG124" s="315"/>
      <c r="AH124" s="315"/>
      <c r="AI124" s="315"/>
      <c r="AJ124" s="315"/>
      <c r="AK124" s="315"/>
      <c r="AL124" s="315"/>
      <c r="AM124" s="315"/>
      <c r="AN124" s="315"/>
      <c r="AO124" s="315"/>
      <c r="AP124" s="315"/>
      <c r="AQ124" s="315"/>
      <c r="AR124" s="315"/>
      <c r="AS124" s="315"/>
      <c r="AT124" s="315"/>
      <c r="AU124" s="315"/>
      <c r="AV124" s="315"/>
      <c r="AW124" s="315"/>
      <c r="AX124" s="315"/>
      <c r="AY124" s="315"/>
      <c r="AZ124" s="315"/>
      <c r="BA124" s="315"/>
      <c r="BB124" s="315"/>
      <c r="BC124" s="315"/>
      <c r="BD124" s="315"/>
      <c r="BE124" s="315"/>
      <c r="BF124" s="315"/>
      <c r="BG124" s="315"/>
      <c r="BH124" s="315"/>
      <c r="BI124" s="315"/>
      <c r="BJ124" s="315"/>
      <c r="BK124" s="315"/>
      <c r="BL124" s="315"/>
      <c r="BM124" s="315"/>
      <c r="BN124" s="315"/>
      <c r="BO124" s="315"/>
      <c r="BP124" s="315"/>
      <c r="BQ124" s="315"/>
      <c r="BR124" s="315"/>
      <c r="BS124" s="315"/>
      <c r="BT124" s="315"/>
      <c r="BU124" s="315"/>
      <c r="BV124" s="315"/>
      <c r="BW124" s="315"/>
      <c r="BX124" s="315"/>
      <c r="BY124" s="315"/>
      <c r="BZ124" s="315"/>
      <c r="CA124" s="315"/>
      <c r="CB124" s="315"/>
      <c r="CC124" s="315"/>
      <c r="CD124" s="315"/>
      <c r="CE124" s="315"/>
      <c r="CF124" s="315"/>
      <c r="CG124" s="315"/>
      <c r="CH124" s="315"/>
      <c r="CI124" s="315"/>
      <c r="CJ124" s="315"/>
      <c r="CK124" s="315"/>
      <c r="CL124" s="315"/>
      <c r="CM124" s="315"/>
      <c r="CN124" s="315"/>
      <c r="CO124" s="315"/>
      <c r="CP124" s="315"/>
      <c r="CQ124" s="315"/>
      <c r="CR124" s="315"/>
      <c r="CS124" s="315"/>
      <c r="CT124" s="315"/>
      <c r="CU124" s="315"/>
      <c r="CV124" s="315"/>
      <c r="CW124" s="315"/>
      <c r="CX124" s="315"/>
      <c r="CY124" s="315"/>
      <c r="CZ124" s="315"/>
      <c r="DA124" s="315"/>
      <c r="DB124" s="315"/>
      <c r="DC124" s="315"/>
      <c r="DD124" s="315"/>
      <c r="DE124" s="315"/>
      <c r="DF124" s="315"/>
      <c r="DG124" s="315"/>
      <c r="DH124" s="315"/>
      <c r="DI124" s="315"/>
      <c r="DJ124" s="315"/>
      <c r="DK124" s="315"/>
      <c r="DL124" s="315"/>
      <c r="DM124" s="315"/>
      <c r="DN124" s="315"/>
      <c r="DO124" s="315"/>
      <c r="DP124" s="315"/>
      <c r="DQ124" s="315"/>
      <c r="DR124" s="315"/>
      <c r="DS124" s="315"/>
      <c r="DT124" s="315"/>
      <c r="DU124" s="315"/>
      <c r="DV124" s="315"/>
      <c r="DW124" s="315"/>
      <c r="DX124" s="315"/>
      <c r="DY124" s="315"/>
      <c r="DZ124" s="315"/>
      <c r="EA124" s="315"/>
      <c r="EB124" s="315"/>
      <c r="EC124" s="315"/>
      <c r="ED124" s="315"/>
      <c r="EE124" s="315"/>
      <c r="EF124" s="315"/>
      <c r="EG124" s="315"/>
      <c r="EH124" s="315"/>
      <c r="EI124" s="315"/>
      <c r="EJ124" s="315"/>
      <c r="EK124" s="315"/>
      <c r="EL124" s="315"/>
      <c r="EM124" s="315"/>
      <c r="EN124" s="315"/>
      <c r="EO124" s="315"/>
      <c r="EP124" s="315"/>
      <c r="EQ124" s="315"/>
      <c r="ER124" s="315"/>
      <c r="ES124" s="315"/>
      <c r="ET124" s="315"/>
      <c r="EU124" s="315"/>
      <c r="EV124" s="315"/>
      <c r="EW124" s="315"/>
      <c r="EX124" s="315"/>
      <c r="EY124" s="315"/>
      <c r="EZ124" s="315"/>
      <c r="FA124" s="315"/>
      <c r="FB124" s="315"/>
      <c r="FC124" s="315"/>
      <c r="FD124" s="315"/>
      <c r="FE124" s="315"/>
      <c r="FF124" s="315"/>
      <c r="FG124" s="315"/>
      <c r="FH124" s="315"/>
      <c r="FI124" s="315"/>
      <c r="FJ124" s="315"/>
      <c r="FK124" s="315"/>
      <c r="FL124" s="315"/>
      <c r="FM124" s="315"/>
      <c r="FN124" s="315"/>
      <c r="FO124" s="315"/>
      <c r="FP124" s="315"/>
      <c r="FQ124" s="315"/>
      <c r="FR124" s="315"/>
      <c r="FS124" s="315"/>
      <c r="FT124" s="315"/>
      <c r="FU124" s="315"/>
      <c r="FV124" s="315"/>
      <c r="FW124" s="315"/>
      <c r="FX124" s="315"/>
      <c r="FY124" s="315"/>
      <c r="FZ124" s="315"/>
      <c r="GA124" s="315"/>
      <c r="GB124" s="315"/>
      <c r="GC124" s="315"/>
      <c r="GD124" s="315"/>
      <c r="GE124" s="315"/>
      <c r="GF124" s="315"/>
      <c r="GG124" s="315"/>
      <c r="GH124" s="315"/>
      <c r="GI124" s="315"/>
      <c r="GJ124" s="315"/>
      <c r="GK124" s="315"/>
      <c r="GL124" s="315"/>
      <c r="GM124" s="315"/>
      <c r="GN124" s="315"/>
      <c r="GO124" s="315"/>
      <c r="GP124" s="315"/>
      <c r="GQ124" s="315"/>
    </row>
    <row r="125" spans="2:199" hidden="1" outlineLevel="1">
      <c r="B125" s="184" t="s">
        <v>388</v>
      </c>
      <c r="C125" s="185"/>
      <c r="D125" s="186"/>
      <c r="E125" s="186">
        <f t="shared" ref="E125" si="2336">D131</f>
        <v>0</v>
      </c>
      <c r="F125" s="186">
        <f t="shared" ref="F125" si="2337">E131</f>
        <v>0</v>
      </c>
      <c r="G125" s="186">
        <f t="shared" ref="G125" si="2338">F131</f>
        <v>0</v>
      </c>
      <c r="H125" s="186">
        <f t="shared" ref="H125" si="2339">G131</f>
        <v>17728</v>
      </c>
      <c r="I125" s="186">
        <f t="shared" ref="I125" si="2340">H131</f>
        <v>17909.446080000002</v>
      </c>
      <c r="J125" s="186">
        <f t="shared" ref="J125" si="2341">I131</f>
        <v>18061.855466140802</v>
      </c>
      <c r="K125" s="186">
        <f t="shared" ref="K125" si="2342">J131</f>
        <v>18230.101649807904</v>
      </c>
      <c r="L125" s="186">
        <f t="shared" ref="L125" si="2343">K131</f>
        <v>14773.333333333334</v>
      </c>
      <c r="M125" s="186">
        <f t="shared" ref="M125" si="2344">L131</f>
        <v>14898.974275461644</v>
      </c>
      <c r="N125" s="186">
        <f t="shared" ref="N125" si="2345">M131</f>
        <v>15008.008732011762</v>
      </c>
      <c r="O125" s="186">
        <f t="shared" ref="O125" si="2346">N131</f>
        <v>15127.546198124413</v>
      </c>
      <c r="P125" s="186">
        <f t="shared" ref="P125" si="2347">O131</f>
        <v>15251.403956902013</v>
      </c>
      <c r="Q125" s="186">
        <f t="shared" ref="Q125" si="2348">P131</f>
        <v>15354.289540606436</v>
      </c>
      <c r="R125" s="186">
        <f t="shared" ref="R125" si="2349">Q131</f>
        <v>11818.666666666668</v>
      </c>
      <c r="S125" s="186">
        <f t="shared" ref="S125" si="2350">R131</f>
        <v>11902.652520124022</v>
      </c>
      <c r="T125" s="186">
        <f t="shared" ref="T125" si="2351">S131</f>
        <v>11987.235194168667</v>
      </c>
      <c r="U125" s="186">
        <f t="shared" ref="U125" si="2352">T131</f>
        <v>12081.059267530964</v>
      </c>
      <c r="V125" s="186">
        <f t="shared" ref="V125" si="2353">U131</f>
        <v>12158.207191453133</v>
      </c>
      <c r="W125" s="186">
        <f t="shared" ref="W125" si="2354">V131</f>
        <v>12244.605889063036</v>
      </c>
      <c r="X125" s="186">
        <f t="shared" ref="X125" si="2355">W131</f>
        <v>8864</v>
      </c>
      <c r="Y125" s="186">
        <f t="shared" ref="Y125" si="2356">X131</f>
        <v>8930.183455637969</v>
      </c>
      <c r="Z125" s="186">
        <f t="shared" ref="Z125" si="2357">Y131</f>
        <v>8993.6431588520227</v>
      </c>
      <c r="AA125" s="186">
        <f t="shared" ref="AA125" si="2358">Z131</f>
        <v>9067.27919144527</v>
      </c>
      <c r="AB125" s="186">
        <f t="shared" ref="AB125" si="2359">AA131</f>
        <v>9138.2487731940637</v>
      </c>
      <c r="AC125" s="186">
        <f t="shared" ref="AC125" si="2360">AB131</f>
        <v>9208.5152049020689</v>
      </c>
      <c r="AD125" s="186">
        <f t="shared" ref="AD125" si="2361">AC131</f>
        <v>5909.3333333333358</v>
      </c>
      <c r="AE125" s="186">
        <f t="shared" ref="AE125" si="2362">AD131</f>
        <v>5957.6891172972646</v>
      </c>
      <c r="AF125" s="186">
        <f t="shared" ref="AF125" si="2363">AE131</f>
        <v>6010.0921241871201</v>
      </c>
      <c r="AG125" s="186">
        <f t="shared" ref="AG125" si="2364">AF131</f>
        <v>6065.5056979757592</v>
      </c>
      <c r="AH125" s="186">
        <f t="shared" ref="AH125" si="2365">AG131</f>
        <v>6116.2848409501694</v>
      </c>
      <c r="AI125" s="186">
        <f t="shared" ref="AI125" si="2366">AH131</f>
        <v>6164.8963078555471</v>
      </c>
      <c r="AJ125" s="186">
        <f t="shared" ref="AJ125" si="2367">AI131</f>
        <v>2954.6666666666702</v>
      </c>
      <c r="AK125" s="186">
        <f t="shared" ref="AK125" si="2368">AJ131</f>
        <v>2980.6555047282309</v>
      </c>
      <c r="AL125" s="186">
        <f t="shared" ref="AL125" si="2369">AK131</f>
        <v>3005.6089281637355</v>
      </c>
      <c r="AM125" s="186">
        <f t="shared" ref="AM125" si="2370">AL131</f>
        <v>3034.5964289316516</v>
      </c>
      <c r="AN125" s="186">
        <f t="shared" ref="AN125" si="2371">AM131</f>
        <v>3061.2883180924237</v>
      </c>
      <c r="AO125" s="186">
        <f t="shared" ref="AO125" si="2372">AN131</f>
        <v>3089.5136634944056</v>
      </c>
      <c r="AP125" s="186">
        <f t="shared" ref="AP125" si="2373">AO131</f>
        <v>0</v>
      </c>
      <c r="AQ125" s="186">
        <f t="shared" ref="AQ125" si="2374">AP131</f>
        <v>0</v>
      </c>
      <c r="AR125" s="186">
        <f t="shared" ref="AR125" si="2375">AQ131</f>
        <v>0</v>
      </c>
      <c r="AS125" s="186">
        <f t="shared" ref="AS125" si="2376">AR131</f>
        <v>0</v>
      </c>
      <c r="AT125" s="186">
        <f t="shared" ref="AT125" si="2377">AS131</f>
        <v>0</v>
      </c>
      <c r="AU125" s="186">
        <f t="shared" ref="AU125" si="2378">AT131</f>
        <v>0</v>
      </c>
      <c r="AV125" s="186">
        <f t="shared" ref="AV125" si="2379">AU131</f>
        <v>0</v>
      </c>
      <c r="AW125" s="186">
        <f t="shared" ref="AW125" si="2380">AV131</f>
        <v>0</v>
      </c>
      <c r="AX125" s="186">
        <f t="shared" ref="AX125" si="2381">AW131</f>
        <v>0</v>
      </c>
      <c r="AY125" s="186">
        <f t="shared" ref="AY125" si="2382">AX131</f>
        <v>0</v>
      </c>
      <c r="AZ125" s="186">
        <f t="shared" ref="AZ125" si="2383">AY131</f>
        <v>0</v>
      </c>
      <c r="BA125" s="186">
        <f t="shared" ref="BA125" si="2384">AZ131</f>
        <v>0</v>
      </c>
      <c r="BB125" s="186">
        <f t="shared" ref="BB125" si="2385">BA131</f>
        <v>0</v>
      </c>
      <c r="BC125" s="186">
        <f t="shared" ref="BC125" si="2386">BB131</f>
        <v>0</v>
      </c>
      <c r="BD125" s="186">
        <f t="shared" ref="BD125" si="2387">BC131</f>
        <v>0</v>
      </c>
      <c r="BE125" s="186">
        <f t="shared" ref="BE125" si="2388">BD131</f>
        <v>0</v>
      </c>
      <c r="BF125" s="186">
        <f t="shared" ref="BF125" si="2389">BE131</f>
        <v>0</v>
      </c>
      <c r="BG125" s="186">
        <f t="shared" ref="BG125" si="2390">BF131</f>
        <v>0</v>
      </c>
      <c r="BH125" s="186">
        <f t="shared" ref="BH125" si="2391">BG131</f>
        <v>0</v>
      </c>
      <c r="BI125" s="186">
        <f t="shared" ref="BI125" si="2392">BH131</f>
        <v>0</v>
      </c>
      <c r="BJ125" s="186">
        <f t="shared" ref="BJ125" si="2393">BI131</f>
        <v>0</v>
      </c>
      <c r="BK125" s="186">
        <f t="shared" ref="BK125" si="2394">BJ131</f>
        <v>0</v>
      </c>
      <c r="BL125" s="186">
        <f t="shared" ref="BL125" si="2395">BK131</f>
        <v>0</v>
      </c>
      <c r="BM125" s="186">
        <f t="shared" ref="BM125" si="2396">BL131</f>
        <v>0</v>
      </c>
      <c r="BN125" s="186">
        <f t="shared" ref="BN125" si="2397">BM131</f>
        <v>0</v>
      </c>
      <c r="BO125" s="186">
        <f t="shared" ref="BO125" si="2398">BN131</f>
        <v>0</v>
      </c>
      <c r="BP125" s="186">
        <f t="shared" ref="BP125" si="2399">BO131</f>
        <v>0</v>
      </c>
      <c r="BQ125" s="186">
        <f t="shared" ref="BQ125" si="2400">BP131</f>
        <v>0</v>
      </c>
      <c r="BR125" s="186">
        <f t="shared" ref="BR125" si="2401">BQ131</f>
        <v>0</v>
      </c>
      <c r="BS125" s="186">
        <f t="shared" ref="BS125" si="2402">BR131</f>
        <v>0</v>
      </c>
      <c r="BT125" s="186">
        <f t="shared" ref="BT125" si="2403">BS131</f>
        <v>0</v>
      </c>
      <c r="BU125" s="186">
        <f t="shared" ref="BU125" si="2404">BT131</f>
        <v>0</v>
      </c>
      <c r="BV125" s="186">
        <f t="shared" ref="BV125" si="2405">BU131</f>
        <v>0</v>
      </c>
      <c r="BW125" s="186">
        <f t="shared" ref="BW125" si="2406">BV131</f>
        <v>0</v>
      </c>
      <c r="BX125" s="186">
        <f t="shared" ref="BX125" si="2407">BW131</f>
        <v>0</v>
      </c>
      <c r="BY125" s="186">
        <f t="shared" ref="BY125" si="2408">BX131</f>
        <v>0</v>
      </c>
      <c r="BZ125" s="186">
        <f t="shared" ref="BZ125" si="2409">BY131</f>
        <v>0</v>
      </c>
      <c r="CA125" s="186">
        <f t="shared" ref="CA125" si="2410">BZ131</f>
        <v>0</v>
      </c>
      <c r="CB125" s="186">
        <f t="shared" ref="CB125" si="2411">CA131</f>
        <v>0</v>
      </c>
      <c r="CC125" s="186">
        <f t="shared" ref="CC125" si="2412">CB131</f>
        <v>0</v>
      </c>
      <c r="CD125" s="186">
        <f t="shared" ref="CD125" si="2413">CC131</f>
        <v>0</v>
      </c>
      <c r="CE125" s="186">
        <f t="shared" ref="CE125" si="2414">CD131</f>
        <v>0</v>
      </c>
      <c r="CF125" s="186">
        <f t="shared" ref="CF125" si="2415">CE131</f>
        <v>0</v>
      </c>
      <c r="CG125" s="186">
        <f t="shared" ref="CG125" si="2416">CF131</f>
        <v>0</v>
      </c>
      <c r="CH125" s="186">
        <f t="shared" ref="CH125" si="2417">CG131</f>
        <v>0</v>
      </c>
      <c r="CI125" s="186">
        <f t="shared" ref="CI125" si="2418">CH131</f>
        <v>0</v>
      </c>
      <c r="CJ125" s="186">
        <f t="shared" ref="CJ125" si="2419">CI131</f>
        <v>0</v>
      </c>
      <c r="CK125" s="186">
        <f t="shared" ref="CK125" si="2420">CJ131</f>
        <v>0</v>
      </c>
      <c r="CL125" s="186">
        <f t="shared" ref="CL125" si="2421">CK131</f>
        <v>0</v>
      </c>
      <c r="CM125" s="186">
        <f t="shared" ref="CM125" si="2422">CL131</f>
        <v>0</v>
      </c>
      <c r="CN125" s="186">
        <f t="shared" ref="CN125" si="2423">CM131</f>
        <v>0</v>
      </c>
      <c r="CO125" s="186">
        <f t="shared" ref="CO125" si="2424">CN131</f>
        <v>0</v>
      </c>
      <c r="CP125" s="186">
        <f t="shared" ref="CP125" si="2425">CO131</f>
        <v>0</v>
      </c>
      <c r="CQ125" s="186">
        <f t="shared" ref="CQ125" si="2426">CP131</f>
        <v>0</v>
      </c>
      <c r="CR125" s="186">
        <f t="shared" ref="CR125" si="2427">CQ131</f>
        <v>0</v>
      </c>
      <c r="CS125" s="186">
        <f t="shared" ref="CS125" si="2428">CR131</f>
        <v>0</v>
      </c>
      <c r="CT125" s="186">
        <f t="shared" ref="CT125" si="2429">CS131</f>
        <v>0</v>
      </c>
      <c r="CU125" s="186">
        <f t="shared" ref="CU125" si="2430">CT131</f>
        <v>0</v>
      </c>
      <c r="CV125" s="186">
        <f t="shared" ref="CV125" si="2431">CU131</f>
        <v>0</v>
      </c>
      <c r="CW125" s="186">
        <f t="shared" ref="CW125" si="2432">CV131</f>
        <v>0</v>
      </c>
      <c r="CX125" s="186">
        <f t="shared" ref="CX125" si="2433">CW131</f>
        <v>0</v>
      </c>
      <c r="CY125" s="186">
        <f t="shared" ref="CY125" si="2434">CX131</f>
        <v>0</v>
      </c>
      <c r="CZ125" s="186">
        <f t="shared" ref="CZ125" si="2435">CY131</f>
        <v>0</v>
      </c>
      <c r="DA125" s="186">
        <f t="shared" ref="DA125" si="2436">CZ131</f>
        <v>0</v>
      </c>
      <c r="DB125" s="186">
        <f t="shared" ref="DB125" si="2437">DA131</f>
        <v>0</v>
      </c>
      <c r="DC125" s="186">
        <f t="shared" ref="DC125" si="2438">DB131</f>
        <v>0</v>
      </c>
      <c r="DD125" s="186">
        <f t="shared" ref="DD125" si="2439">DC131</f>
        <v>0</v>
      </c>
      <c r="DE125" s="186">
        <f t="shared" ref="DE125" si="2440">DD131</f>
        <v>0</v>
      </c>
      <c r="DF125" s="186">
        <f t="shared" ref="DF125" si="2441">DE131</f>
        <v>0</v>
      </c>
      <c r="DG125" s="186">
        <f t="shared" ref="DG125" si="2442">DF131</f>
        <v>0</v>
      </c>
      <c r="DH125" s="186">
        <f t="shared" ref="DH125" si="2443">DG131</f>
        <v>0</v>
      </c>
      <c r="DI125" s="186">
        <f t="shared" ref="DI125" si="2444">DH131</f>
        <v>0</v>
      </c>
      <c r="DJ125" s="186">
        <f t="shared" ref="DJ125" si="2445">DI131</f>
        <v>0</v>
      </c>
      <c r="DK125" s="186">
        <f t="shared" ref="DK125" si="2446">DJ131</f>
        <v>0</v>
      </c>
      <c r="DL125" s="186">
        <f t="shared" ref="DL125" si="2447">DK131</f>
        <v>0</v>
      </c>
      <c r="DM125" s="186">
        <f t="shared" ref="DM125" si="2448">DL131</f>
        <v>0</v>
      </c>
      <c r="DN125" s="186">
        <f t="shared" ref="DN125" si="2449">DM131</f>
        <v>0</v>
      </c>
      <c r="DO125" s="186">
        <f t="shared" ref="DO125" si="2450">DN131</f>
        <v>0</v>
      </c>
      <c r="DP125" s="186">
        <f t="shared" ref="DP125" si="2451">DO131</f>
        <v>0</v>
      </c>
      <c r="DQ125" s="186">
        <f t="shared" ref="DQ125" si="2452">DP131</f>
        <v>0</v>
      </c>
      <c r="DR125" s="186">
        <f t="shared" ref="DR125" si="2453">DQ131</f>
        <v>0</v>
      </c>
      <c r="DS125" s="186">
        <f t="shared" ref="DS125" si="2454">DR131</f>
        <v>0</v>
      </c>
      <c r="DT125" s="186">
        <f t="shared" ref="DT125" si="2455">DS131</f>
        <v>0</v>
      </c>
      <c r="DU125" s="186">
        <f t="shared" ref="DU125" si="2456">DT131</f>
        <v>0</v>
      </c>
      <c r="DV125" s="186">
        <f t="shared" ref="DV125" si="2457">DU131</f>
        <v>0</v>
      </c>
      <c r="DW125" s="186">
        <f t="shared" ref="DW125" si="2458">DV131</f>
        <v>0</v>
      </c>
      <c r="DX125" s="186">
        <f t="shared" ref="DX125" si="2459">DW131</f>
        <v>0</v>
      </c>
      <c r="DY125" s="186">
        <f t="shared" ref="DY125" si="2460">DX131</f>
        <v>0</v>
      </c>
      <c r="DZ125" s="186">
        <f t="shared" ref="DZ125" si="2461">DY131</f>
        <v>0</v>
      </c>
      <c r="EA125" s="186">
        <f t="shared" ref="EA125" si="2462">DZ131</f>
        <v>0</v>
      </c>
      <c r="EB125" s="186">
        <f t="shared" ref="EB125" si="2463">EA131</f>
        <v>0</v>
      </c>
      <c r="EC125" s="186">
        <f t="shared" ref="EC125" si="2464">EB131</f>
        <v>0</v>
      </c>
      <c r="ED125" s="186">
        <f t="shared" ref="ED125" si="2465">EC131</f>
        <v>0</v>
      </c>
      <c r="EE125" s="186">
        <f t="shared" ref="EE125" si="2466">ED131</f>
        <v>0</v>
      </c>
      <c r="EF125" s="186">
        <f t="shared" ref="EF125" si="2467">EE131</f>
        <v>0</v>
      </c>
      <c r="EG125" s="186">
        <f t="shared" ref="EG125" si="2468">EF131</f>
        <v>0</v>
      </c>
      <c r="EH125" s="186">
        <f t="shared" ref="EH125" si="2469">EG131</f>
        <v>0</v>
      </c>
      <c r="EI125" s="186">
        <f t="shared" ref="EI125" si="2470">EH131</f>
        <v>0</v>
      </c>
      <c r="EJ125" s="186">
        <f t="shared" ref="EJ125" si="2471">EI131</f>
        <v>0</v>
      </c>
      <c r="EK125" s="186">
        <f t="shared" ref="EK125" si="2472">EJ131</f>
        <v>0</v>
      </c>
      <c r="EL125" s="186">
        <f t="shared" ref="EL125" si="2473">EK131</f>
        <v>0</v>
      </c>
      <c r="EM125" s="186">
        <f t="shared" ref="EM125" si="2474">EL131</f>
        <v>0</v>
      </c>
      <c r="EN125" s="186">
        <f t="shared" ref="EN125" si="2475">EM131</f>
        <v>0</v>
      </c>
      <c r="EO125" s="186">
        <f t="shared" ref="EO125" si="2476">EN131</f>
        <v>0</v>
      </c>
      <c r="EP125" s="186">
        <f t="shared" ref="EP125" si="2477">EO131</f>
        <v>0</v>
      </c>
      <c r="EQ125" s="186">
        <f t="shared" ref="EQ125" si="2478">EP131</f>
        <v>0</v>
      </c>
      <c r="ER125" s="186">
        <f t="shared" ref="ER125" si="2479">EQ131</f>
        <v>0</v>
      </c>
      <c r="ES125" s="186">
        <f t="shared" ref="ES125" si="2480">ER131</f>
        <v>0</v>
      </c>
      <c r="ET125" s="186">
        <f t="shared" ref="ET125" si="2481">ES131</f>
        <v>0</v>
      </c>
      <c r="EU125" s="186">
        <f t="shared" ref="EU125" si="2482">ET131</f>
        <v>0</v>
      </c>
      <c r="EV125" s="186">
        <f t="shared" ref="EV125" si="2483">EU131</f>
        <v>0</v>
      </c>
      <c r="EW125" s="186">
        <f t="shared" ref="EW125" si="2484">EV131</f>
        <v>0</v>
      </c>
      <c r="EX125" s="186">
        <f t="shared" ref="EX125" si="2485">EW131</f>
        <v>0</v>
      </c>
      <c r="EY125" s="186">
        <f t="shared" ref="EY125" si="2486">EX131</f>
        <v>0</v>
      </c>
      <c r="EZ125" s="186">
        <f t="shared" ref="EZ125" si="2487">EY131</f>
        <v>0</v>
      </c>
      <c r="FA125" s="186">
        <f t="shared" ref="FA125" si="2488">EZ131</f>
        <v>0</v>
      </c>
      <c r="FB125" s="186">
        <f t="shared" ref="FB125" si="2489">FA131</f>
        <v>0</v>
      </c>
      <c r="FC125" s="186">
        <f t="shared" ref="FC125" si="2490">FB131</f>
        <v>0</v>
      </c>
      <c r="FD125" s="186">
        <f t="shared" ref="FD125" si="2491">FC131</f>
        <v>0</v>
      </c>
      <c r="FE125" s="186">
        <f t="shared" ref="FE125" si="2492">FD131</f>
        <v>0</v>
      </c>
      <c r="FF125" s="186">
        <f t="shared" ref="FF125" si="2493">FE131</f>
        <v>0</v>
      </c>
      <c r="FG125" s="186">
        <f t="shared" ref="FG125" si="2494">FF131</f>
        <v>0</v>
      </c>
      <c r="FH125" s="186">
        <f t="shared" ref="FH125" si="2495">FG131</f>
        <v>0</v>
      </c>
      <c r="FI125" s="186">
        <f t="shared" ref="FI125" si="2496">FH131</f>
        <v>0</v>
      </c>
      <c r="FJ125" s="186">
        <f t="shared" ref="FJ125" si="2497">FI131</f>
        <v>0</v>
      </c>
      <c r="FK125" s="186">
        <f t="shared" ref="FK125" si="2498">FJ131</f>
        <v>0</v>
      </c>
      <c r="FL125" s="186">
        <f t="shared" ref="FL125" si="2499">FK131</f>
        <v>0</v>
      </c>
      <c r="FM125" s="186">
        <f t="shared" ref="FM125" si="2500">FL131</f>
        <v>0</v>
      </c>
      <c r="FN125" s="186">
        <f t="shared" ref="FN125" si="2501">FM131</f>
        <v>0</v>
      </c>
      <c r="FO125" s="186">
        <f t="shared" ref="FO125" si="2502">FN131</f>
        <v>0</v>
      </c>
      <c r="FP125" s="186">
        <f t="shared" ref="FP125" si="2503">FO131</f>
        <v>0</v>
      </c>
      <c r="FQ125" s="186">
        <f t="shared" ref="FQ125" si="2504">FP131</f>
        <v>0</v>
      </c>
      <c r="FR125" s="186">
        <f t="shared" ref="FR125" si="2505">FQ131</f>
        <v>0</v>
      </c>
      <c r="FS125" s="186">
        <f t="shared" ref="FS125" si="2506">FR131</f>
        <v>0</v>
      </c>
      <c r="FT125" s="186">
        <f t="shared" ref="FT125" si="2507">FS131</f>
        <v>0</v>
      </c>
      <c r="FU125" s="186">
        <f t="shared" ref="FU125" si="2508">FT131</f>
        <v>0</v>
      </c>
      <c r="FV125" s="186">
        <f t="shared" ref="FV125" si="2509">FU131</f>
        <v>0</v>
      </c>
      <c r="FW125" s="186">
        <f t="shared" ref="FW125" si="2510">FV131</f>
        <v>0</v>
      </c>
      <c r="FX125" s="186">
        <f t="shared" ref="FX125" si="2511">FW131</f>
        <v>0</v>
      </c>
      <c r="FY125" s="186">
        <f t="shared" ref="FY125" si="2512">FX131</f>
        <v>0</v>
      </c>
      <c r="FZ125" s="186">
        <f t="shared" ref="FZ125" si="2513">FY131</f>
        <v>0</v>
      </c>
      <c r="GA125" s="186">
        <f t="shared" ref="GA125" si="2514">FZ131</f>
        <v>0</v>
      </c>
      <c r="GB125" s="186">
        <f t="shared" ref="GB125" si="2515">GA131</f>
        <v>0</v>
      </c>
      <c r="GC125" s="186">
        <f t="shared" ref="GC125" si="2516">GB131</f>
        <v>0</v>
      </c>
      <c r="GD125" s="186">
        <f t="shared" ref="GD125" si="2517">GC131</f>
        <v>0</v>
      </c>
      <c r="GE125" s="186">
        <f t="shared" ref="GE125" si="2518">GD131</f>
        <v>0</v>
      </c>
      <c r="GF125" s="186">
        <f t="shared" ref="GF125" si="2519">GE131</f>
        <v>0</v>
      </c>
      <c r="GG125" s="186">
        <f t="shared" ref="GG125" si="2520">GF131</f>
        <v>0</v>
      </c>
      <c r="GH125" s="186">
        <f t="shared" ref="GH125" si="2521">GG131</f>
        <v>0</v>
      </c>
      <c r="GI125" s="186">
        <f t="shared" ref="GI125" si="2522">GH131</f>
        <v>0</v>
      </c>
      <c r="GJ125" s="186">
        <f t="shared" ref="GJ125" si="2523">GI131</f>
        <v>0</v>
      </c>
      <c r="GK125" s="186">
        <f t="shared" ref="GK125" si="2524">GJ131</f>
        <v>0</v>
      </c>
      <c r="GL125" s="186">
        <f t="shared" ref="GL125" si="2525">GK131</f>
        <v>0</v>
      </c>
      <c r="GM125" s="186">
        <f t="shared" ref="GM125" si="2526">GL131</f>
        <v>0</v>
      </c>
      <c r="GN125" s="186">
        <f t="shared" ref="GN125" si="2527">GM131</f>
        <v>0</v>
      </c>
      <c r="GO125" s="186">
        <f t="shared" ref="GO125" si="2528">GN131</f>
        <v>0</v>
      </c>
      <c r="GP125" s="186">
        <f t="shared" ref="GP125" si="2529">GO131</f>
        <v>0</v>
      </c>
      <c r="GQ125" s="186">
        <f t="shared" ref="GQ125" si="2530">GP131</f>
        <v>0</v>
      </c>
    </row>
    <row r="126" spans="2:199" hidden="1" outlineLevel="1">
      <c r="B126" s="187" t="s">
        <v>411</v>
      </c>
      <c r="C126" s="180"/>
      <c r="D126" s="188"/>
      <c r="E126" s="189">
        <f>G126</f>
        <v>17728</v>
      </c>
      <c r="F126" s="189">
        <f t="shared" ref="F126:BQ126" si="2531">(IF(F111&lt;$C113,0,IF(F111=$C113,$C126,0)))</f>
        <v>0</v>
      </c>
      <c r="G126" s="189">
        <f>G131</f>
        <v>17728</v>
      </c>
      <c r="H126" s="189">
        <f t="shared" si="2531"/>
        <v>0</v>
      </c>
      <c r="I126" s="189">
        <f t="shared" si="2531"/>
        <v>0</v>
      </c>
      <c r="J126" s="189">
        <f t="shared" si="2531"/>
        <v>0</v>
      </c>
      <c r="K126" s="189">
        <f t="shared" si="2531"/>
        <v>0</v>
      </c>
      <c r="L126" s="189">
        <f t="shared" si="2531"/>
        <v>0</v>
      </c>
      <c r="M126" s="189">
        <f t="shared" si="2531"/>
        <v>0</v>
      </c>
      <c r="N126" s="189">
        <f t="shared" si="2531"/>
        <v>0</v>
      </c>
      <c r="O126" s="189">
        <f t="shared" si="2531"/>
        <v>0</v>
      </c>
      <c r="P126" s="189">
        <f t="shared" si="2531"/>
        <v>0</v>
      </c>
      <c r="Q126" s="189">
        <f t="shared" si="2531"/>
        <v>0</v>
      </c>
      <c r="R126" s="189">
        <f t="shared" si="2531"/>
        <v>0</v>
      </c>
      <c r="S126" s="189">
        <f t="shared" si="2531"/>
        <v>0</v>
      </c>
      <c r="T126" s="189">
        <f t="shared" si="2531"/>
        <v>0</v>
      </c>
      <c r="U126" s="189">
        <f t="shared" si="2531"/>
        <v>0</v>
      </c>
      <c r="V126" s="189">
        <f t="shared" si="2531"/>
        <v>0</v>
      </c>
      <c r="W126" s="189">
        <f t="shared" si="2531"/>
        <v>0</v>
      </c>
      <c r="X126" s="189">
        <f t="shared" si="2531"/>
        <v>0</v>
      </c>
      <c r="Y126" s="189">
        <f t="shared" si="2531"/>
        <v>0</v>
      </c>
      <c r="Z126" s="189">
        <f t="shared" si="2531"/>
        <v>0</v>
      </c>
      <c r="AA126" s="189">
        <f t="shared" si="2531"/>
        <v>0</v>
      </c>
      <c r="AB126" s="189">
        <f t="shared" si="2531"/>
        <v>0</v>
      </c>
      <c r="AC126" s="189">
        <f t="shared" si="2531"/>
        <v>0</v>
      </c>
      <c r="AD126" s="189">
        <f t="shared" si="2531"/>
        <v>0</v>
      </c>
      <c r="AE126" s="189">
        <f t="shared" si="2531"/>
        <v>0</v>
      </c>
      <c r="AF126" s="189">
        <f t="shared" si="2531"/>
        <v>0</v>
      </c>
      <c r="AG126" s="189">
        <f t="shared" si="2531"/>
        <v>0</v>
      </c>
      <c r="AH126" s="189">
        <f t="shared" si="2531"/>
        <v>0</v>
      </c>
      <c r="AI126" s="189">
        <f t="shared" si="2531"/>
        <v>0</v>
      </c>
      <c r="AJ126" s="189">
        <f t="shared" si="2531"/>
        <v>0</v>
      </c>
      <c r="AK126" s="189">
        <f t="shared" si="2531"/>
        <v>0</v>
      </c>
      <c r="AL126" s="189">
        <f t="shared" si="2531"/>
        <v>0</v>
      </c>
      <c r="AM126" s="189">
        <f t="shared" si="2531"/>
        <v>0</v>
      </c>
      <c r="AN126" s="189">
        <f t="shared" si="2531"/>
        <v>0</v>
      </c>
      <c r="AO126" s="189">
        <f t="shared" si="2531"/>
        <v>0</v>
      </c>
      <c r="AP126" s="189">
        <f t="shared" si="2531"/>
        <v>0</v>
      </c>
      <c r="AQ126" s="189">
        <f t="shared" si="2531"/>
        <v>0</v>
      </c>
      <c r="AR126" s="189">
        <f t="shared" si="2531"/>
        <v>0</v>
      </c>
      <c r="AS126" s="189">
        <f t="shared" si="2531"/>
        <v>0</v>
      </c>
      <c r="AT126" s="189">
        <f t="shared" si="2531"/>
        <v>0</v>
      </c>
      <c r="AU126" s="189">
        <f t="shared" si="2531"/>
        <v>0</v>
      </c>
      <c r="AV126" s="189">
        <f t="shared" si="2531"/>
        <v>0</v>
      </c>
      <c r="AW126" s="189">
        <f t="shared" si="2531"/>
        <v>0</v>
      </c>
      <c r="AX126" s="189">
        <f t="shared" si="2531"/>
        <v>0</v>
      </c>
      <c r="AY126" s="189">
        <f t="shared" si="2531"/>
        <v>0</v>
      </c>
      <c r="AZ126" s="189">
        <f t="shared" si="2531"/>
        <v>0</v>
      </c>
      <c r="BA126" s="189">
        <f t="shared" si="2531"/>
        <v>0</v>
      </c>
      <c r="BB126" s="189">
        <f t="shared" si="2531"/>
        <v>0</v>
      </c>
      <c r="BC126" s="189">
        <f t="shared" si="2531"/>
        <v>0</v>
      </c>
      <c r="BD126" s="189">
        <f t="shared" si="2531"/>
        <v>0</v>
      </c>
      <c r="BE126" s="189">
        <f t="shared" si="2531"/>
        <v>0</v>
      </c>
      <c r="BF126" s="189">
        <f t="shared" si="2531"/>
        <v>0</v>
      </c>
      <c r="BG126" s="189">
        <f t="shared" si="2531"/>
        <v>0</v>
      </c>
      <c r="BH126" s="189">
        <f t="shared" si="2531"/>
        <v>0</v>
      </c>
      <c r="BI126" s="189">
        <f t="shared" si="2531"/>
        <v>0</v>
      </c>
      <c r="BJ126" s="189">
        <f t="shared" si="2531"/>
        <v>0</v>
      </c>
      <c r="BK126" s="189">
        <f t="shared" si="2531"/>
        <v>0</v>
      </c>
      <c r="BL126" s="189">
        <f t="shared" si="2531"/>
        <v>0</v>
      </c>
      <c r="BM126" s="189">
        <f t="shared" si="2531"/>
        <v>0</v>
      </c>
      <c r="BN126" s="189">
        <f t="shared" si="2531"/>
        <v>0</v>
      </c>
      <c r="BO126" s="189">
        <f t="shared" si="2531"/>
        <v>0</v>
      </c>
      <c r="BP126" s="189">
        <f t="shared" si="2531"/>
        <v>0</v>
      </c>
      <c r="BQ126" s="189">
        <f t="shared" si="2531"/>
        <v>0</v>
      </c>
      <c r="BR126" s="189">
        <f t="shared" ref="BR126:EC126" si="2532">(IF(BR111&lt;$C113,0,IF(BR111=$C113,$C126,0)))</f>
        <v>0</v>
      </c>
      <c r="BS126" s="189">
        <f t="shared" si="2532"/>
        <v>0</v>
      </c>
      <c r="BT126" s="189">
        <f t="shared" si="2532"/>
        <v>0</v>
      </c>
      <c r="BU126" s="189">
        <f t="shared" si="2532"/>
        <v>0</v>
      </c>
      <c r="BV126" s="189">
        <f t="shared" si="2532"/>
        <v>0</v>
      </c>
      <c r="BW126" s="189">
        <f t="shared" si="2532"/>
        <v>0</v>
      </c>
      <c r="BX126" s="189">
        <f t="shared" si="2532"/>
        <v>0</v>
      </c>
      <c r="BY126" s="189">
        <f t="shared" si="2532"/>
        <v>0</v>
      </c>
      <c r="BZ126" s="189">
        <f t="shared" si="2532"/>
        <v>0</v>
      </c>
      <c r="CA126" s="189">
        <f t="shared" si="2532"/>
        <v>0</v>
      </c>
      <c r="CB126" s="189">
        <f t="shared" si="2532"/>
        <v>0</v>
      </c>
      <c r="CC126" s="189">
        <f t="shared" si="2532"/>
        <v>0</v>
      </c>
      <c r="CD126" s="189">
        <f t="shared" si="2532"/>
        <v>0</v>
      </c>
      <c r="CE126" s="189">
        <f t="shared" si="2532"/>
        <v>0</v>
      </c>
      <c r="CF126" s="189">
        <f t="shared" si="2532"/>
        <v>0</v>
      </c>
      <c r="CG126" s="189">
        <f t="shared" si="2532"/>
        <v>0</v>
      </c>
      <c r="CH126" s="189">
        <f t="shared" si="2532"/>
        <v>0</v>
      </c>
      <c r="CI126" s="189">
        <f t="shared" si="2532"/>
        <v>0</v>
      </c>
      <c r="CJ126" s="189">
        <f t="shared" si="2532"/>
        <v>0</v>
      </c>
      <c r="CK126" s="189">
        <f t="shared" si="2532"/>
        <v>0</v>
      </c>
      <c r="CL126" s="189">
        <f t="shared" si="2532"/>
        <v>0</v>
      </c>
      <c r="CM126" s="189">
        <f t="shared" si="2532"/>
        <v>0</v>
      </c>
      <c r="CN126" s="189">
        <f t="shared" si="2532"/>
        <v>0</v>
      </c>
      <c r="CO126" s="189">
        <f t="shared" si="2532"/>
        <v>0</v>
      </c>
      <c r="CP126" s="189">
        <f t="shared" si="2532"/>
        <v>0</v>
      </c>
      <c r="CQ126" s="189">
        <f t="shared" si="2532"/>
        <v>0</v>
      </c>
      <c r="CR126" s="189">
        <f t="shared" si="2532"/>
        <v>0</v>
      </c>
      <c r="CS126" s="189">
        <f t="shared" si="2532"/>
        <v>0</v>
      </c>
      <c r="CT126" s="189">
        <f t="shared" si="2532"/>
        <v>0</v>
      </c>
      <c r="CU126" s="189">
        <f t="shared" si="2532"/>
        <v>0</v>
      </c>
      <c r="CV126" s="189">
        <f t="shared" si="2532"/>
        <v>0</v>
      </c>
      <c r="CW126" s="189">
        <f t="shared" si="2532"/>
        <v>0</v>
      </c>
      <c r="CX126" s="189">
        <f t="shared" si="2532"/>
        <v>0</v>
      </c>
      <c r="CY126" s="189">
        <f t="shared" si="2532"/>
        <v>0</v>
      </c>
      <c r="CZ126" s="189">
        <f t="shared" si="2532"/>
        <v>0</v>
      </c>
      <c r="DA126" s="189">
        <f t="shared" si="2532"/>
        <v>0</v>
      </c>
      <c r="DB126" s="189">
        <f t="shared" si="2532"/>
        <v>0</v>
      </c>
      <c r="DC126" s="189">
        <f t="shared" si="2532"/>
        <v>0</v>
      </c>
      <c r="DD126" s="189">
        <f t="shared" si="2532"/>
        <v>0</v>
      </c>
      <c r="DE126" s="189">
        <f t="shared" si="2532"/>
        <v>0</v>
      </c>
      <c r="DF126" s="189">
        <f t="shared" si="2532"/>
        <v>0</v>
      </c>
      <c r="DG126" s="189">
        <f t="shared" si="2532"/>
        <v>0</v>
      </c>
      <c r="DH126" s="189">
        <f t="shared" si="2532"/>
        <v>0</v>
      </c>
      <c r="DI126" s="189">
        <f t="shared" si="2532"/>
        <v>0</v>
      </c>
      <c r="DJ126" s="189">
        <f t="shared" si="2532"/>
        <v>0</v>
      </c>
      <c r="DK126" s="189">
        <f t="shared" si="2532"/>
        <v>0</v>
      </c>
      <c r="DL126" s="189">
        <f t="shared" si="2532"/>
        <v>0</v>
      </c>
      <c r="DM126" s="189">
        <f t="shared" si="2532"/>
        <v>0</v>
      </c>
      <c r="DN126" s="189">
        <f t="shared" si="2532"/>
        <v>0</v>
      </c>
      <c r="DO126" s="189">
        <f t="shared" si="2532"/>
        <v>0</v>
      </c>
      <c r="DP126" s="189">
        <f t="shared" si="2532"/>
        <v>0</v>
      </c>
      <c r="DQ126" s="189">
        <f t="shared" si="2532"/>
        <v>0</v>
      </c>
      <c r="DR126" s="189">
        <f t="shared" si="2532"/>
        <v>0</v>
      </c>
      <c r="DS126" s="189">
        <f t="shared" si="2532"/>
        <v>0</v>
      </c>
      <c r="DT126" s="189">
        <f t="shared" si="2532"/>
        <v>0</v>
      </c>
      <c r="DU126" s="189">
        <f t="shared" si="2532"/>
        <v>0</v>
      </c>
      <c r="DV126" s="189">
        <f t="shared" si="2532"/>
        <v>0</v>
      </c>
      <c r="DW126" s="189">
        <f t="shared" si="2532"/>
        <v>0</v>
      </c>
      <c r="DX126" s="189">
        <f t="shared" si="2532"/>
        <v>0</v>
      </c>
      <c r="DY126" s="189">
        <f t="shared" si="2532"/>
        <v>0</v>
      </c>
      <c r="DZ126" s="189">
        <f t="shared" si="2532"/>
        <v>0</v>
      </c>
      <c r="EA126" s="189">
        <f t="shared" si="2532"/>
        <v>0</v>
      </c>
      <c r="EB126" s="189">
        <f t="shared" si="2532"/>
        <v>0</v>
      </c>
      <c r="EC126" s="189">
        <f t="shared" si="2532"/>
        <v>0</v>
      </c>
      <c r="ED126" s="189">
        <f t="shared" ref="ED126:GO126" si="2533">(IF(ED111&lt;$C113,0,IF(ED111=$C113,$C126,0)))</f>
        <v>0</v>
      </c>
      <c r="EE126" s="189">
        <f t="shared" si="2533"/>
        <v>0</v>
      </c>
      <c r="EF126" s="189">
        <f t="shared" si="2533"/>
        <v>0</v>
      </c>
      <c r="EG126" s="189">
        <f t="shared" si="2533"/>
        <v>0</v>
      </c>
      <c r="EH126" s="189">
        <f t="shared" si="2533"/>
        <v>0</v>
      </c>
      <c r="EI126" s="189">
        <f t="shared" si="2533"/>
        <v>0</v>
      </c>
      <c r="EJ126" s="189">
        <f t="shared" si="2533"/>
        <v>0</v>
      </c>
      <c r="EK126" s="189">
        <f t="shared" si="2533"/>
        <v>0</v>
      </c>
      <c r="EL126" s="189">
        <f t="shared" si="2533"/>
        <v>0</v>
      </c>
      <c r="EM126" s="189">
        <f t="shared" si="2533"/>
        <v>0</v>
      </c>
      <c r="EN126" s="189">
        <f t="shared" si="2533"/>
        <v>0</v>
      </c>
      <c r="EO126" s="189">
        <f t="shared" si="2533"/>
        <v>0</v>
      </c>
      <c r="EP126" s="189">
        <f t="shared" si="2533"/>
        <v>0</v>
      </c>
      <c r="EQ126" s="189">
        <f t="shared" si="2533"/>
        <v>0</v>
      </c>
      <c r="ER126" s="189">
        <f t="shared" si="2533"/>
        <v>0</v>
      </c>
      <c r="ES126" s="189">
        <f t="shared" si="2533"/>
        <v>0</v>
      </c>
      <c r="ET126" s="189">
        <f t="shared" si="2533"/>
        <v>0</v>
      </c>
      <c r="EU126" s="189">
        <f t="shared" si="2533"/>
        <v>0</v>
      </c>
      <c r="EV126" s="189">
        <f t="shared" si="2533"/>
        <v>0</v>
      </c>
      <c r="EW126" s="189">
        <f t="shared" si="2533"/>
        <v>0</v>
      </c>
      <c r="EX126" s="189">
        <f t="shared" si="2533"/>
        <v>0</v>
      </c>
      <c r="EY126" s="189">
        <f t="shared" si="2533"/>
        <v>0</v>
      </c>
      <c r="EZ126" s="189">
        <f t="shared" si="2533"/>
        <v>0</v>
      </c>
      <c r="FA126" s="189">
        <f t="shared" si="2533"/>
        <v>0</v>
      </c>
      <c r="FB126" s="189">
        <f t="shared" si="2533"/>
        <v>0</v>
      </c>
      <c r="FC126" s="189">
        <f t="shared" si="2533"/>
        <v>0</v>
      </c>
      <c r="FD126" s="189">
        <f t="shared" si="2533"/>
        <v>0</v>
      </c>
      <c r="FE126" s="189">
        <f t="shared" si="2533"/>
        <v>0</v>
      </c>
      <c r="FF126" s="189">
        <f t="shared" si="2533"/>
        <v>0</v>
      </c>
      <c r="FG126" s="189">
        <f t="shared" si="2533"/>
        <v>0</v>
      </c>
      <c r="FH126" s="189">
        <f t="shared" si="2533"/>
        <v>0</v>
      </c>
      <c r="FI126" s="189">
        <f t="shared" si="2533"/>
        <v>0</v>
      </c>
      <c r="FJ126" s="189">
        <f t="shared" si="2533"/>
        <v>0</v>
      </c>
      <c r="FK126" s="189">
        <f t="shared" si="2533"/>
        <v>0</v>
      </c>
      <c r="FL126" s="189">
        <f t="shared" si="2533"/>
        <v>0</v>
      </c>
      <c r="FM126" s="189">
        <f t="shared" si="2533"/>
        <v>0</v>
      </c>
      <c r="FN126" s="189">
        <f t="shared" si="2533"/>
        <v>0</v>
      </c>
      <c r="FO126" s="189">
        <f t="shared" si="2533"/>
        <v>0</v>
      </c>
      <c r="FP126" s="189">
        <f t="shared" si="2533"/>
        <v>0</v>
      </c>
      <c r="FQ126" s="189">
        <f t="shared" si="2533"/>
        <v>0</v>
      </c>
      <c r="FR126" s="189">
        <f t="shared" si="2533"/>
        <v>0</v>
      </c>
      <c r="FS126" s="189">
        <f t="shared" si="2533"/>
        <v>0</v>
      </c>
      <c r="FT126" s="189">
        <f t="shared" si="2533"/>
        <v>0</v>
      </c>
      <c r="FU126" s="189">
        <f t="shared" si="2533"/>
        <v>0</v>
      </c>
      <c r="FV126" s="189">
        <f t="shared" si="2533"/>
        <v>0</v>
      </c>
      <c r="FW126" s="189">
        <f t="shared" si="2533"/>
        <v>0</v>
      </c>
      <c r="FX126" s="189">
        <f t="shared" si="2533"/>
        <v>0</v>
      </c>
      <c r="FY126" s="189">
        <f t="shared" si="2533"/>
        <v>0</v>
      </c>
      <c r="FZ126" s="189">
        <f t="shared" si="2533"/>
        <v>0</v>
      </c>
      <c r="GA126" s="189">
        <f t="shared" si="2533"/>
        <v>0</v>
      </c>
      <c r="GB126" s="189">
        <f t="shared" si="2533"/>
        <v>0</v>
      </c>
      <c r="GC126" s="189">
        <f t="shared" si="2533"/>
        <v>0</v>
      </c>
      <c r="GD126" s="189">
        <f t="shared" si="2533"/>
        <v>0</v>
      </c>
      <c r="GE126" s="189">
        <f t="shared" si="2533"/>
        <v>0</v>
      </c>
      <c r="GF126" s="189">
        <f t="shared" si="2533"/>
        <v>0</v>
      </c>
      <c r="GG126" s="189">
        <f t="shared" si="2533"/>
        <v>0</v>
      </c>
      <c r="GH126" s="189">
        <f t="shared" si="2533"/>
        <v>0</v>
      </c>
      <c r="GI126" s="189">
        <f t="shared" si="2533"/>
        <v>0</v>
      </c>
      <c r="GJ126" s="189">
        <f t="shared" si="2533"/>
        <v>0</v>
      </c>
      <c r="GK126" s="189">
        <f t="shared" si="2533"/>
        <v>0</v>
      </c>
      <c r="GL126" s="189">
        <f t="shared" si="2533"/>
        <v>0</v>
      </c>
      <c r="GM126" s="189">
        <f t="shared" si="2533"/>
        <v>0</v>
      </c>
      <c r="GN126" s="189">
        <f t="shared" si="2533"/>
        <v>0</v>
      </c>
      <c r="GO126" s="189">
        <f t="shared" si="2533"/>
        <v>0</v>
      </c>
      <c r="GP126" s="189">
        <f t="shared" ref="GP126:GQ126" si="2534">(IF(GP111&lt;$C113,0,IF(GP111=$C113,$C126,0)))</f>
        <v>0</v>
      </c>
      <c r="GQ126" s="189">
        <f t="shared" si="2534"/>
        <v>0</v>
      </c>
    </row>
    <row r="127" spans="2:199" hidden="1" outlineLevel="1">
      <c r="B127" s="190" t="s">
        <v>395</v>
      </c>
      <c r="C127" s="164"/>
      <c r="D127" s="191"/>
      <c r="E127" s="191">
        <f>SUM(E125:E126,-D132)*(E135-1)</f>
        <v>0</v>
      </c>
      <c r="F127" s="191">
        <f t="shared" ref="F127" si="2535">SUM(F125:F126,-E132)*(F135-1)</f>
        <v>0</v>
      </c>
      <c r="G127" s="191">
        <f t="shared" ref="G127" si="2536">SUM(G125:G126,-F132)*(G135-1)</f>
        <v>0</v>
      </c>
      <c r="H127" s="191">
        <f t="shared" ref="H127" si="2537">SUM(H125:H126,-G132)*(H135-1)</f>
        <v>0</v>
      </c>
      <c r="I127" s="191">
        <f t="shared" ref="I127" si="2538">SUM(I125:I126,-H132)*(I135-1)</f>
        <v>0</v>
      </c>
      <c r="J127" s="191">
        <f t="shared" ref="J127" si="2539">SUM(J125:J126,-I132)*(J135-1)</f>
        <v>0</v>
      </c>
      <c r="K127" s="191">
        <f t="shared" ref="K127" si="2540">SUM(K125:K126,-J132)*(K135-1)</f>
        <v>0</v>
      </c>
      <c r="L127" s="191">
        <f t="shared" ref="L127" si="2541">SUM(L125:L126,-K132)*(L135-1)</f>
        <v>0</v>
      </c>
      <c r="M127" s="191">
        <f t="shared" ref="M127" si="2542">SUM(M125:M126,-L132)*(M135-1)</f>
        <v>0</v>
      </c>
      <c r="N127" s="191">
        <f t="shared" ref="N127" si="2543">SUM(N125:N126,-M132)*(N135-1)</f>
        <v>0</v>
      </c>
      <c r="O127" s="191">
        <f t="shared" ref="O127" si="2544">SUM(O125:O126,-N132)*(O135-1)</f>
        <v>0</v>
      </c>
      <c r="P127" s="191">
        <f t="shared" ref="P127" si="2545">SUM(P125:P126,-O132)*(P135-1)</f>
        <v>0</v>
      </c>
      <c r="Q127" s="191">
        <f t="shared" ref="Q127" si="2546">SUM(Q125:Q126,-P132)*(Q135-1)</f>
        <v>0</v>
      </c>
      <c r="R127" s="191">
        <f t="shared" ref="R127" si="2547">SUM(R125:R126,-Q132)*(R135-1)</f>
        <v>0</v>
      </c>
      <c r="S127" s="191">
        <f t="shared" ref="S127" si="2548">SUM(S125:S126,-R132)*(S135-1)</f>
        <v>0</v>
      </c>
      <c r="T127" s="191">
        <f t="shared" ref="T127" si="2549">SUM(T125:T126,-S132)*(T135-1)</f>
        <v>0</v>
      </c>
      <c r="U127" s="191">
        <f t="shared" ref="U127" si="2550">SUM(U125:U126,-T132)*(U135-1)</f>
        <v>0</v>
      </c>
      <c r="V127" s="191">
        <f t="shared" ref="V127" si="2551">SUM(V125:V126,-U132)*(V135-1)</f>
        <v>0</v>
      </c>
      <c r="W127" s="191">
        <f t="shared" ref="W127" si="2552">SUM(W125:W126,-V132)*(W135-1)</f>
        <v>0</v>
      </c>
      <c r="X127" s="191">
        <f t="shared" ref="X127" si="2553">SUM(X125:X126,-W132)*(X135-1)</f>
        <v>0</v>
      </c>
      <c r="Y127" s="191">
        <f t="shared" ref="Y127" si="2554">SUM(Y125:Y126,-X132)*(Y135-1)</f>
        <v>0</v>
      </c>
      <c r="Z127" s="191">
        <f t="shared" ref="Z127" si="2555">SUM(Z125:Z126,-Y132)*(Z135-1)</f>
        <v>0</v>
      </c>
      <c r="AA127" s="191">
        <f t="shared" ref="AA127" si="2556">SUM(AA125:AA126,-Z132)*(AA135-1)</f>
        <v>0</v>
      </c>
      <c r="AB127" s="191">
        <f t="shared" ref="AB127" si="2557">SUM(AB125:AB126,-AA132)*(AB135-1)</f>
        <v>0</v>
      </c>
      <c r="AC127" s="191">
        <f t="shared" ref="AC127" si="2558">SUM(AC125:AC126,-AB132)*(AC135-1)</f>
        <v>0</v>
      </c>
      <c r="AD127" s="191">
        <f t="shared" ref="AD127" si="2559">SUM(AD125:AD126,-AC132)*(AD135-1)</f>
        <v>0</v>
      </c>
      <c r="AE127" s="191">
        <f t="shared" ref="AE127" si="2560">SUM(AE125:AE126,-AD132)*(AE135-1)</f>
        <v>0</v>
      </c>
      <c r="AF127" s="191">
        <f t="shared" ref="AF127" si="2561">SUM(AF125:AF126,-AE132)*(AF135-1)</f>
        <v>0</v>
      </c>
      <c r="AG127" s="191">
        <f t="shared" ref="AG127" si="2562">SUM(AG125:AG126,-AF132)*(AG135-1)</f>
        <v>0</v>
      </c>
      <c r="AH127" s="191">
        <f t="shared" ref="AH127" si="2563">SUM(AH125:AH126,-AG132)*(AH135-1)</f>
        <v>0</v>
      </c>
      <c r="AI127" s="191">
        <f t="shared" ref="AI127" si="2564">SUM(AI125:AI126,-AH132)*(AI135-1)</f>
        <v>0</v>
      </c>
      <c r="AJ127" s="191">
        <f t="shared" ref="AJ127" si="2565">SUM(AJ125:AJ126,-AI132)*(AJ135-1)</f>
        <v>0</v>
      </c>
      <c r="AK127" s="191">
        <f t="shared" ref="AK127" si="2566">SUM(AK125:AK126,-AJ132)*(AK135-1)</f>
        <v>0</v>
      </c>
      <c r="AL127" s="191">
        <f t="shared" ref="AL127" si="2567">SUM(AL125:AL126,-AK132)*(AL135-1)</f>
        <v>0</v>
      </c>
      <c r="AM127" s="191">
        <f t="shared" ref="AM127" si="2568">SUM(AM125:AM126,-AL132)*(AM135-1)</f>
        <v>0</v>
      </c>
      <c r="AN127" s="191">
        <f t="shared" ref="AN127" si="2569">SUM(AN125:AN126,-AM132)*(AN135-1)</f>
        <v>0</v>
      </c>
      <c r="AO127" s="191">
        <f t="shared" ref="AO127" si="2570">SUM(AO125:AO126,-AN132)*(AO135-1)</f>
        <v>0</v>
      </c>
      <c r="AP127" s="191">
        <f t="shared" ref="AP127" si="2571">SUM(AP125:AP126,-AO132)*(AP135-1)</f>
        <v>0</v>
      </c>
      <c r="AQ127" s="191">
        <f t="shared" ref="AQ127" si="2572">SUM(AQ125:AQ126,-AP132)*(AQ135-1)</f>
        <v>0</v>
      </c>
      <c r="AR127" s="191">
        <f t="shared" ref="AR127" si="2573">SUM(AR125:AR126,-AQ132)*(AR135-1)</f>
        <v>0</v>
      </c>
      <c r="AS127" s="191">
        <f t="shared" ref="AS127" si="2574">SUM(AS125:AS126,-AR132)*(AS135-1)</f>
        <v>0</v>
      </c>
      <c r="AT127" s="191">
        <f t="shared" ref="AT127" si="2575">SUM(AT125:AT126,-AS132)*(AT135-1)</f>
        <v>0</v>
      </c>
      <c r="AU127" s="191">
        <f t="shared" ref="AU127" si="2576">SUM(AU125:AU126,-AT132)*(AU135-1)</f>
        <v>0</v>
      </c>
      <c r="AV127" s="191">
        <f t="shared" ref="AV127" si="2577">SUM(AV125:AV126,-AU132)*(AV135-1)</f>
        <v>0</v>
      </c>
      <c r="AW127" s="191">
        <f t="shared" ref="AW127" si="2578">SUM(AW125:AW126,-AV132)*(AW135-1)</f>
        <v>0</v>
      </c>
      <c r="AX127" s="191">
        <f t="shared" ref="AX127" si="2579">SUM(AX125:AX126,-AW132)*(AX135-1)</f>
        <v>0</v>
      </c>
      <c r="AY127" s="191">
        <f t="shared" ref="AY127" si="2580">SUM(AY125:AY126,-AX132)*(AY135-1)</f>
        <v>0</v>
      </c>
      <c r="AZ127" s="191">
        <f t="shared" ref="AZ127" si="2581">SUM(AZ125:AZ126,-AY132)*(AZ135-1)</f>
        <v>0</v>
      </c>
      <c r="BA127" s="191">
        <f t="shared" ref="BA127" si="2582">SUM(BA125:BA126,-AZ132)*(BA135-1)</f>
        <v>0</v>
      </c>
      <c r="BB127" s="191">
        <f t="shared" ref="BB127" si="2583">SUM(BB125:BB126,-BA132)*(BB135-1)</f>
        <v>0</v>
      </c>
      <c r="BC127" s="191">
        <f t="shared" ref="BC127" si="2584">SUM(BC125:BC126,-BB132)*(BC135-1)</f>
        <v>0</v>
      </c>
      <c r="BD127" s="191">
        <f t="shared" ref="BD127" si="2585">SUM(BD125:BD126,-BC132)*(BD135-1)</f>
        <v>0</v>
      </c>
      <c r="BE127" s="191">
        <f t="shared" ref="BE127" si="2586">SUM(BE125:BE126,-BD132)*(BE135-1)</f>
        <v>0</v>
      </c>
      <c r="BF127" s="191">
        <f t="shared" ref="BF127" si="2587">SUM(BF125:BF126,-BE132)*(BF135-1)</f>
        <v>0</v>
      </c>
      <c r="BG127" s="191">
        <f t="shared" ref="BG127" si="2588">SUM(BG125:BG126,-BF132)*(BG135-1)</f>
        <v>0</v>
      </c>
      <c r="BH127" s="191">
        <f t="shared" ref="BH127" si="2589">SUM(BH125:BH126,-BG132)*(BH135-1)</f>
        <v>0</v>
      </c>
      <c r="BI127" s="191">
        <f t="shared" ref="BI127" si="2590">SUM(BI125:BI126,-BH132)*(BI135-1)</f>
        <v>0</v>
      </c>
      <c r="BJ127" s="191">
        <f t="shared" ref="BJ127" si="2591">SUM(BJ125:BJ126,-BI132)*(BJ135-1)</f>
        <v>0</v>
      </c>
      <c r="BK127" s="191">
        <f t="shared" ref="BK127" si="2592">SUM(BK125:BK126,-BJ132)*(BK135-1)</f>
        <v>0</v>
      </c>
      <c r="BL127" s="191">
        <f t="shared" ref="BL127" si="2593">SUM(BL125:BL126,-BK132)*(BL135-1)</f>
        <v>0</v>
      </c>
      <c r="BM127" s="191">
        <f t="shared" ref="BM127" si="2594">SUM(BM125:BM126,-BL132)*(BM135-1)</f>
        <v>0</v>
      </c>
      <c r="BN127" s="191">
        <f t="shared" ref="BN127" si="2595">SUM(BN125:BN126,-BM132)*(BN135-1)</f>
        <v>0</v>
      </c>
      <c r="BO127" s="191">
        <f t="shared" ref="BO127" si="2596">SUM(BO125:BO126,-BN132)*(BO135-1)</f>
        <v>0</v>
      </c>
      <c r="BP127" s="191">
        <f t="shared" ref="BP127" si="2597">SUM(BP125:BP126,-BO132)*(BP135-1)</f>
        <v>0</v>
      </c>
      <c r="BQ127" s="191">
        <f t="shared" ref="BQ127" si="2598">SUM(BQ125:BQ126,-BP132)*(BQ135-1)</f>
        <v>0</v>
      </c>
      <c r="BR127" s="191">
        <f t="shared" ref="BR127" si="2599">SUM(BR125:BR126,-BQ132)*(BR135-1)</f>
        <v>0</v>
      </c>
      <c r="BS127" s="191">
        <f t="shared" ref="BS127" si="2600">SUM(BS125:BS126,-BR132)*(BS135-1)</f>
        <v>0</v>
      </c>
      <c r="BT127" s="191">
        <f t="shared" ref="BT127" si="2601">SUM(BT125:BT126,-BS132)*(BT135-1)</f>
        <v>0</v>
      </c>
      <c r="BU127" s="191">
        <f t="shared" ref="BU127" si="2602">SUM(BU125:BU126,-BT132)*(BU135-1)</f>
        <v>0</v>
      </c>
      <c r="BV127" s="191">
        <f t="shared" ref="BV127" si="2603">SUM(BV125:BV126,-BU132)*(BV135-1)</f>
        <v>0</v>
      </c>
      <c r="BW127" s="191">
        <f t="shared" ref="BW127" si="2604">SUM(BW125:BW126,-BV132)*(BW135-1)</f>
        <v>0</v>
      </c>
      <c r="BX127" s="191">
        <f t="shared" ref="BX127" si="2605">SUM(BX125:BX126,-BW132)*(BX135-1)</f>
        <v>0</v>
      </c>
      <c r="BY127" s="191">
        <f t="shared" ref="BY127" si="2606">SUM(BY125:BY126,-BX132)*(BY135-1)</f>
        <v>0</v>
      </c>
      <c r="BZ127" s="191">
        <f t="shared" ref="BZ127" si="2607">SUM(BZ125:BZ126,-BY132)*(BZ135-1)</f>
        <v>0</v>
      </c>
      <c r="CA127" s="191">
        <f t="shared" ref="CA127" si="2608">SUM(CA125:CA126,-BZ132)*(CA135-1)</f>
        <v>0</v>
      </c>
      <c r="CB127" s="191">
        <f t="shared" ref="CB127" si="2609">SUM(CB125:CB126,-CA132)*(CB135-1)</f>
        <v>0</v>
      </c>
      <c r="CC127" s="191">
        <f t="shared" ref="CC127" si="2610">SUM(CC125:CC126,-CB132)*(CC135-1)</f>
        <v>0</v>
      </c>
      <c r="CD127" s="191">
        <f t="shared" ref="CD127" si="2611">SUM(CD125:CD126,-CC132)*(CD135-1)</f>
        <v>0</v>
      </c>
      <c r="CE127" s="191">
        <f t="shared" ref="CE127" si="2612">SUM(CE125:CE126,-CD132)*(CE135-1)</f>
        <v>0</v>
      </c>
      <c r="CF127" s="191">
        <f t="shared" ref="CF127" si="2613">SUM(CF125:CF126,-CE132)*(CF135-1)</f>
        <v>0</v>
      </c>
      <c r="CG127" s="191">
        <f t="shared" ref="CG127" si="2614">SUM(CG125:CG126,-CF132)*(CG135-1)</f>
        <v>0</v>
      </c>
      <c r="CH127" s="191">
        <f t="shared" ref="CH127" si="2615">SUM(CH125:CH126,-CG132)*(CH135-1)</f>
        <v>0</v>
      </c>
      <c r="CI127" s="191">
        <f t="shared" ref="CI127" si="2616">SUM(CI125:CI126,-CH132)*(CI135-1)</f>
        <v>0</v>
      </c>
      <c r="CJ127" s="191">
        <f t="shared" ref="CJ127" si="2617">SUM(CJ125:CJ126,-CI132)*(CJ135-1)</f>
        <v>0</v>
      </c>
      <c r="CK127" s="191">
        <f t="shared" ref="CK127" si="2618">SUM(CK125:CK126,-CJ132)*(CK135-1)</f>
        <v>0</v>
      </c>
      <c r="CL127" s="191">
        <f t="shared" ref="CL127" si="2619">SUM(CL125:CL126,-CK132)*(CL135-1)</f>
        <v>0</v>
      </c>
      <c r="CM127" s="191">
        <f t="shared" ref="CM127" si="2620">SUM(CM125:CM126,-CL132)*(CM135-1)</f>
        <v>0</v>
      </c>
      <c r="CN127" s="191">
        <f t="shared" ref="CN127" si="2621">SUM(CN125:CN126,-CM132)*(CN135-1)</f>
        <v>0</v>
      </c>
      <c r="CO127" s="191">
        <f t="shared" ref="CO127" si="2622">SUM(CO125:CO126,-CN132)*(CO135-1)</f>
        <v>0</v>
      </c>
      <c r="CP127" s="191">
        <f t="shared" ref="CP127" si="2623">SUM(CP125:CP126,-CO132)*(CP135-1)</f>
        <v>0</v>
      </c>
      <c r="CQ127" s="191">
        <f t="shared" ref="CQ127" si="2624">SUM(CQ125:CQ126,-CP132)*(CQ135-1)</f>
        <v>0</v>
      </c>
      <c r="CR127" s="191">
        <f t="shared" ref="CR127" si="2625">SUM(CR125:CR126,-CQ132)*(CR135-1)</f>
        <v>0</v>
      </c>
      <c r="CS127" s="191">
        <f t="shared" ref="CS127" si="2626">SUM(CS125:CS126,-CR132)*(CS135-1)</f>
        <v>0</v>
      </c>
      <c r="CT127" s="191">
        <f t="shared" ref="CT127" si="2627">SUM(CT125:CT126,-CS132)*(CT135-1)</f>
        <v>0</v>
      </c>
      <c r="CU127" s="191">
        <f t="shared" ref="CU127" si="2628">SUM(CU125:CU126,-CT132)*(CU135-1)</f>
        <v>0</v>
      </c>
      <c r="CV127" s="191">
        <f t="shared" ref="CV127" si="2629">SUM(CV125:CV126,-CU132)*(CV135-1)</f>
        <v>0</v>
      </c>
      <c r="CW127" s="191">
        <f t="shared" ref="CW127" si="2630">SUM(CW125:CW126,-CV132)*(CW135-1)</f>
        <v>0</v>
      </c>
      <c r="CX127" s="191">
        <f t="shared" ref="CX127" si="2631">SUM(CX125:CX126,-CW132)*(CX135-1)</f>
        <v>0</v>
      </c>
      <c r="CY127" s="191">
        <f t="shared" ref="CY127" si="2632">SUM(CY125:CY126,-CX132)*(CY135-1)</f>
        <v>0</v>
      </c>
      <c r="CZ127" s="191">
        <f t="shared" ref="CZ127" si="2633">SUM(CZ125:CZ126,-CY132)*(CZ135-1)</f>
        <v>0</v>
      </c>
      <c r="DA127" s="191">
        <f t="shared" ref="DA127" si="2634">SUM(DA125:DA126,-CZ132)*(DA135-1)</f>
        <v>0</v>
      </c>
      <c r="DB127" s="191">
        <f t="shared" ref="DB127" si="2635">SUM(DB125:DB126,-DA132)*(DB135-1)</f>
        <v>0</v>
      </c>
      <c r="DC127" s="191">
        <f t="shared" ref="DC127" si="2636">SUM(DC125:DC126,-DB132)*(DC135-1)</f>
        <v>0</v>
      </c>
      <c r="DD127" s="191">
        <f t="shared" ref="DD127" si="2637">SUM(DD125:DD126,-DC132)*(DD135-1)</f>
        <v>0</v>
      </c>
      <c r="DE127" s="191">
        <f t="shared" ref="DE127" si="2638">SUM(DE125:DE126,-DD132)*(DE135-1)</f>
        <v>0</v>
      </c>
      <c r="DF127" s="191">
        <f t="shared" ref="DF127" si="2639">SUM(DF125:DF126,-DE132)*(DF135-1)</f>
        <v>0</v>
      </c>
      <c r="DG127" s="191">
        <f t="shared" ref="DG127" si="2640">SUM(DG125:DG126,-DF132)*(DG135-1)</f>
        <v>0</v>
      </c>
      <c r="DH127" s="191">
        <f t="shared" ref="DH127" si="2641">SUM(DH125:DH126,-DG132)*(DH135-1)</f>
        <v>0</v>
      </c>
      <c r="DI127" s="191">
        <f t="shared" ref="DI127" si="2642">SUM(DI125:DI126,-DH132)*(DI135-1)</f>
        <v>0</v>
      </c>
      <c r="DJ127" s="191">
        <f t="shared" ref="DJ127" si="2643">SUM(DJ125:DJ126,-DI132)*(DJ135-1)</f>
        <v>0</v>
      </c>
      <c r="DK127" s="191">
        <f t="shared" ref="DK127" si="2644">SUM(DK125:DK126,-DJ132)*(DK135-1)</f>
        <v>0</v>
      </c>
      <c r="DL127" s="191">
        <f t="shared" ref="DL127" si="2645">SUM(DL125:DL126,-DK132)*(DL135-1)</f>
        <v>0</v>
      </c>
      <c r="DM127" s="191">
        <f t="shared" ref="DM127" si="2646">SUM(DM125:DM126,-DL132)*(DM135-1)</f>
        <v>0</v>
      </c>
      <c r="DN127" s="191">
        <f t="shared" ref="DN127" si="2647">SUM(DN125:DN126,-DM132)*(DN135-1)</f>
        <v>0</v>
      </c>
      <c r="DO127" s="191">
        <f t="shared" ref="DO127" si="2648">SUM(DO125:DO126,-DN132)*(DO135-1)</f>
        <v>0</v>
      </c>
      <c r="DP127" s="191">
        <f t="shared" ref="DP127" si="2649">SUM(DP125:DP126,-DO132)*(DP135-1)</f>
        <v>0</v>
      </c>
      <c r="DQ127" s="191">
        <f t="shared" ref="DQ127" si="2650">SUM(DQ125:DQ126,-DP132)*(DQ135-1)</f>
        <v>0</v>
      </c>
      <c r="DR127" s="191">
        <f t="shared" ref="DR127" si="2651">SUM(DR125:DR126,-DQ132)*(DR135-1)</f>
        <v>0</v>
      </c>
      <c r="DS127" s="191">
        <f t="shared" ref="DS127" si="2652">SUM(DS125:DS126,-DR132)*(DS135-1)</f>
        <v>0</v>
      </c>
      <c r="DT127" s="191">
        <f t="shared" ref="DT127" si="2653">SUM(DT125:DT126,-DS132)*(DT135-1)</f>
        <v>0</v>
      </c>
      <c r="DU127" s="191">
        <f t="shared" ref="DU127" si="2654">SUM(DU125:DU126,-DT132)*(DU135-1)</f>
        <v>0</v>
      </c>
      <c r="DV127" s="191">
        <f t="shared" ref="DV127" si="2655">SUM(DV125:DV126,-DU132)*(DV135-1)</f>
        <v>0</v>
      </c>
      <c r="DW127" s="191">
        <f t="shared" ref="DW127" si="2656">SUM(DW125:DW126,-DV132)*(DW135-1)</f>
        <v>0</v>
      </c>
      <c r="DX127" s="191">
        <f t="shared" ref="DX127" si="2657">SUM(DX125:DX126,-DW132)*(DX135-1)</f>
        <v>0</v>
      </c>
      <c r="DY127" s="191">
        <f t="shared" ref="DY127" si="2658">SUM(DY125:DY126,-DX132)*(DY135-1)</f>
        <v>0</v>
      </c>
      <c r="DZ127" s="191">
        <f t="shared" ref="DZ127" si="2659">SUM(DZ125:DZ126,-DY132)*(DZ135-1)</f>
        <v>0</v>
      </c>
      <c r="EA127" s="191">
        <f t="shared" ref="EA127" si="2660">SUM(EA125:EA126,-DZ132)*(EA135-1)</f>
        <v>0</v>
      </c>
      <c r="EB127" s="191">
        <f t="shared" ref="EB127" si="2661">SUM(EB125:EB126,-EA132)*(EB135-1)</f>
        <v>0</v>
      </c>
      <c r="EC127" s="191">
        <f t="shared" ref="EC127" si="2662">SUM(EC125:EC126,-EB132)*(EC135-1)</f>
        <v>0</v>
      </c>
      <c r="ED127" s="191">
        <f t="shared" ref="ED127" si="2663">SUM(ED125:ED126,-EC132)*(ED135-1)</f>
        <v>0</v>
      </c>
      <c r="EE127" s="191">
        <f t="shared" ref="EE127" si="2664">SUM(EE125:EE126,-ED132)*(EE135-1)</f>
        <v>0</v>
      </c>
      <c r="EF127" s="191">
        <f t="shared" ref="EF127" si="2665">SUM(EF125:EF126,-EE132)*(EF135-1)</f>
        <v>0</v>
      </c>
      <c r="EG127" s="191">
        <f t="shared" ref="EG127" si="2666">SUM(EG125:EG126,-EF132)*(EG135-1)</f>
        <v>0</v>
      </c>
      <c r="EH127" s="191">
        <f t="shared" ref="EH127" si="2667">SUM(EH125:EH126,-EG132)*(EH135-1)</f>
        <v>0</v>
      </c>
      <c r="EI127" s="191">
        <f t="shared" ref="EI127" si="2668">SUM(EI125:EI126,-EH132)*(EI135-1)</f>
        <v>0</v>
      </c>
      <c r="EJ127" s="191">
        <f t="shared" ref="EJ127" si="2669">SUM(EJ125:EJ126,-EI132)*(EJ135-1)</f>
        <v>0</v>
      </c>
      <c r="EK127" s="191">
        <f t="shared" ref="EK127" si="2670">SUM(EK125:EK126,-EJ132)*(EK135-1)</f>
        <v>0</v>
      </c>
      <c r="EL127" s="191">
        <f t="shared" ref="EL127" si="2671">SUM(EL125:EL126,-EK132)*(EL135-1)</f>
        <v>0</v>
      </c>
      <c r="EM127" s="191">
        <f t="shared" ref="EM127" si="2672">SUM(EM125:EM126,-EL132)*(EM135-1)</f>
        <v>0</v>
      </c>
      <c r="EN127" s="191">
        <f t="shared" ref="EN127" si="2673">SUM(EN125:EN126,-EM132)*(EN135-1)</f>
        <v>0</v>
      </c>
      <c r="EO127" s="191">
        <f t="shared" ref="EO127" si="2674">SUM(EO125:EO126,-EN132)*(EO135-1)</f>
        <v>0</v>
      </c>
      <c r="EP127" s="191">
        <f t="shared" ref="EP127" si="2675">SUM(EP125:EP126,-EO132)*(EP135-1)</f>
        <v>0</v>
      </c>
      <c r="EQ127" s="191">
        <f t="shared" ref="EQ127" si="2676">SUM(EQ125:EQ126,-EP132)*(EQ135-1)</f>
        <v>0</v>
      </c>
      <c r="ER127" s="191">
        <f t="shared" ref="ER127" si="2677">SUM(ER125:ER126,-EQ132)*(ER135-1)</f>
        <v>0</v>
      </c>
      <c r="ES127" s="191">
        <f t="shared" ref="ES127" si="2678">SUM(ES125:ES126,-ER132)*(ES135-1)</f>
        <v>0</v>
      </c>
      <c r="ET127" s="191">
        <f t="shared" ref="ET127" si="2679">SUM(ET125:ET126,-ES132)*(ET135-1)</f>
        <v>0</v>
      </c>
      <c r="EU127" s="191">
        <f t="shared" ref="EU127" si="2680">SUM(EU125:EU126,-ET132)*(EU135-1)</f>
        <v>0</v>
      </c>
      <c r="EV127" s="191">
        <f t="shared" ref="EV127" si="2681">SUM(EV125:EV126,-EU132)*(EV135-1)</f>
        <v>0</v>
      </c>
      <c r="EW127" s="191">
        <f t="shared" ref="EW127" si="2682">SUM(EW125:EW126,-EV132)*(EW135-1)</f>
        <v>0</v>
      </c>
      <c r="EX127" s="191">
        <f t="shared" ref="EX127" si="2683">SUM(EX125:EX126,-EW132)*(EX135-1)</f>
        <v>0</v>
      </c>
      <c r="EY127" s="191">
        <f t="shared" ref="EY127" si="2684">SUM(EY125:EY126,-EX132)*(EY135-1)</f>
        <v>0</v>
      </c>
      <c r="EZ127" s="191">
        <f t="shared" ref="EZ127" si="2685">SUM(EZ125:EZ126,-EY132)*(EZ135-1)</f>
        <v>0</v>
      </c>
      <c r="FA127" s="191">
        <f t="shared" ref="FA127" si="2686">SUM(FA125:FA126,-EZ132)*(FA135-1)</f>
        <v>0</v>
      </c>
      <c r="FB127" s="191">
        <f t="shared" ref="FB127" si="2687">SUM(FB125:FB126,-FA132)*(FB135-1)</f>
        <v>0</v>
      </c>
      <c r="FC127" s="191">
        <f t="shared" ref="FC127" si="2688">SUM(FC125:FC126,-FB132)*(FC135-1)</f>
        <v>0</v>
      </c>
      <c r="FD127" s="191">
        <f t="shared" ref="FD127" si="2689">SUM(FD125:FD126,-FC132)*(FD135-1)</f>
        <v>0</v>
      </c>
      <c r="FE127" s="191">
        <f t="shared" ref="FE127" si="2690">SUM(FE125:FE126,-FD132)*(FE135-1)</f>
        <v>0</v>
      </c>
      <c r="FF127" s="191">
        <f t="shared" ref="FF127" si="2691">SUM(FF125:FF126,-FE132)*(FF135-1)</f>
        <v>0</v>
      </c>
      <c r="FG127" s="191">
        <f t="shared" ref="FG127" si="2692">SUM(FG125:FG126,-FF132)*(FG135-1)</f>
        <v>0</v>
      </c>
      <c r="FH127" s="191">
        <f t="shared" ref="FH127" si="2693">SUM(FH125:FH126,-FG132)*(FH135-1)</f>
        <v>0</v>
      </c>
      <c r="FI127" s="191">
        <f t="shared" ref="FI127" si="2694">SUM(FI125:FI126,-FH132)*(FI135-1)</f>
        <v>0</v>
      </c>
      <c r="FJ127" s="191">
        <f t="shared" ref="FJ127" si="2695">SUM(FJ125:FJ126,-FI132)*(FJ135-1)</f>
        <v>0</v>
      </c>
      <c r="FK127" s="191">
        <f t="shared" ref="FK127" si="2696">SUM(FK125:FK126,-FJ132)*(FK135-1)</f>
        <v>0</v>
      </c>
      <c r="FL127" s="191">
        <f t="shared" ref="FL127" si="2697">SUM(FL125:FL126,-FK132)*(FL135-1)</f>
        <v>0</v>
      </c>
      <c r="FM127" s="191">
        <f t="shared" ref="FM127" si="2698">SUM(FM125:FM126,-FL132)*(FM135-1)</f>
        <v>0</v>
      </c>
      <c r="FN127" s="191">
        <f t="shared" ref="FN127" si="2699">SUM(FN125:FN126,-FM132)*(FN135-1)</f>
        <v>0</v>
      </c>
      <c r="FO127" s="191">
        <f t="shared" ref="FO127" si="2700">SUM(FO125:FO126,-FN132)*(FO135-1)</f>
        <v>0</v>
      </c>
      <c r="FP127" s="191">
        <f t="shared" ref="FP127" si="2701">SUM(FP125:FP126,-FO132)*(FP135-1)</f>
        <v>0</v>
      </c>
      <c r="FQ127" s="191">
        <f t="shared" ref="FQ127" si="2702">SUM(FQ125:FQ126,-FP132)*(FQ135-1)</f>
        <v>0</v>
      </c>
      <c r="FR127" s="191">
        <f t="shared" ref="FR127" si="2703">SUM(FR125:FR126,-FQ132)*(FR135-1)</f>
        <v>0</v>
      </c>
      <c r="FS127" s="191">
        <f t="shared" ref="FS127" si="2704">SUM(FS125:FS126,-FR132)*(FS135-1)</f>
        <v>0</v>
      </c>
      <c r="FT127" s="191">
        <f t="shared" ref="FT127" si="2705">SUM(FT125:FT126,-FS132)*(FT135-1)</f>
        <v>0</v>
      </c>
      <c r="FU127" s="191">
        <f t="shared" ref="FU127" si="2706">SUM(FU125:FU126,-FT132)*(FU135-1)</f>
        <v>0</v>
      </c>
      <c r="FV127" s="191">
        <f t="shared" ref="FV127" si="2707">SUM(FV125:FV126,-FU132)*(FV135-1)</f>
        <v>0</v>
      </c>
      <c r="FW127" s="191">
        <f t="shared" ref="FW127" si="2708">SUM(FW125:FW126,-FV132)*(FW135-1)</f>
        <v>0</v>
      </c>
      <c r="FX127" s="191">
        <f t="shared" ref="FX127" si="2709">SUM(FX125:FX126,-FW132)*(FX135-1)</f>
        <v>0</v>
      </c>
      <c r="FY127" s="191">
        <f t="shared" ref="FY127" si="2710">SUM(FY125:FY126,-FX132)*(FY135-1)</f>
        <v>0</v>
      </c>
      <c r="FZ127" s="191">
        <f t="shared" ref="FZ127" si="2711">SUM(FZ125:FZ126,-FY132)*(FZ135-1)</f>
        <v>0</v>
      </c>
      <c r="GA127" s="191">
        <f t="shared" ref="GA127" si="2712">SUM(GA125:GA126,-FZ132)*(GA135-1)</f>
        <v>0</v>
      </c>
      <c r="GB127" s="191">
        <f t="shared" ref="GB127" si="2713">SUM(GB125:GB126,-GA132)*(GB135-1)</f>
        <v>0</v>
      </c>
      <c r="GC127" s="191">
        <f t="shared" ref="GC127" si="2714">SUM(GC125:GC126,-GB132)*(GC135-1)</f>
        <v>0</v>
      </c>
      <c r="GD127" s="191">
        <f t="shared" ref="GD127" si="2715">SUM(GD125:GD126,-GC132)*(GD135-1)</f>
        <v>0</v>
      </c>
      <c r="GE127" s="191">
        <f t="shared" ref="GE127" si="2716">SUM(GE125:GE126,-GD132)*(GE135-1)</f>
        <v>0</v>
      </c>
      <c r="GF127" s="191">
        <f t="shared" ref="GF127" si="2717">SUM(GF125:GF126,-GE132)*(GF135-1)</f>
        <v>0</v>
      </c>
      <c r="GG127" s="191">
        <f t="shared" ref="GG127" si="2718">SUM(GG125:GG126,-GF132)*(GG135-1)</f>
        <v>0</v>
      </c>
      <c r="GH127" s="191">
        <f t="shared" ref="GH127" si="2719">SUM(GH125:GH126,-GG132)*(GH135-1)</f>
        <v>0</v>
      </c>
      <c r="GI127" s="191">
        <f t="shared" ref="GI127" si="2720">SUM(GI125:GI126,-GH132)*(GI135-1)</f>
        <v>0</v>
      </c>
      <c r="GJ127" s="191">
        <f t="shared" ref="GJ127" si="2721">SUM(GJ125:GJ126,-GI132)*(GJ135-1)</f>
        <v>0</v>
      </c>
      <c r="GK127" s="191">
        <f t="shared" ref="GK127" si="2722">SUM(GK125:GK126,-GJ132)*(GK135-1)</f>
        <v>0</v>
      </c>
      <c r="GL127" s="191">
        <f t="shared" ref="GL127" si="2723">SUM(GL125:GL126,-GK132)*(GL135-1)</f>
        <v>0</v>
      </c>
      <c r="GM127" s="191">
        <f t="shared" ref="GM127" si="2724">SUM(GM125:GM126,-GL132)*(GM135-1)</f>
        <v>0</v>
      </c>
      <c r="GN127" s="191">
        <f t="shared" ref="GN127" si="2725">SUM(GN125:GN126,-GM132)*(GN135-1)</f>
        <v>0</v>
      </c>
      <c r="GO127" s="191">
        <f t="shared" ref="GO127" si="2726">SUM(GO125:GO126,-GN132)*(GO135-1)</f>
        <v>0</v>
      </c>
      <c r="GP127" s="191">
        <f t="shared" ref="GP127" si="2727">SUM(GP125:GP126,-GO132)*(GP135-1)</f>
        <v>0</v>
      </c>
      <c r="GQ127" s="191">
        <f t="shared" ref="GQ127" si="2728">SUM(GQ125:GQ126,-GP132)*(GQ135-1)</f>
        <v>0</v>
      </c>
    </row>
    <row r="128" spans="2:199" hidden="1" outlineLevel="1">
      <c r="B128" s="190" t="s">
        <v>390</v>
      </c>
      <c r="C128" s="192"/>
      <c r="D128" s="193"/>
      <c r="E128" s="193">
        <v>0</v>
      </c>
      <c r="F128" s="193">
        <f t="shared" ref="F128" si="2729">SUM(F125:F127)*F119</f>
        <v>0</v>
      </c>
      <c r="G128" s="193">
        <v>0</v>
      </c>
      <c r="H128" s="193">
        <f t="shared" ref="H128:BS128" si="2730">SUM(H125:H127)*H119</f>
        <v>181.44607999999999</v>
      </c>
      <c r="I128" s="193">
        <f t="shared" si="2730"/>
        <v>152.40938614080002</v>
      </c>
      <c r="J128" s="193">
        <f t="shared" si="2730"/>
        <v>168.24618366710158</v>
      </c>
      <c r="K128" s="193">
        <f t="shared" si="2730"/>
        <v>146.7523182809536</v>
      </c>
      <c r="L128" s="193">
        <f t="shared" si="2730"/>
        <v>125.64094212831056</v>
      </c>
      <c r="M128" s="193">
        <f t="shared" si="2730"/>
        <v>109.03445655011889</v>
      </c>
      <c r="N128" s="193">
        <f t="shared" si="2730"/>
        <v>119.5374661126514</v>
      </c>
      <c r="O128" s="193">
        <f t="shared" si="2730"/>
        <v>123.85775877759994</v>
      </c>
      <c r="P128" s="193">
        <f t="shared" si="2730"/>
        <v>102.88558370442232</v>
      </c>
      <c r="Q128" s="193">
        <f t="shared" si="2730"/>
        <v>120.17800309654541</v>
      </c>
      <c r="R128" s="193">
        <f t="shared" si="2730"/>
        <v>83.985853457353983</v>
      </c>
      <c r="S128" s="193">
        <f t="shared" si="2730"/>
        <v>84.582674044644946</v>
      </c>
      <c r="T128" s="193">
        <f t="shared" si="2730"/>
        <v>93.824073362297796</v>
      </c>
      <c r="U128" s="193">
        <f t="shared" si="2730"/>
        <v>77.147923922170577</v>
      </c>
      <c r="V128" s="193">
        <f t="shared" si="2730"/>
        <v>86.398697609902428</v>
      </c>
      <c r="W128" s="193">
        <f t="shared" si="2730"/>
        <v>95.838513436921659</v>
      </c>
      <c r="X128" s="193">
        <f t="shared" si="2730"/>
        <v>66.183455637969502</v>
      </c>
      <c r="Y128" s="193">
        <f t="shared" si="2730"/>
        <v>63.459703214053818</v>
      </c>
      <c r="Z128" s="193">
        <f t="shared" si="2730"/>
        <v>73.636032593247094</v>
      </c>
      <c r="AA128" s="193">
        <f t="shared" si="2730"/>
        <v>70.969581748793658</v>
      </c>
      <c r="AB128" s="193">
        <f t="shared" si="2730"/>
        <v>70.266431708004447</v>
      </c>
      <c r="AC128" s="193">
        <f t="shared" si="2730"/>
        <v>84.258324144800184</v>
      </c>
      <c r="AD128" s="193">
        <f t="shared" si="2730"/>
        <v>48.355783963928701</v>
      </c>
      <c r="AE128" s="193">
        <f t="shared" si="2730"/>
        <v>52.403006889855561</v>
      </c>
      <c r="AF128" s="193">
        <f t="shared" si="2730"/>
        <v>55.413573788638601</v>
      </c>
      <c r="AG128" s="193">
        <f t="shared" si="2730"/>
        <v>50.779142974409808</v>
      </c>
      <c r="AH128" s="193">
        <f t="shared" si="2730"/>
        <v>48.611466905377682</v>
      </c>
      <c r="AI128" s="193">
        <f t="shared" si="2730"/>
        <v>51.611220337898871</v>
      </c>
      <c r="AJ128" s="193">
        <f t="shared" si="2730"/>
        <v>25.988838061560525</v>
      </c>
      <c r="AK128" s="193">
        <f t="shared" si="2730"/>
        <v>24.953423435504842</v>
      </c>
      <c r="AL128" s="193">
        <f t="shared" si="2730"/>
        <v>28.987500767916245</v>
      </c>
      <c r="AM128" s="193">
        <f t="shared" si="2730"/>
        <v>26.691889160772043</v>
      </c>
      <c r="AN128" s="193">
        <f t="shared" si="2730"/>
        <v>28.225345401981784</v>
      </c>
      <c r="AO128" s="193">
        <f t="shared" si="2730"/>
        <v>29.796717348636061</v>
      </c>
      <c r="AP128" s="193">
        <f t="shared" si="2730"/>
        <v>0</v>
      </c>
      <c r="AQ128" s="193">
        <f t="shared" si="2730"/>
        <v>0</v>
      </c>
      <c r="AR128" s="193">
        <f t="shared" si="2730"/>
        <v>0</v>
      </c>
      <c r="AS128" s="193">
        <f t="shared" si="2730"/>
        <v>0</v>
      </c>
      <c r="AT128" s="193">
        <f t="shared" si="2730"/>
        <v>0</v>
      </c>
      <c r="AU128" s="193">
        <f t="shared" si="2730"/>
        <v>0</v>
      </c>
      <c r="AV128" s="193">
        <f t="shared" si="2730"/>
        <v>0</v>
      </c>
      <c r="AW128" s="193">
        <f t="shared" si="2730"/>
        <v>0</v>
      </c>
      <c r="AX128" s="193">
        <f t="shared" si="2730"/>
        <v>0</v>
      </c>
      <c r="AY128" s="193">
        <f t="shared" si="2730"/>
        <v>0</v>
      </c>
      <c r="AZ128" s="193">
        <f t="shared" si="2730"/>
        <v>0</v>
      </c>
      <c r="BA128" s="193">
        <f t="shared" si="2730"/>
        <v>0</v>
      </c>
      <c r="BB128" s="193">
        <f t="shared" si="2730"/>
        <v>0</v>
      </c>
      <c r="BC128" s="193">
        <f t="shared" si="2730"/>
        <v>0</v>
      </c>
      <c r="BD128" s="193">
        <f t="shared" si="2730"/>
        <v>0</v>
      </c>
      <c r="BE128" s="193">
        <f t="shared" si="2730"/>
        <v>0</v>
      </c>
      <c r="BF128" s="193">
        <f t="shared" si="2730"/>
        <v>0</v>
      </c>
      <c r="BG128" s="193">
        <f t="shared" si="2730"/>
        <v>0</v>
      </c>
      <c r="BH128" s="193">
        <f t="shared" si="2730"/>
        <v>0</v>
      </c>
      <c r="BI128" s="193">
        <f t="shared" si="2730"/>
        <v>0</v>
      </c>
      <c r="BJ128" s="193">
        <f t="shared" si="2730"/>
        <v>0</v>
      </c>
      <c r="BK128" s="193">
        <f t="shared" si="2730"/>
        <v>0</v>
      </c>
      <c r="BL128" s="193">
        <f t="shared" si="2730"/>
        <v>0</v>
      </c>
      <c r="BM128" s="193">
        <f t="shared" si="2730"/>
        <v>0</v>
      </c>
      <c r="BN128" s="193">
        <f t="shared" si="2730"/>
        <v>0</v>
      </c>
      <c r="BO128" s="193">
        <f t="shared" si="2730"/>
        <v>0</v>
      </c>
      <c r="BP128" s="193">
        <f t="shared" si="2730"/>
        <v>0</v>
      </c>
      <c r="BQ128" s="193">
        <f t="shared" si="2730"/>
        <v>0</v>
      </c>
      <c r="BR128" s="193">
        <f t="shared" si="2730"/>
        <v>0</v>
      </c>
      <c r="BS128" s="193">
        <f t="shared" si="2730"/>
        <v>0</v>
      </c>
      <c r="BT128" s="193">
        <f t="shared" ref="BT128:EE128" si="2731">SUM(BT125:BT127)*BT119</f>
        <v>0</v>
      </c>
      <c r="BU128" s="193">
        <f t="shared" si="2731"/>
        <v>0</v>
      </c>
      <c r="BV128" s="193">
        <f t="shared" si="2731"/>
        <v>0</v>
      </c>
      <c r="BW128" s="193">
        <f t="shared" si="2731"/>
        <v>0</v>
      </c>
      <c r="BX128" s="193">
        <f t="shared" si="2731"/>
        <v>0</v>
      </c>
      <c r="BY128" s="193">
        <f t="shared" si="2731"/>
        <v>0</v>
      </c>
      <c r="BZ128" s="193">
        <f t="shared" si="2731"/>
        <v>0</v>
      </c>
      <c r="CA128" s="193">
        <f t="shared" si="2731"/>
        <v>0</v>
      </c>
      <c r="CB128" s="193">
        <f t="shared" si="2731"/>
        <v>0</v>
      </c>
      <c r="CC128" s="193">
        <f t="shared" si="2731"/>
        <v>0</v>
      </c>
      <c r="CD128" s="193">
        <f t="shared" si="2731"/>
        <v>0</v>
      </c>
      <c r="CE128" s="193">
        <f t="shared" si="2731"/>
        <v>0</v>
      </c>
      <c r="CF128" s="193">
        <f t="shared" si="2731"/>
        <v>0</v>
      </c>
      <c r="CG128" s="193">
        <f t="shared" si="2731"/>
        <v>0</v>
      </c>
      <c r="CH128" s="193">
        <f t="shared" si="2731"/>
        <v>0</v>
      </c>
      <c r="CI128" s="193">
        <f t="shared" si="2731"/>
        <v>0</v>
      </c>
      <c r="CJ128" s="193">
        <f t="shared" si="2731"/>
        <v>0</v>
      </c>
      <c r="CK128" s="193">
        <f t="shared" si="2731"/>
        <v>0</v>
      </c>
      <c r="CL128" s="193">
        <f t="shared" si="2731"/>
        <v>0</v>
      </c>
      <c r="CM128" s="193">
        <f t="shared" si="2731"/>
        <v>0</v>
      </c>
      <c r="CN128" s="193">
        <f t="shared" si="2731"/>
        <v>0</v>
      </c>
      <c r="CO128" s="193">
        <f t="shared" si="2731"/>
        <v>0</v>
      </c>
      <c r="CP128" s="193">
        <f t="shared" si="2731"/>
        <v>0</v>
      </c>
      <c r="CQ128" s="193">
        <f t="shared" si="2731"/>
        <v>0</v>
      </c>
      <c r="CR128" s="193">
        <f t="shared" si="2731"/>
        <v>0</v>
      </c>
      <c r="CS128" s="193">
        <f t="shared" si="2731"/>
        <v>0</v>
      </c>
      <c r="CT128" s="193">
        <f t="shared" si="2731"/>
        <v>0</v>
      </c>
      <c r="CU128" s="193">
        <f t="shared" si="2731"/>
        <v>0</v>
      </c>
      <c r="CV128" s="193">
        <f t="shared" si="2731"/>
        <v>0</v>
      </c>
      <c r="CW128" s="193">
        <f t="shared" si="2731"/>
        <v>0</v>
      </c>
      <c r="CX128" s="193">
        <f t="shared" si="2731"/>
        <v>0</v>
      </c>
      <c r="CY128" s="193">
        <f t="shared" si="2731"/>
        <v>0</v>
      </c>
      <c r="CZ128" s="193">
        <f t="shared" si="2731"/>
        <v>0</v>
      </c>
      <c r="DA128" s="193">
        <f t="shared" si="2731"/>
        <v>0</v>
      </c>
      <c r="DB128" s="193">
        <f t="shared" si="2731"/>
        <v>0</v>
      </c>
      <c r="DC128" s="193">
        <f t="shared" si="2731"/>
        <v>0</v>
      </c>
      <c r="DD128" s="193">
        <f t="shared" si="2731"/>
        <v>0</v>
      </c>
      <c r="DE128" s="193">
        <f t="shared" si="2731"/>
        <v>0</v>
      </c>
      <c r="DF128" s="193">
        <f t="shared" si="2731"/>
        <v>0</v>
      </c>
      <c r="DG128" s="193">
        <f t="shared" si="2731"/>
        <v>0</v>
      </c>
      <c r="DH128" s="193">
        <f t="shared" si="2731"/>
        <v>0</v>
      </c>
      <c r="DI128" s="193">
        <f t="shared" si="2731"/>
        <v>0</v>
      </c>
      <c r="DJ128" s="193">
        <f t="shared" si="2731"/>
        <v>0</v>
      </c>
      <c r="DK128" s="193">
        <f t="shared" si="2731"/>
        <v>0</v>
      </c>
      <c r="DL128" s="193">
        <f t="shared" si="2731"/>
        <v>0</v>
      </c>
      <c r="DM128" s="193">
        <f t="shared" si="2731"/>
        <v>0</v>
      </c>
      <c r="DN128" s="193">
        <f t="shared" si="2731"/>
        <v>0</v>
      </c>
      <c r="DO128" s="193">
        <f t="shared" si="2731"/>
        <v>0</v>
      </c>
      <c r="DP128" s="193">
        <f t="shared" si="2731"/>
        <v>0</v>
      </c>
      <c r="DQ128" s="193">
        <f t="shared" si="2731"/>
        <v>0</v>
      </c>
      <c r="DR128" s="193">
        <f t="shared" si="2731"/>
        <v>0</v>
      </c>
      <c r="DS128" s="193">
        <f t="shared" si="2731"/>
        <v>0</v>
      </c>
      <c r="DT128" s="193">
        <f t="shared" si="2731"/>
        <v>0</v>
      </c>
      <c r="DU128" s="193">
        <f t="shared" si="2731"/>
        <v>0</v>
      </c>
      <c r="DV128" s="193">
        <f t="shared" si="2731"/>
        <v>0</v>
      </c>
      <c r="DW128" s="193">
        <f t="shared" si="2731"/>
        <v>0</v>
      </c>
      <c r="DX128" s="193">
        <f t="shared" si="2731"/>
        <v>0</v>
      </c>
      <c r="DY128" s="193">
        <f t="shared" si="2731"/>
        <v>0</v>
      </c>
      <c r="DZ128" s="193">
        <f t="shared" si="2731"/>
        <v>0</v>
      </c>
      <c r="EA128" s="193">
        <f t="shared" si="2731"/>
        <v>0</v>
      </c>
      <c r="EB128" s="193">
        <f t="shared" si="2731"/>
        <v>0</v>
      </c>
      <c r="EC128" s="193">
        <f t="shared" si="2731"/>
        <v>0</v>
      </c>
      <c r="ED128" s="193">
        <f t="shared" si="2731"/>
        <v>0</v>
      </c>
      <c r="EE128" s="193">
        <f t="shared" si="2731"/>
        <v>0</v>
      </c>
      <c r="EF128" s="193">
        <f t="shared" ref="EF128:GQ128" si="2732">SUM(EF125:EF127)*EF119</f>
        <v>0</v>
      </c>
      <c r="EG128" s="193">
        <f t="shared" si="2732"/>
        <v>0</v>
      </c>
      <c r="EH128" s="193">
        <f t="shared" si="2732"/>
        <v>0</v>
      </c>
      <c r="EI128" s="193">
        <f t="shared" si="2732"/>
        <v>0</v>
      </c>
      <c r="EJ128" s="193">
        <f t="shared" si="2732"/>
        <v>0</v>
      </c>
      <c r="EK128" s="193">
        <f t="shared" si="2732"/>
        <v>0</v>
      </c>
      <c r="EL128" s="193">
        <f t="shared" si="2732"/>
        <v>0</v>
      </c>
      <c r="EM128" s="193">
        <f t="shared" si="2732"/>
        <v>0</v>
      </c>
      <c r="EN128" s="193">
        <f t="shared" si="2732"/>
        <v>0</v>
      </c>
      <c r="EO128" s="193">
        <f t="shared" si="2732"/>
        <v>0</v>
      </c>
      <c r="EP128" s="193">
        <f t="shared" si="2732"/>
        <v>0</v>
      </c>
      <c r="EQ128" s="193">
        <f t="shared" si="2732"/>
        <v>0</v>
      </c>
      <c r="ER128" s="193">
        <f t="shared" si="2732"/>
        <v>0</v>
      </c>
      <c r="ES128" s="193">
        <f t="shared" si="2732"/>
        <v>0</v>
      </c>
      <c r="ET128" s="193">
        <f t="shared" si="2732"/>
        <v>0</v>
      </c>
      <c r="EU128" s="193">
        <f t="shared" si="2732"/>
        <v>0</v>
      </c>
      <c r="EV128" s="193">
        <f t="shared" si="2732"/>
        <v>0</v>
      </c>
      <c r="EW128" s="193">
        <f t="shared" si="2732"/>
        <v>0</v>
      </c>
      <c r="EX128" s="193">
        <f t="shared" si="2732"/>
        <v>0</v>
      </c>
      <c r="EY128" s="193">
        <f t="shared" si="2732"/>
        <v>0</v>
      </c>
      <c r="EZ128" s="193">
        <f t="shared" si="2732"/>
        <v>0</v>
      </c>
      <c r="FA128" s="193">
        <f t="shared" si="2732"/>
        <v>0</v>
      </c>
      <c r="FB128" s="193">
        <f t="shared" si="2732"/>
        <v>0</v>
      </c>
      <c r="FC128" s="193">
        <f t="shared" si="2732"/>
        <v>0</v>
      </c>
      <c r="FD128" s="193">
        <f t="shared" si="2732"/>
        <v>0</v>
      </c>
      <c r="FE128" s="193">
        <f t="shared" si="2732"/>
        <v>0</v>
      </c>
      <c r="FF128" s="193">
        <f t="shared" si="2732"/>
        <v>0</v>
      </c>
      <c r="FG128" s="193">
        <f t="shared" si="2732"/>
        <v>0</v>
      </c>
      <c r="FH128" s="193">
        <f t="shared" si="2732"/>
        <v>0</v>
      </c>
      <c r="FI128" s="193">
        <f t="shared" si="2732"/>
        <v>0</v>
      </c>
      <c r="FJ128" s="193">
        <f t="shared" si="2732"/>
        <v>0</v>
      </c>
      <c r="FK128" s="193">
        <f t="shared" si="2732"/>
        <v>0</v>
      </c>
      <c r="FL128" s="193">
        <f t="shared" si="2732"/>
        <v>0</v>
      </c>
      <c r="FM128" s="193">
        <f t="shared" si="2732"/>
        <v>0</v>
      </c>
      <c r="FN128" s="193">
        <f t="shared" si="2732"/>
        <v>0</v>
      </c>
      <c r="FO128" s="193">
        <f t="shared" si="2732"/>
        <v>0</v>
      </c>
      <c r="FP128" s="193">
        <f t="shared" si="2732"/>
        <v>0</v>
      </c>
      <c r="FQ128" s="193">
        <f t="shared" si="2732"/>
        <v>0</v>
      </c>
      <c r="FR128" s="193">
        <f t="shared" si="2732"/>
        <v>0</v>
      </c>
      <c r="FS128" s="193">
        <f t="shared" si="2732"/>
        <v>0</v>
      </c>
      <c r="FT128" s="193">
        <f t="shared" si="2732"/>
        <v>0</v>
      </c>
      <c r="FU128" s="193">
        <f t="shared" si="2732"/>
        <v>0</v>
      </c>
      <c r="FV128" s="193">
        <f t="shared" si="2732"/>
        <v>0</v>
      </c>
      <c r="FW128" s="193">
        <f t="shared" si="2732"/>
        <v>0</v>
      </c>
      <c r="FX128" s="193">
        <f t="shared" si="2732"/>
        <v>0</v>
      </c>
      <c r="FY128" s="193">
        <f t="shared" si="2732"/>
        <v>0</v>
      </c>
      <c r="FZ128" s="193">
        <f t="shared" si="2732"/>
        <v>0</v>
      </c>
      <c r="GA128" s="193">
        <f t="shared" si="2732"/>
        <v>0</v>
      </c>
      <c r="GB128" s="193">
        <f t="shared" si="2732"/>
        <v>0</v>
      </c>
      <c r="GC128" s="193">
        <f t="shared" si="2732"/>
        <v>0</v>
      </c>
      <c r="GD128" s="193">
        <f t="shared" si="2732"/>
        <v>0</v>
      </c>
      <c r="GE128" s="193">
        <f t="shared" si="2732"/>
        <v>0</v>
      </c>
      <c r="GF128" s="193">
        <f t="shared" si="2732"/>
        <v>0</v>
      </c>
      <c r="GG128" s="193">
        <f t="shared" si="2732"/>
        <v>0</v>
      </c>
      <c r="GH128" s="193">
        <f t="shared" si="2732"/>
        <v>0</v>
      </c>
      <c r="GI128" s="193">
        <f t="shared" si="2732"/>
        <v>0</v>
      </c>
      <c r="GJ128" s="193">
        <f t="shared" si="2732"/>
        <v>0</v>
      </c>
      <c r="GK128" s="193">
        <f t="shared" si="2732"/>
        <v>0</v>
      </c>
      <c r="GL128" s="193">
        <f t="shared" si="2732"/>
        <v>0</v>
      </c>
      <c r="GM128" s="193">
        <f t="shared" si="2732"/>
        <v>0</v>
      </c>
      <c r="GN128" s="193">
        <f t="shared" si="2732"/>
        <v>0</v>
      </c>
      <c r="GO128" s="193">
        <f t="shared" si="2732"/>
        <v>0</v>
      </c>
      <c r="GP128" s="193">
        <f t="shared" si="2732"/>
        <v>0</v>
      </c>
      <c r="GQ128" s="193">
        <f t="shared" si="2732"/>
        <v>0</v>
      </c>
    </row>
    <row r="129" spans="2:199" hidden="1" outlineLevel="1">
      <c r="B129" s="190" t="s">
        <v>391</v>
      </c>
      <c r="C129" s="192"/>
      <c r="D129" s="193"/>
      <c r="E129" s="200">
        <f>IF(E121=1,-D132-E128,0)*IF(AND(E111=$C116,$C122=1,$C121=0),0,1)</f>
        <v>0</v>
      </c>
      <c r="F129" s="200">
        <f t="shared" ref="F129" si="2733">IF(F121=1,-E132-F128,0)*IF(AND(F111=$C116,$C122=1,$C121=0),0,1)</f>
        <v>0</v>
      </c>
      <c r="G129" s="200">
        <f t="shared" ref="G129" si="2734">IF(G121=1,-F132-G128,0)*IF(AND(G111=$C116,$C122=1,$C121=0),0,1)</f>
        <v>0</v>
      </c>
      <c r="H129" s="200">
        <f t="shared" ref="H129" si="2735">IF(H121=1,-G132-H128,0)*IF(AND(H111=$C116,$C122=1,$C121=0),0,1)</f>
        <v>0</v>
      </c>
      <c r="I129" s="200">
        <f t="shared" ref="I129" si="2736">IF(I121=1,-H132-I128,0)*IF(AND(I111=$C116,$C122=1,$C121=0),0,1)</f>
        <v>0</v>
      </c>
      <c r="J129" s="200">
        <f t="shared" ref="J129" si="2737">IF(J121=1,-I132-J128,0)*IF(AND(J111=$C116,$C122=1,$C121=0),0,1)</f>
        <v>0</v>
      </c>
      <c r="K129" s="200">
        <f t="shared" ref="K129" si="2738">IF(K121=1,-J132-K128,0)*IF(AND(K111=$C116,$C122=1,$C121=0),0,1)</f>
        <v>-648.85396808885525</v>
      </c>
      <c r="L129" s="200">
        <f t="shared" ref="L129" si="2739">IF(L121=1,-K132-L128,0)*IF(AND(L111=$C116,$C122=1,$C121=0),0,1)</f>
        <v>0</v>
      </c>
      <c r="M129" s="200">
        <f t="shared" ref="M129" si="2740">IF(M121=1,-L132-M128,0)*IF(AND(M111=$C116,$C122=1,$C121=0),0,1)</f>
        <v>0</v>
      </c>
      <c r="N129" s="200">
        <f t="shared" ref="N129" si="2741">IF(N121=1,-M132-N128,0)*IF(AND(N111=$C116,$C122=1,$C121=0),0,1)</f>
        <v>0</v>
      </c>
      <c r="O129" s="200">
        <f t="shared" ref="O129" si="2742">IF(O121=1,-N132-O128,0)*IF(AND(O111=$C116,$C122=1,$C121=0),0,1)</f>
        <v>0</v>
      </c>
      <c r="P129" s="200">
        <f t="shared" ref="P129" si="2743">IF(P121=1,-O132-P128,0)*IF(AND(P111=$C116,$C122=1,$C121=0),0,1)</f>
        <v>0</v>
      </c>
      <c r="Q129" s="200">
        <f t="shared" ref="Q129" si="2744">IF(Q121=1,-P132-Q128,0)*IF(AND(Q111=$C116,$C122=1,$C121=0),0,1)</f>
        <v>-701.1342103696486</v>
      </c>
      <c r="R129" s="200">
        <f t="shared" ref="R129" si="2745">IF(R121=1,-Q132-R128,0)*IF(AND(R111=$C116,$C122=1,$C121=0),0,1)</f>
        <v>0</v>
      </c>
      <c r="S129" s="200">
        <f t="shared" ref="S129" si="2746">IF(S121=1,-R132-S128,0)*IF(AND(S111=$C116,$C122=1,$C121=0),0,1)</f>
        <v>0</v>
      </c>
      <c r="T129" s="200">
        <f t="shared" ref="T129" si="2747">IF(T121=1,-S132-T128,0)*IF(AND(T111=$C116,$C122=1,$C121=0),0,1)</f>
        <v>0</v>
      </c>
      <c r="U129" s="200">
        <f t="shared" ref="U129" si="2748">IF(U121=1,-T132-U128,0)*IF(AND(U111=$C116,$C122=1,$C121=0),0,1)</f>
        <v>0</v>
      </c>
      <c r="V129" s="200">
        <f t="shared" ref="V129" si="2749">IF(V121=1,-U132-V128,0)*IF(AND(V111=$C116,$C122=1,$C121=0),0,1)</f>
        <v>0</v>
      </c>
      <c r="W129" s="200">
        <f t="shared" ref="W129" si="2750">IF(W121=1,-V132-W128,0)*IF(AND(W111=$C116,$C122=1,$C121=0),0,1)</f>
        <v>-521.77773583329133</v>
      </c>
      <c r="X129" s="200">
        <f t="shared" ref="X129" si="2751">IF(X121=1,-W132-X128,0)*IF(AND(X111=$C116,$C122=1,$C121=0),0,1)</f>
        <v>0</v>
      </c>
      <c r="Y129" s="200">
        <f t="shared" ref="Y129" si="2752">IF(Y121=1,-X132-Y128,0)*IF(AND(Y111=$C116,$C122=1,$C121=0),0,1)</f>
        <v>0</v>
      </c>
      <c r="Z129" s="200">
        <f t="shared" ref="Z129" si="2753">IF(Z121=1,-Y132-Z128,0)*IF(AND(Z111=$C116,$C122=1,$C121=0),0,1)</f>
        <v>0</v>
      </c>
      <c r="AA129" s="200">
        <f t="shared" ref="AA129" si="2754">IF(AA121=1,-Z132-AA128,0)*IF(AND(AA111=$C116,$C122=1,$C121=0),0,1)</f>
        <v>0</v>
      </c>
      <c r="AB129" s="200">
        <f t="shared" ref="AB129" si="2755">IF(AB121=1,-AA132-AB128,0)*IF(AND(AB111=$C116,$C122=1,$C121=0),0,1)</f>
        <v>0</v>
      </c>
      <c r="AC129" s="200">
        <f t="shared" ref="AC129" si="2756">IF(AC121=1,-AB132-AC128,0)*IF(AND(AC111=$C116,$C122=1,$C121=0),0,1)</f>
        <v>-428.7735290468687</v>
      </c>
      <c r="AD129" s="200">
        <f t="shared" ref="AD129" si="2757">IF(AD121=1,-AC132-AD128,0)*IF(AND(AD111=$C116,$C122=1,$C121=0),0,1)</f>
        <v>0</v>
      </c>
      <c r="AE129" s="200">
        <f t="shared" ref="AE129" si="2758">IF(AE121=1,-AD132-AE128,0)*IF(AND(AE111=$C116,$C122=1,$C121=0),0,1)</f>
        <v>0</v>
      </c>
      <c r="AF129" s="200">
        <f t="shared" ref="AF129" si="2759">IF(AF121=1,-AE132-AF128,0)*IF(AND(AF111=$C116,$C122=1,$C121=0),0,1)</f>
        <v>0</v>
      </c>
      <c r="AG129" s="200">
        <f t="shared" ref="AG129" si="2760">IF(AG121=1,-AF132-AG128,0)*IF(AND(AG111=$C116,$C122=1,$C121=0),0,1)</f>
        <v>0</v>
      </c>
      <c r="AH129" s="200">
        <f t="shared" ref="AH129" si="2761">IF(AH121=1,-AG132-AH128,0)*IF(AND(AH111=$C116,$C122=1,$C121=0),0,1)</f>
        <v>0</v>
      </c>
      <c r="AI129" s="200">
        <f t="shared" ref="AI129" si="2762">IF(AI121=1,-AH132-AI128,0)*IF(AND(AI111=$C116,$C122=1,$C121=0),0,1)</f>
        <v>-307.1741948601092</v>
      </c>
      <c r="AJ129" s="200">
        <f t="shared" ref="AJ129" si="2763">IF(AJ121=1,-AI132-AJ128,0)*IF(AND(AJ111=$C116,$C122=1,$C121=0),0,1)</f>
        <v>0</v>
      </c>
      <c r="AK129" s="200">
        <f t="shared" ref="AK129" si="2764">IF(AK121=1,-AJ132-AK128,0)*IF(AND(AK111=$C116,$C122=1,$C121=0),0,1)</f>
        <v>0</v>
      </c>
      <c r="AL129" s="200">
        <f t="shared" ref="AL129" si="2765">IF(AL121=1,-AK132-AL128,0)*IF(AND(AL111=$C116,$C122=1,$C121=0),0,1)</f>
        <v>0</v>
      </c>
      <c r="AM129" s="200">
        <f t="shared" ref="AM129" si="2766">IF(AM121=1,-AL132-AM128,0)*IF(AND(AM111=$C116,$C122=1,$C121=0),0,1)</f>
        <v>0</v>
      </c>
      <c r="AN129" s="200">
        <f t="shared" ref="AN129" si="2767">IF(AN121=1,-AM132-AN128,0)*IF(AND(AN111=$C116,$C122=1,$C121=0),0,1)</f>
        <v>0</v>
      </c>
      <c r="AO129" s="200">
        <f t="shared" ref="AO129" si="2768">IF(AO121=1,-AN132-AO128,0)*IF(AND(AO111=$C116,$C122=1,$C121=0),0,1)</f>
        <v>-164.6437141763715</v>
      </c>
      <c r="AP129" s="200">
        <f t="shared" ref="AP129" si="2769">IF(AP121=1,-AO132-AP128,0)*IF(AND(AP111=$C116,$C122=1,$C121=0),0,1)</f>
        <v>0</v>
      </c>
      <c r="AQ129" s="200">
        <f t="shared" ref="AQ129" si="2770">IF(AQ121=1,-AP132-AQ128,0)*IF(AND(AQ111=$C116,$C122=1,$C121=0),0,1)</f>
        <v>0</v>
      </c>
      <c r="AR129" s="200">
        <f t="shared" ref="AR129" si="2771">IF(AR121=1,-AQ132-AR128,0)*IF(AND(AR111=$C116,$C122=1,$C121=0),0,1)</f>
        <v>0</v>
      </c>
      <c r="AS129" s="200">
        <f t="shared" ref="AS129" si="2772">IF(AS121=1,-AR132-AS128,0)*IF(AND(AS111=$C116,$C122=1,$C121=0),0,1)</f>
        <v>0</v>
      </c>
      <c r="AT129" s="200">
        <f t="shared" ref="AT129" si="2773">IF(AT121=1,-AS132-AT128,0)*IF(AND(AT111=$C116,$C122=1,$C121=0),0,1)</f>
        <v>0</v>
      </c>
      <c r="AU129" s="200">
        <f t="shared" ref="AU129" si="2774">IF(AU121=1,-AT132-AU128,0)*IF(AND(AU111=$C116,$C122=1,$C121=0),0,1)</f>
        <v>0</v>
      </c>
      <c r="AV129" s="200">
        <f t="shared" ref="AV129" si="2775">IF(AV121=1,-AU132-AV128,0)*IF(AND(AV111=$C116,$C122=1,$C121=0),0,1)</f>
        <v>0</v>
      </c>
      <c r="AW129" s="200">
        <f t="shared" ref="AW129" si="2776">IF(AW121=1,-AV132-AW128,0)*IF(AND(AW111=$C116,$C122=1,$C121=0),0,1)</f>
        <v>0</v>
      </c>
      <c r="AX129" s="200">
        <f t="shared" ref="AX129" si="2777">IF(AX121=1,-AW132-AX128,0)*IF(AND(AX111=$C116,$C122=1,$C121=0),0,1)</f>
        <v>0</v>
      </c>
      <c r="AY129" s="200">
        <f t="shared" ref="AY129" si="2778">IF(AY121=1,-AX132-AY128,0)*IF(AND(AY111=$C116,$C122=1,$C121=0),0,1)</f>
        <v>0</v>
      </c>
      <c r="AZ129" s="200">
        <f t="shared" ref="AZ129" si="2779">IF(AZ121=1,-AY132-AZ128,0)*IF(AND(AZ111=$C116,$C122=1,$C121=0),0,1)</f>
        <v>0</v>
      </c>
      <c r="BA129" s="200">
        <f t="shared" ref="BA129" si="2780">IF(BA121=1,-AZ132-BA128,0)*IF(AND(BA111=$C116,$C122=1,$C121=0),0,1)</f>
        <v>0</v>
      </c>
      <c r="BB129" s="200">
        <f t="shared" ref="BB129" si="2781">IF(BB121=1,-BA132-BB128,0)*IF(AND(BB111=$C116,$C122=1,$C121=0),0,1)</f>
        <v>0</v>
      </c>
      <c r="BC129" s="200">
        <f t="shared" ref="BC129" si="2782">IF(BC121=1,-BB132-BC128,0)*IF(AND(BC111=$C116,$C122=1,$C121=0),0,1)</f>
        <v>0</v>
      </c>
      <c r="BD129" s="200">
        <f t="shared" ref="BD129" si="2783">IF(BD121=1,-BC132-BD128,0)*IF(AND(BD111=$C116,$C122=1,$C121=0),0,1)</f>
        <v>0</v>
      </c>
      <c r="BE129" s="200">
        <f t="shared" ref="BE129" si="2784">IF(BE121=1,-BD132-BE128,0)*IF(AND(BE111=$C116,$C122=1,$C121=0),0,1)</f>
        <v>0</v>
      </c>
      <c r="BF129" s="200">
        <f t="shared" ref="BF129" si="2785">IF(BF121=1,-BE132-BF128,0)*IF(AND(BF111=$C116,$C122=1,$C121=0),0,1)</f>
        <v>0</v>
      </c>
      <c r="BG129" s="200">
        <f t="shared" ref="BG129" si="2786">IF(BG121=1,-BF132-BG128,0)*IF(AND(BG111=$C116,$C122=1,$C121=0),0,1)</f>
        <v>0</v>
      </c>
      <c r="BH129" s="200">
        <f t="shared" ref="BH129" si="2787">IF(BH121=1,-BG132-BH128,0)*IF(AND(BH111=$C116,$C122=1,$C121=0),0,1)</f>
        <v>0</v>
      </c>
      <c r="BI129" s="200">
        <f t="shared" ref="BI129" si="2788">IF(BI121=1,-BH132-BI128,0)*IF(AND(BI111=$C116,$C122=1,$C121=0),0,1)</f>
        <v>0</v>
      </c>
      <c r="BJ129" s="200">
        <f t="shared" ref="BJ129" si="2789">IF(BJ121=1,-BI132-BJ128,0)*IF(AND(BJ111=$C116,$C122=1,$C121=0),0,1)</f>
        <v>0</v>
      </c>
      <c r="BK129" s="200">
        <f t="shared" ref="BK129" si="2790">IF(BK121=1,-BJ132-BK128,0)*IF(AND(BK111=$C116,$C122=1,$C121=0),0,1)</f>
        <v>0</v>
      </c>
      <c r="BL129" s="200">
        <f t="shared" ref="BL129" si="2791">IF(BL121=1,-BK132-BL128,0)*IF(AND(BL111=$C116,$C122=1,$C121=0),0,1)</f>
        <v>0</v>
      </c>
      <c r="BM129" s="200">
        <f t="shared" ref="BM129" si="2792">IF(BM121=1,-BL132-BM128,0)*IF(AND(BM111=$C116,$C122=1,$C121=0),0,1)</f>
        <v>0</v>
      </c>
      <c r="BN129" s="200">
        <f t="shared" ref="BN129" si="2793">IF(BN121=1,-BM132-BN128,0)*IF(AND(BN111=$C116,$C122=1,$C121=0),0,1)</f>
        <v>0</v>
      </c>
      <c r="BO129" s="200">
        <f t="shared" ref="BO129" si="2794">IF(BO121=1,-BN132-BO128,0)*IF(AND(BO111=$C116,$C122=1,$C121=0),0,1)</f>
        <v>0</v>
      </c>
      <c r="BP129" s="200">
        <f t="shared" ref="BP129" si="2795">IF(BP121=1,-BO132-BP128,0)*IF(AND(BP111=$C116,$C122=1,$C121=0),0,1)</f>
        <v>0</v>
      </c>
      <c r="BQ129" s="200">
        <f t="shared" ref="BQ129" si="2796">IF(BQ121=1,-BP132-BQ128,0)*IF(AND(BQ111=$C116,$C122=1,$C121=0),0,1)</f>
        <v>0</v>
      </c>
      <c r="BR129" s="200">
        <f t="shared" ref="BR129" si="2797">IF(BR121=1,-BQ132-BR128,0)*IF(AND(BR111=$C116,$C122=1,$C121=0),0,1)</f>
        <v>0</v>
      </c>
      <c r="BS129" s="200">
        <f t="shared" ref="BS129" si="2798">IF(BS121=1,-BR132-BS128,0)*IF(AND(BS111=$C116,$C122=1,$C121=0),0,1)</f>
        <v>0</v>
      </c>
      <c r="BT129" s="200">
        <f t="shared" ref="BT129" si="2799">IF(BT121=1,-BS132-BT128,0)*IF(AND(BT111=$C116,$C122=1,$C121=0),0,1)</f>
        <v>0</v>
      </c>
      <c r="BU129" s="200">
        <f t="shared" ref="BU129" si="2800">IF(BU121=1,-BT132-BU128,0)*IF(AND(BU111=$C116,$C122=1,$C121=0),0,1)</f>
        <v>0</v>
      </c>
      <c r="BV129" s="200">
        <f t="shared" ref="BV129" si="2801">IF(BV121=1,-BU132-BV128,0)*IF(AND(BV111=$C116,$C122=1,$C121=0),0,1)</f>
        <v>0</v>
      </c>
      <c r="BW129" s="200">
        <f t="shared" ref="BW129" si="2802">IF(BW121=1,-BV132-BW128,0)*IF(AND(BW111=$C116,$C122=1,$C121=0),0,1)</f>
        <v>0</v>
      </c>
      <c r="BX129" s="200">
        <f t="shared" ref="BX129" si="2803">IF(BX121=1,-BW132-BX128,0)*IF(AND(BX111=$C116,$C122=1,$C121=0),0,1)</f>
        <v>0</v>
      </c>
      <c r="BY129" s="200">
        <f t="shared" ref="BY129" si="2804">IF(BY121=1,-BX132-BY128,0)*IF(AND(BY111=$C116,$C122=1,$C121=0),0,1)</f>
        <v>0</v>
      </c>
      <c r="BZ129" s="200">
        <f t="shared" ref="BZ129" si="2805">IF(BZ121=1,-BY132-BZ128,0)*IF(AND(BZ111=$C116,$C122=1,$C121=0),0,1)</f>
        <v>0</v>
      </c>
      <c r="CA129" s="200">
        <f t="shared" ref="CA129" si="2806">IF(CA121=1,-BZ132-CA128,0)*IF(AND(CA111=$C116,$C122=1,$C121=0),0,1)</f>
        <v>0</v>
      </c>
      <c r="CB129" s="200">
        <f t="shared" ref="CB129" si="2807">IF(CB121=1,-CA132-CB128,0)*IF(AND(CB111=$C116,$C122=1,$C121=0),0,1)</f>
        <v>0</v>
      </c>
      <c r="CC129" s="200">
        <f t="shared" ref="CC129" si="2808">IF(CC121=1,-CB132-CC128,0)*IF(AND(CC111=$C116,$C122=1,$C121=0),0,1)</f>
        <v>0</v>
      </c>
      <c r="CD129" s="200">
        <f t="shared" ref="CD129" si="2809">IF(CD121=1,-CC132-CD128,0)*IF(AND(CD111=$C116,$C122=1,$C121=0),0,1)</f>
        <v>0</v>
      </c>
      <c r="CE129" s="200">
        <f t="shared" ref="CE129" si="2810">IF(CE121=1,-CD132-CE128,0)*IF(AND(CE111=$C116,$C122=1,$C121=0),0,1)</f>
        <v>0</v>
      </c>
      <c r="CF129" s="200">
        <f t="shared" ref="CF129" si="2811">IF(CF121=1,-CE132-CF128,0)*IF(AND(CF111=$C116,$C122=1,$C121=0),0,1)</f>
        <v>0</v>
      </c>
      <c r="CG129" s="200">
        <f t="shared" ref="CG129" si="2812">IF(CG121=1,-CF132-CG128,0)*IF(AND(CG111=$C116,$C122=1,$C121=0),0,1)</f>
        <v>0</v>
      </c>
      <c r="CH129" s="200">
        <f t="shared" ref="CH129" si="2813">IF(CH121=1,-CG132-CH128,0)*IF(AND(CH111=$C116,$C122=1,$C121=0),0,1)</f>
        <v>0</v>
      </c>
      <c r="CI129" s="200">
        <f t="shared" ref="CI129" si="2814">IF(CI121=1,-CH132-CI128,0)*IF(AND(CI111=$C116,$C122=1,$C121=0),0,1)</f>
        <v>0</v>
      </c>
      <c r="CJ129" s="200">
        <f t="shared" ref="CJ129" si="2815">IF(CJ121=1,-CI132-CJ128,0)*IF(AND(CJ111=$C116,$C122=1,$C121=0),0,1)</f>
        <v>0</v>
      </c>
      <c r="CK129" s="200">
        <f t="shared" ref="CK129" si="2816">IF(CK121=1,-CJ132-CK128,0)*IF(AND(CK111=$C116,$C122=1,$C121=0),0,1)</f>
        <v>0</v>
      </c>
      <c r="CL129" s="200">
        <f t="shared" ref="CL129" si="2817">IF(CL121=1,-CK132-CL128,0)*IF(AND(CL111=$C116,$C122=1,$C121=0),0,1)</f>
        <v>0</v>
      </c>
      <c r="CM129" s="200">
        <f t="shared" ref="CM129" si="2818">IF(CM121=1,-CL132-CM128,0)*IF(AND(CM111=$C116,$C122=1,$C121=0),0,1)</f>
        <v>0</v>
      </c>
      <c r="CN129" s="200">
        <f t="shared" ref="CN129" si="2819">IF(CN121=1,-CM132-CN128,0)*IF(AND(CN111=$C116,$C122=1,$C121=0),0,1)</f>
        <v>0</v>
      </c>
      <c r="CO129" s="200">
        <f t="shared" ref="CO129" si="2820">IF(CO121=1,-CN132-CO128,0)*IF(AND(CO111=$C116,$C122=1,$C121=0),0,1)</f>
        <v>0</v>
      </c>
      <c r="CP129" s="200">
        <f t="shared" ref="CP129" si="2821">IF(CP121=1,-CO132-CP128,0)*IF(AND(CP111=$C116,$C122=1,$C121=0),0,1)</f>
        <v>0</v>
      </c>
      <c r="CQ129" s="200">
        <f t="shared" ref="CQ129" si="2822">IF(CQ121=1,-CP132-CQ128,0)*IF(AND(CQ111=$C116,$C122=1,$C121=0),0,1)</f>
        <v>0</v>
      </c>
      <c r="CR129" s="200">
        <f t="shared" ref="CR129" si="2823">IF(CR121=1,-CQ132-CR128,0)*IF(AND(CR111=$C116,$C122=1,$C121=0),0,1)</f>
        <v>0</v>
      </c>
      <c r="CS129" s="200">
        <f t="shared" ref="CS129" si="2824">IF(CS121=1,-CR132-CS128,0)*IF(AND(CS111=$C116,$C122=1,$C121=0),0,1)</f>
        <v>0</v>
      </c>
      <c r="CT129" s="200">
        <f t="shared" ref="CT129" si="2825">IF(CT121=1,-CS132-CT128,0)*IF(AND(CT111=$C116,$C122=1,$C121=0),0,1)</f>
        <v>0</v>
      </c>
      <c r="CU129" s="200">
        <f t="shared" ref="CU129" si="2826">IF(CU121=1,-CT132-CU128,0)*IF(AND(CU111=$C116,$C122=1,$C121=0),0,1)</f>
        <v>0</v>
      </c>
      <c r="CV129" s="200">
        <f t="shared" ref="CV129" si="2827">IF(CV121=1,-CU132-CV128,0)*IF(AND(CV111=$C116,$C122=1,$C121=0),0,1)</f>
        <v>0</v>
      </c>
      <c r="CW129" s="200">
        <f t="shared" ref="CW129" si="2828">IF(CW121=1,-CV132-CW128,0)*IF(AND(CW111=$C116,$C122=1,$C121=0),0,1)</f>
        <v>0</v>
      </c>
      <c r="CX129" s="200">
        <f t="shared" ref="CX129" si="2829">IF(CX121=1,-CW132-CX128,0)*IF(AND(CX111=$C116,$C122=1,$C121=0),0,1)</f>
        <v>0</v>
      </c>
      <c r="CY129" s="200">
        <f t="shared" ref="CY129" si="2830">IF(CY121=1,-CX132-CY128,0)*IF(AND(CY111=$C116,$C122=1,$C121=0),0,1)</f>
        <v>0</v>
      </c>
      <c r="CZ129" s="200">
        <f t="shared" ref="CZ129" si="2831">IF(CZ121=1,-CY132-CZ128,0)*IF(AND(CZ111=$C116,$C122=1,$C121=0),0,1)</f>
        <v>0</v>
      </c>
      <c r="DA129" s="200">
        <f t="shared" ref="DA129" si="2832">IF(DA121=1,-CZ132-DA128,0)*IF(AND(DA111=$C116,$C122=1,$C121=0),0,1)</f>
        <v>0</v>
      </c>
      <c r="DB129" s="200">
        <f t="shared" ref="DB129" si="2833">IF(DB121=1,-DA132-DB128,0)*IF(AND(DB111=$C116,$C122=1,$C121=0),0,1)</f>
        <v>0</v>
      </c>
      <c r="DC129" s="200">
        <f t="shared" ref="DC129" si="2834">IF(DC121=1,-DB132-DC128,0)*IF(AND(DC111=$C116,$C122=1,$C121=0),0,1)</f>
        <v>0</v>
      </c>
      <c r="DD129" s="200">
        <f t="shared" ref="DD129" si="2835">IF(DD121=1,-DC132-DD128,0)*IF(AND(DD111=$C116,$C122=1,$C121=0),0,1)</f>
        <v>0</v>
      </c>
      <c r="DE129" s="200">
        <f t="shared" ref="DE129" si="2836">IF(DE121=1,-DD132-DE128,0)*IF(AND(DE111=$C116,$C122=1,$C121=0),0,1)</f>
        <v>0</v>
      </c>
      <c r="DF129" s="200">
        <f t="shared" ref="DF129" si="2837">IF(DF121=1,-DE132-DF128,0)*IF(AND(DF111=$C116,$C122=1,$C121=0),0,1)</f>
        <v>0</v>
      </c>
      <c r="DG129" s="200">
        <f t="shared" ref="DG129" si="2838">IF(DG121=1,-DF132-DG128,0)*IF(AND(DG111=$C116,$C122=1,$C121=0),0,1)</f>
        <v>0</v>
      </c>
      <c r="DH129" s="200">
        <f t="shared" ref="DH129" si="2839">IF(DH121=1,-DG132-DH128,0)*IF(AND(DH111=$C116,$C122=1,$C121=0),0,1)</f>
        <v>0</v>
      </c>
      <c r="DI129" s="200">
        <f t="shared" ref="DI129" si="2840">IF(DI121=1,-DH132-DI128,0)*IF(AND(DI111=$C116,$C122=1,$C121=0),0,1)</f>
        <v>0</v>
      </c>
      <c r="DJ129" s="200">
        <f t="shared" ref="DJ129" si="2841">IF(DJ121=1,-DI132-DJ128,0)*IF(AND(DJ111=$C116,$C122=1,$C121=0),0,1)</f>
        <v>0</v>
      </c>
      <c r="DK129" s="200">
        <f t="shared" ref="DK129" si="2842">IF(DK121=1,-DJ132-DK128,0)*IF(AND(DK111=$C116,$C122=1,$C121=0),0,1)</f>
        <v>0</v>
      </c>
      <c r="DL129" s="200">
        <f t="shared" ref="DL129" si="2843">IF(DL121=1,-DK132-DL128,0)*IF(AND(DL111=$C116,$C122=1,$C121=0),0,1)</f>
        <v>0</v>
      </c>
      <c r="DM129" s="200">
        <f t="shared" ref="DM129" si="2844">IF(DM121=1,-DL132-DM128,0)*IF(AND(DM111=$C116,$C122=1,$C121=0),0,1)</f>
        <v>0</v>
      </c>
      <c r="DN129" s="200">
        <f t="shared" ref="DN129" si="2845">IF(DN121=1,-DM132-DN128,0)*IF(AND(DN111=$C116,$C122=1,$C121=0),0,1)</f>
        <v>0</v>
      </c>
      <c r="DO129" s="200">
        <f t="shared" ref="DO129" si="2846">IF(DO121=1,-DN132-DO128,0)*IF(AND(DO111=$C116,$C122=1,$C121=0),0,1)</f>
        <v>0</v>
      </c>
      <c r="DP129" s="200">
        <f t="shared" ref="DP129" si="2847">IF(DP121=1,-DO132-DP128,0)*IF(AND(DP111=$C116,$C122=1,$C121=0),0,1)</f>
        <v>0</v>
      </c>
      <c r="DQ129" s="200">
        <f t="shared" ref="DQ129" si="2848">IF(DQ121=1,-DP132-DQ128,0)*IF(AND(DQ111=$C116,$C122=1,$C121=0),0,1)</f>
        <v>0</v>
      </c>
      <c r="DR129" s="200">
        <f t="shared" ref="DR129" si="2849">IF(DR121=1,-DQ132-DR128,0)*IF(AND(DR111=$C116,$C122=1,$C121=0),0,1)</f>
        <v>0</v>
      </c>
      <c r="DS129" s="200">
        <f t="shared" ref="DS129" si="2850">IF(DS121=1,-DR132-DS128,0)*IF(AND(DS111=$C116,$C122=1,$C121=0),0,1)</f>
        <v>0</v>
      </c>
      <c r="DT129" s="200">
        <f t="shared" ref="DT129" si="2851">IF(DT121=1,-DS132-DT128,0)*IF(AND(DT111=$C116,$C122=1,$C121=0),0,1)</f>
        <v>0</v>
      </c>
      <c r="DU129" s="200">
        <f t="shared" ref="DU129" si="2852">IF(DU121=1,-DT132-DU128,0)*IF(AND(DU111=$C116,$C122=1,$C121=0),0,1)</f>
        <v>0</v>
      </c>
      <c r="DV129" s="200">
        <f t="shared" ref="DV129" si="2853">IF(DV121=1,-DU132-DV128,0)*IF(AND(DV111=$C116,$C122=1,$C121=0),0,1)</f>
        <v>0</v>
      </c>
      <c r="DW129" s="200">
        <f t="shared" ref="DW129" si="2854">IF(DW121=1,-DV132-DW128,0)*IF(AND(DW111=$C116,$C122=1,$C121=0),0,1)</f>
        <v>0</v>
      </c>
      <c r="DX129" s="200">
        <f t="shared" ref="DX129" si="2855">IF(DX121=1,-DW132-DX128,0)*IF(AND(DX111=$C116,$C122=1,$C121=0),0,1)</f>
        <v>0</v>
      </c>
      <c r="DY129" s="200">
        <f t="shared" ref="DY129" si="2856">IF(DY121=1,-DX132-DY128,0)*IF(AND(DY111=$C116,$C122=1,$C121=0),0,1)</f>
        <v>0</v>
      </c>
      <c r="DZ129" s="200">
        <f t="shared" ref="DZ129" si="2857">IF(DZ121=1,-DY132-DZ128,0)*IF(AND(DZ111=$C116,$C122=1,$C121=0),0,1)</f>
        <v>0</v>
      </c>
      <c r="EA129" s="200">
        <f t="shared" ref="EA129" si="2858">IF(EA121=1,-DZ132-EA128,0)*IF(AND(EA111=$C116,$C122=1,$C121=0),0,1)</f>
        <v>0</v>
      </c>
      <c r="EB129" s="200">
        <f t="shared" ref="EB129" si="2859">IF(EB121=1,-EA132-EB128,0)*IF(AND(EB111=$C116,$C122=1,$C121=0),0,1)</f>
        <v>0</v>
      </c>
      <c r="EC129" s="200">
        <f t="shared" ref="EC129" si="2860">IF(EC121=1,-EB132-EC128,0)*IF(AND(EC111=$C116,$C122=1,$C121=0),0,1)</f>
        <v>0</v>
      </c>
      <c r="ED129" s="200">
        <f t="shared" ref="ED129" si="2861">IF(ED121=1,-EC132-ED128,0)*IF(AND(ED111=$C116,$C122=1,$C121=0),0,1)</f>
        <v>0</v>
      </c>
      <c r="EE129" s="200">
        <f t="shared" ref="EE129" si="2862">IF(EE121=1,-ED132-EE128,0)*IF(AND(EE111=$C116,$C122=1,$C121=0),0,1)</f>
        <v>0</v>
      </c>
      <c r="EF129" s="200">
        <f t="shared" ref="EF129" si="2863">IF(EF121=1,-EE132-EF128,0)*IF(AND(EF111=$C116,$C122=1,$C121=0),0,1)</f>
        <v>0</v>
      </c>
      <c r="EG129" s="200">
        <f t="shared" ref="EG129" si="2864">IF(EG121=1,-EF132-EG128,0)*IF(AND(EG111=$C116,$C122=1,$C121=0),0,1)</f>
        <v>0</v>
      </c>
      <c r="EH129" s="200">
        <f t="shared" ref="EH129" si="2865">IF(EH121=1,-EG132-EH128,0)*IF(AND(EH111=$C116,$C122=1,$C121=0),0,1)</f>
        <v>0</v>
      </c>
      <c r="EI129" s="200">
        <f t="shared" ref="EI129" si="2866">IF(EI121=1,-EH132-EI128,0)*IF(AND(EI111=$C116,$C122=1,$C121=0),0,1)</f>
        <v>0</v>
      </c>
      <c r="EJ129" s="200">
        <f t="shared" ref="EJ129" si="2867">IF(EJ121=1,-EI132-EJ128,0)*IF(AND(EJ111=$C116,$C122=1,$C121=0),0,1)</f>
        <v>0</v>
      </c>
      <c r="EK129" s="200">
        <f t="shared" ref="EK129" si="2868">IF(EK121=1,-EJ132-EK128,0)*IF(AND(EK111=$C116,$C122=1,$C121=0),0,1)</f>
        <v>0</v>
      </c>
      <c r="EL129" s="200">
        <f t="shared" ref="EL129" si="2869">IF(EL121=1,-EK132-EL128,0)*IF(AND(EL111=$C116,$C122=1,$C121=0),0,1)</f>
        <v>0</v>
      </c>
      <c r="EM129" s="200">
        <f t="shared" ref="EM129" si="2870">IF(EM121=1,-EL132-EM128,0)*IF(AND(EM111=$C116,$C122=1,$C121=0),0,1)</f>
        <v>0</v>
      </c>
      <c r="EN129" s="200">
        <f t="shared" ref="EN129" si="2871">IF(EN121=1,-EM132-EN128,0)*IF(AND(EN111=$C116,$C122=1,$C121=0),0,1)</f>
        <v>0</v>
      </c>
      <c r="EO129" s="200">
        <f t="shared" ref="EO129" si="2872">IF(EO121=1,-EN132-EO128,0)*IF(AND(EO111=$C116,$C122=1,$C121=0),0,1)</f>
        <v>0</v>
      </c>
      <c r="EP129" s="200">
        <f t="shared" ref="EP129" si="2873">IF(EP121=1,-EO132-EP128,0)*IF(AND(EP111=$C116,$C122=1,$C121=0),0,1)</f>
        <v>0</v>
      </c>
      <c r="EQ129" s="200">
        <f t="shared" ref="EQ129" si="2874">IF(EQ121=1,-EP132-EQ128,0)*IF(AND(EQ111=$C116,$C122=1,$C121=0),0,1)</f>
        <v>0</v>
      </c>
      <c r="ER129" s="200">
        <f t="shared" ref="ER129" si="2875">IF(ER121=1,-EQ132-ER128,0)*IF(AND(ER111=$C116,$C122=1,$C121=0),0,1)</f>
        <v>0</v>
      </c>
      <c r="ES129" s="200">
        <f t="shared" ref="ES129" si="2876">IF(ES121=1,-ER132-ES128,0)*IF(AND(ES111=$C116,$C122=1,$C121=0),0,1)</f>
        <v>0</v>
      </c>
      <c r="ET129" s="200">
        <f t="shared" ref="ET129" si="2877">IF(ET121=1,-ES132-ET128,0)*IF(AND(ET111=$C116,$C122=1,$C121=0),0,1)</f>
        <v>0</v>
      </c>
      <c r="EU129" s="200">
        <f t="shared" ref="EU129" si="2878">IF(EU121=1,-ET132-EU128,0)*IF(AND(EU111=$C116,$C122=1,$C121=0),0,1)</f>
        <v>0</v>
      </c>
      <c r="EV129" s="200">
        <f t="shared" ref="EV129" si="2879">IF(EV121=1,-EU132-EV128,0)*IF(AND(EV111=$C116,$C122=1,$C121=0),0,1)</f>
        <v>0</v>
      </c>
      <c r="EW129" s="200">
        <f t="shared" ref="EW129" si="2880">IF(EW121=1,-EV132-EW128,0)*IF(AND(EW111=$C116,$C122=1,$C121=0),0,1)</f>
        <v>0</v>
      </c>
      <c r="EX129" s="200">
        <f t="shared" ref="EX129" si="2881">IF(EX121=1,-EW132-EX128,0)*IF(AND(EX111=$C116,$C122=1,$C121=0),0,1)</f>
        <v>0</v>
      </c>
      <c r="EY129" s="200">
        <f t="shared" ref="EY129" si="2882">IF(EY121=1,-EX132-EY128,0)*IF(AND(EY111=$C116,$C122=1,$C121=0),0,1)</f>
        <v>0</v>
      </c>
      <c r="EZ129" s="200">
        <f t="shared" ref="EZ129" si="2883">IF(EZ121=1,-EY132-EZ128,0)*IF(AND(EZ111=$C116,$C122=1,$C121=0),0,1)</f>
        <v>0</v>
      </c>
      <c r="FA129" s="200">
        <f t="shared" ref="FA129" si="2884">IF(FA121=1,-EZ132-FA128,0)*IF(AND(FA111=$C116,$C122=1,$C121=0),0,1)</f>
        <v>0</v>
      </c>
      <c r="FB129" s="200">
        <f t="shared" ref="FB129" si="2885">IF(FB121=1,-FA132-FB128,0)*IF(AND(FB111=$C116,$C122=1,$C121=0),0,1)</f>
        <v>0</v>
      </c>
      <c r="FC129" s="200">
        <f t="shared" ref="FC129" si="2886">IF(FC121=1,-FB132-FC128,0)*IF(AND(FC111=$C116,$C122=1,$C121=0),0,1)</f>
        <v>0</v>
      </c>
      <c r="FD129" s="200">
        <f t="shared" ref="FD129" si="2887">IF(FD121=1,-FC132-FD128,0)*IF(AND(FD111=$C116,$C122=1,$C121=0),0,1)</f>
        <v>0</v>
      </c>
      <c r="FE129" s="200">
        <f t="shared" ref="FE129" si="2888">IF(FE121=1,-FD132-FE128,0)*IF(AND(FE111=$C116,$C122=1,$C121=0),0,1)</f>
        <v>0</v>
      </c>
      <c r="FF129" s="200">
        <f t="shared" ref="FF129" si="2889">IF(FF121=1,-FE132-FF128,0)*IF(AND(FF111=$C116,$C122=1,$C121=0),0,1)</f>
        <v>0</v>
      </c>
      <c r="FG129" s="200">
        <f t="shared" ref="FG129" si="2890">IF(FG121=1,-FF132-FG128,0)*IF(AND(FG111=$C116,$C122=1,$C121=0),0,1)</f>
        <v>0</v>
      </c>
      <c r="FH129" s="200">
        <f t="shared" ref="FH129" si="2891">IF(FH121=1,-FG132-FH128,0)*IF(AND(FH111=$C116,$C122=1,$C121=0),0,1)</f>
        <v>0</v>
      </c>
      <c r="FI129" s="200">
        <f t="shared" ref="FI129" si="2892">IF(FI121=1,-FH132-FI128,0)*IF(AND(FI111=$C116,$C122=1,$C121=0),0,1)</f>
        <v>0</v>
      </c>
      <c r="FJ129" s="200">
        <f t="shared" ref="FJ129" si="2893">IF(FJ121=1,-FI132-FJ128,0)*IF(AND(FJ111=$C116,$C122=1,$C121=0),0,1)</f>
        <v>0</v>
      </c>
      <c r="FK129" s="200">
        <f t="shared" ref="FK129" si="2894">IF(FK121=1,-FJ132-FK128,0)*IF(AND(FK111=$C116,$C122=1,$C121=0),0,1)</f>
        <v>0</v>
      </c>
      <c r="FL129" s="200">
        <f t="shared" ref="FL129" si="2895">IF(FL121=1,-FK132-FL128,0)*IF(AND(FL111=$C116,$C122=1,$C121=0),0,1)</f>
        <v>0</v>
      </c>
      <c r="FM129" s="200">
        <f t="shared" ref="FM129" si="2896">IF(FM121=1,-FL132-FM128,0)*IF(AND(FM111=$C116,$C122=1,$C121=0),0,1)</f>
        <v>0</v>
      </c>
      <c r="FN129" s="200">
        <f t="shared" ref="FN129" si="2897">IF(FN121=1,-FM132-FN128,0)*IF(AND(FN111=$C116,$C122=1,$C121=0),0,1)</f>
        <v>0</v>
      </c>
      <c r="FO129" s="200">
        <f t="shared" ref="FO129" si="2898">IF(FO121=1,-FN132-FO128,0)*IF(AND(FO111=$C116,$C122=1,$C121=0),0,1)</f>
        <v>0</v>
      </c>
      <c r="FP129" s="200">
        <f t="shared" ref="FP129" si="2899">IF(FP121=1,-FO132-FP128,0)*IF(AND(FP111=$C116,$C122=1,$C121=0),0,1)</f>
        <v>0</v>
      </c>
      <c r="FQ129" s="200">
        <f t="shared" ref="FQ129" si="2900">IF(FQ121=1,-FP132-FQ128,0)*IF(AND(FQ111=$C116,$C122=1,$C121=0),0,1)</f>
        <v>0</v>
      </c>
      <c r="FR129" s="200">
        <f t="shared" ref="FR129" si="2901">IF(FR121=1,-FQ132-FR128,0)*IF(AND(FR111=$C116,$C122=1,$C121=0),0,1)</f>
        <v>0</v>
      </c>
      <c r="FS129" s="200">
        <f t="shared" ref="FS129" si="2902">IF(FS121=1,-FR132-FS128,0)*IF(AND(FS111=$C116,$C122=1,$C121=0),0,1)</f>
        <v>0</v>
      </c>
      <c r="FT129" s="200">
        <f t="shared" ref="FT129" si="2903">IF(FT121=1,-FS132-FT128,0)*IF(AND(FT111=$C116,$C122=1,$C121=0),0,1)</f>
        <v>0</v>
      </c>
      <c r="FU129" s="200">
        <f t="shared" ref="FU129" si="2904">IF(FU121=1,-FT132-FU128,0)*IF(AND(FU111=$C116,$C122=1,$C121=0),0,1)</f>
        <v>0</v>
      </c>
      <c r="FV129" s="200">
        <f t="shared" ref="FV129" si="2905">IF(FV121=1,-FU132-FV128,0)*IF(AND(FV111=$C116,$C122=1,$C121=0),0,1)</f>
        <v>0</v>
      </c>
      <c r="FW129" s="200">
        <f t="shared" ref="FW129" si="2906">IF(FW121=1,-FV132-FW128,0)*IF(AND(FW111=$C116,$C122=1,$C121=0),0,1)</f>
        <v>0</v>
      </c>
      <c r="FX129" s="200">
        <f t="shared" ref="FX129" si="2907">IF(FX121=1,-FW132-FX128,0)*IF(AND(FX111=$C116,$C122=1,$C121=0),0,1)</f>
        <v>0</v>
      </c>
      <c r="FY129" s="200">
        <f t="shared" ref="FY129" si="2908">IF(FY121=1,-FX132-FY128,0)*IF(AND(FY111=$C116,$C122=1,$C121=0),0,1)</f>
        <v>0</v>
      </c>
      <c r="FZ129" s="200">
        <f t="shared" ref="FZ129" si="2909">IF(FZ121=1,-FY132-FZ128,0)*IF(AND(FZ111=$C116,$C122=1,$C121=0),0,1)</f>
        <v>0</v>
      </c>
      <c r="GA129" s="200">
        <f t="shared" ref="GA129" si="2910">IF(GA121=1,-FZ132-GA128,0)*IF(AND(GA111=$C116,$C122=1,$C121=0),0,1)</f>
        <v>0</v>
      </c>
      <c r="GB129" s="200">
        <f t="shared" ref="GB129" si="2911">IF(GB121=1,-GA132-GB128,0)*IF(AND(GB111=$C116,$C122=1,$C121=0),0,1)</f>
        <v>0</v>
      </c>
      <c r="GC129" s="200">
        <f t="shared" ref="GC129" si="2912">IF(GC121=1,-GB132-GC128,0)*IF(AND(GC111=$C116,$C122=1,$C121=0),0,1)</f>
        <v>0</v>
      </c>
      <c r="GD129" s="200">
        <f t="shared" ref="GD129" si="2913">IF(GD121=1,-GC132-GD128,0)*IF(AND(GD111=$C116,$C122=1,$C121=0),0,1)</f>
        <v>0</v>
      </c>
      <c r="GE129" s="200">
        <f t="shared" ref="GE129" si="2914">IF(GE121=1,-GD132-GE128,0)*IF(AND(GE111=$C116,$C122=1,$C121=0),0,1)</f>
        <v>0</v>
      </c>
      <c r="GF129" s="200">
        <f t="shared" ref="GF129" si="2915">IF(GF121=1,-GE132-GF128,0)*IF(AND(GF111=$C116,$C122=1,$C121=0),0,1)</f>
        <v>0</v>
      </c>
      <c r="GG129" s="200">
        <f t="shared" ref="GG129" si="2916">IF(GG121=1,-GF132-GG128,0)*IF(AND(GG111=$C116,$C122=1,$C121=0),0,1)</f>
        <v>0</v>
      </c>
      <c r="GH129" s="200">
        <f t="shared" ref="GH129" si="2917">IF(GH121=1,-GG132-GH128,0)*IF(AND(GH111=$C116,$C122=1,$C121=0),0,1)</f>
        <v>0</v>
      </c>
      <c r="GI129" s="200">
        <f t="shared" ref="GI129" si="2918">IF(GI121=1,-GH132-GI128,0)*IF(AND(GI111=$C116,$C122=1,$C121=0),0,1)</f>
        <v>0</v>
      </c>
      <c r="GJ129" s="200">
        <f t="shared" ref="GJ129" si="2919">IF(GJ121=1,-GI132-GJ128,0)*IF(AND(GJ111=$C116,$C122=1,$C121=0),0,1)</f>
        <v>0</v>
      </c>
      <c r="GK129" s="200">
        <f t="shared" ref="GK129" si="2920">IF(GK121=1,-GJ132-GK128,0)*IF(AND(GK111=$C116,$C122=1,$C121=0),0,1)</f>
        <v>0</v>
      </c>
      <c r="GL129" s="200">
        <f t="shared" ref="GL129" si="2921">IF(GL121=1,-GK132-GL128,0)*IF(AND(GL111=$C116,$C122=1,$C121=0),0,1)</f>
        <v>0</v>
      </c>
      <c r="GM129" s="200">
        <f t="shared" ref="GM129" si="2922">IF(GM121=1,-GL132-GM128,0)*IF(AND(GM111=$C116,$C122=1,$C121=0),0,1)</f>
        <v>0</v>
      </c>
      <c r="GN129" s="200">
        <f t="shared" ref="GN129" si="2923">IF(GN121=1,-GM132-GN128,0)*IF(AND(GN111=$C116,$C122=1,$C121=0),0,1)</f>
        <v>0</v>
      </c>
      <c r="GO129" s="200">
        <f t="shared" ref="GO129" si="2924">IF(GO121=1,-GN132-GO128,0)*IF(AND(GO111=$C116,$C122=1,$C121=0),0,1)</f>
        <v>0</v>
      </c>
      <c r="GP129" s="200">
        <f t="shared" ref="GP129" si="2925">IF(GP121=1,-GO132-GP128,0)*IF(AND(GP111=$C116,$C122=1,$C121=0),0,1)</f>
        <v>0</v>
      </c>
      <c r="GQ129" s="200">
        <f t="shared" ref="GQ129" si="2926">IF(GQ121=1,-GP132-GQ128,0)*IF(AND(GQ111=$C116,$C122=1,$C121=0),0,1)</f>
        <v>0</v>
      </c>
    </row>
    <row r="130" spans="2:199" hidden="1" outlineLevel="1">
      <c r="B130" s="190" t="s">
        <v>392</v>
      </c>
      <c r="C130" s="192"/>
      <c r="D130" s="194"/>
      <c r="E130" s="201">
        <f>-E116*LOOKUP($C113,$E111:$GQ111,$E126:$GQ126)</f>
        <v>0</v>
      </c>
      <c r="F130" s="201">
        <f t="shared" ref="F130:P130" si="2927">-F116*LOOKUP($C113,$E111:$GQ111,$E126:$GQ126)</f>
        <v>0</v>
      </c>
      <c r="G130" s="201">
        <f t="shared" si="2927"/>
        <v>0</v>
      </c>
      <c r="H130" s="201">
        <f t="shared" si="2927"/>
        <v>0</v>
      </c>
      <c r="I130" s="201">
        <f t="shared" si="2927"/>
        <v>0</v>
      </c>
      <c r="J130" s="201">
        <f t="shared" si="2927"/>
        <v>0</v>
      </c>
      <c r="K130" s="201">
        <f t="shared" si="2927"/>
        <v>-2954.6666666666665</v>
      </c>
      <c r="L130" s="201">
        <f t="shared" si="2927"/>
        <v>0</v>
      </c>
      <c r="M130" s="201">
        <f t="shared" si="2927"/>
        <v>0</v>
      </c>
      <c r="N130" s="201">
        <f t="shared" si="2927"/>
        <v>0</v>
      </c>
      <c r="O130" s="201">
        <f t="shared" si="2927"/>
        <v>0</v>
      </c>
      <c r="P130" s="201">
        <f t="shared" si="2927"/>
        <v>0</v>
      </c>
      <c r="Q130" s="201">
        <f t="shared" ref="Q130:AB130" si="2928">-Q116*LOOKUP($C113,$E111:$GQ111,$E126:$GQ126)</f>
        <v>-2954.6666666666665</v>
      </c>
      <c r="R130" s="201">
        <f t="shared" si="2928"/>
        <v>0</v>
      </c>
      <c r="S130" s="201">
        <f t="shared" si="2928"/>
        <v>0</v>
      </c>
      <c r="T130" s="201">
        <f t="shared" si="2928"/>
        <v>0</v>
      </c>
      <c r="U130" s="201">
        <f t="shared" si="2928"/>
        <v>0</v>
      </c>
      <c r="V130" s="201">
        <f t="shared" si="2928"/>
        <v>0</v>
      </c>
      <c r="W130" s="201">
        <f t="shared" si="2928"/>
        <v>-2954.6666666666665</v>
      </c>
      <c r="X130" s="201">
        <f t="shared" si="2928"/>
        <v>0</v>
      </c>
      <c r="Y130" s="201">
        <f t="shared" si="2928"/>
        <v>0</v>
      </c>
      <c r="Z130" s="201">
        <f t="shared" si="2928"/>
        <v>0</v>
      </c>
      <c r="AA130" s="201">
        <f t="shared" si="2928"/>
        <v>0</v>
      </c>
      <c r="AB130" s="201">
        <f t="shared" si="2928"/>
        <v>0</v>
      </c>
      <c r="AC130" s="201">
        <f t="shared" ref="AC130:CG130" si="2929">-AC116*LOOKUP($C113,$E111:$GQ111,$E126:$GQ126)</f>
        <v>-2954.6666666666665</v>
      </c>
      <c r="AD130" s="201">
        <f t="shared" si="2929"/>
        <v>0</v>
      </c>
      <c r="AE130" s="201">
        <f t="shared" si="2929"/>
        <v>0</v>
      </c>
      <c r="AF130" s="201">
        <f t="shared" si="2929"/>
        <v>0</v>
      </c>
      <c r="AG130" s="201">
        <f t="shared" si="2929"/>
        <v>0</v>
      </c>
      <c r="AH130" s="201">
        <f t="shared" si="2929"/>
        <v>0</v>
      </c>
      <c r="AI130" s="201">
        <f t="shared" si="2929"/>
        <v>-2954.6666666666665</v>
      </c>
      <c r="AJ130" s="201">
        <f t="shared" si="2929"/>
        <v>0</v>
      </c>
      <c r="AK130" s="201">
        <f t="shared" si="2929"/>
        <v>0</v>
      </c>
      <c r="AL130" s="201">
        <f t="shared" si="2929"/>
        <v>0</v>
      </c>
      <c r="AM130" s="201">
        <f t="shared" si="2929"/>
        <v>0</v>
      </c>
      <c r="AN130" s="201">
        <f t="shared" si="2929"/>
        <v>0</v>
      </c>
      <c r="AO130" s="201">
        <f t="shared" si="2929"/>
        <v>-2954.6666666666665</v>
      </c>
      <c r="AP130" s="201">
        <f t="shared" si="2929"/>
        <v>0</v>
      </c>
      <c r="AQ130" s="201">
        <f t="shared" si="2929"/>
        <v>0</v>
      </c>
      <c r="AR130" s="201">
        <f t="shared" si="2929"/>
        <v>0</v>
      </c>
      <c r="AS130" s="201">
        <f t="shared" si="2929"/>
        <v>0</v>
      </c>
      <c r="AT130" s="201">
        <f t="shared" si="2929"/>
        <v>0</v>
      </c>
      <c r="AU130" s="201">
        <f t="shared" si="2929"/>
        <v>0</v>
      </c>
      <c r="AV130" s="201">
        <f t="shared" si="2929"/>
        <v>0</v>
      </c>
      <c r="AW130" s="201">
        <f t="shared" si="2929"/>
        <v>0</v>
      </c>
      <c r="AX130" s="201">
        <f t="shared" si="2929"/>
        <v>0</v>
      </c>
      <c r="AY130" s="201">
        <f t="shared" si="2929"/>
        <v>0</v>
      </c>
      <c r="AZ130" s="201">
        <f t="shared" si="2929"/>
        <v>0</v>
      </c>
      <c r="BA130" s="201">
        <f t="shared" si="2929"/>
        <v>0</v>
      </c>
      <c r="BB130" s="201">
        <f t="shared" si="2929"/>
        <v>0</v>
      </c>
      <c r="BC130" s="201">
        <f t="shared" si="2929"/>
        <v>0</v>
      </c>
      <c r="BD130" s="201">
        <f t="shared" si="2929"/>
        <v>0</v>
      </c>
      <c r="BE130" s="201">
        <f t="shared" si="2929"/>
        <v>0</v>
      </c>
      <c r="BF130" s="201">
        <f t="shared" si="2929"/>
        <v>0</v>
      </c>
      <c r="BG130" s="201">
        <f t="shared" si="2929"/>
        <v>0</v>
      </c>
      <c r="BH130" s="201">
        <f t="shared" si="2929"/>
        <v>0</v>
      </c>
      <c r="BI130" s="201">
        <f t="shared" si="2929"/>
        <v>0</v>
      </c>
      <c r="BJ130" s="201">
        <f t="shared" si="2929"/>
        <v>0</v>
      </c>
      <c r="BK130" s="201">
        <f t="shared" si="2929"/>
        <v>0</v>
      </c>
      <c r="BL130" s="201">
        <f t="shared" si="2929"/>
        <v>0</v>
      </c>
      <c r="BM130" s="201">
        <f t="shared" si="2929"/>
        <v>0</v>
      </c>
      <c r="BN130" s="201">
        <f t="shared" si="2929"/>
        <v>0</v>
      </c>
      <c r="BO130" s="201">
        <f t="shared" si="2929"/>
        <v>0</v>
      </c>
      <c r="BP130" s="201">
        <f t="shared" si="2929"/>
        <v>0</v>
      </c>
      <c r="BQ130" s="201">
        <f t="shared" si="2929"/>
        <v>0</v>
      </c>
      <c r="BR130" s="201">
        <f t="shared" si="2929"/>
        <v>0</v>
      </c>
      <c r="BS130" s="201">
        <f t="shared" si="2929"/>
        <v>0</v>
      </c>
      <c r="BT130" s="201">
        <f t="shared" si="2929"/>
        <v>0</v>
      </c>
      <c r="BU130" s="201">
        <f t="shared" si="2929"/>
        <v>0</v>
      </c>
      <c r="BV130" s="201">
        <f t="shared" si="2929"/>
        <v>0</v>
      </c>
      <c r="BW130" s="201">
        <f t="shared" si="2929"/>
        <v>0</v>
      </c>
      <c r="BX130" s="201">
        <f t="shared" si="2929"/>
        <v>0</v>
      </c>
      <c r="BY130" s="201">
        <f t="shared" si="2929"/>
        <v>0</v>
      </c>
      <c r="BZ130" s="201">
        <f t="shared" si="2929"/>
        <v>0</v>
      </c>
      <c r="CA130" s="201">
        <f t="shared" si="2929"/>
        <v>0</v>
      </c>
      <c r="CB130" s="201">
        <f t="shared" si="2929"/>
        <v>0</v>
      </c>
      <c r="CC130" s="201">
        <f t="shared" si="2929"/>
        <v>0</v>
      </c>
      <c r="CD130" s="201">
        <f t="shared" si="2929"/>
        <v>0</v>
      </c>
      <c r="CE130" s="201">
        <f t="shared" si="2929"/>
        <v>0</v>
      </c>
      <c r="CF130" s="201">
        <f t="shared" si="2929"/>
        <v>0</v>
      </c>
      <c r="CG130" s="201">
        <f t="shared" si="2929"/>
        <v>0</v>
      </c>
      <c r="CH130" s="201">
        <f t="shared" ref="CH130:ES130" si="2930">-CH116*LOOKUP($C113,$E111:$GQ111,$E126:$GQ126)</f>
        <v>0</v>
      </c>
      <c r="CI130" s="201">
        <f t="shared" si="2930"/>
        <v>0</v>
      </c>
      <c r="CJ130" s="201">
        <f t="shared" si="2930"/>
        <v>0</v>
      </c>
      <c r="CK130" s="201">
        <f t="shared" si="2930"/>
        <v>0</v>
      </c>
      <c r="CL130" s="201">
        <f t="shared" si="2930"/>
        <v>0</v>
      </c>
      <c r="CM130" s="201">
        <f t="shared" si="2930"/>
        <v>0</v>
      </c>
      <c r="CN130" s="201">
        <f t="shared" si="2930"/>
        <v>0</v>
      </c>
      <c r="CO130" s="201">
        <f t="shared" si="2930"/>
        <v>0</v>
      </c>
      <c r="CP130" s="201">
        <f t="shared" si="2930"/>
        <v>0</v>
      </c>
      <c r="CQ130" s="201">
        <f t="shared" si="2930"/>
        <v>0</v>
      </c>
      <c r="CR130" s="201">
        <f t="shared" si="2930"/>
        <v>0</v>
      </c>
      <c r="CS130" s="201">
        <f t="shared" si="2930"/>
        <v>0</v>
      </c>
      <c r="CT130" s="201">
        <f t="shared" si="2930"/>
        <v>0</v>
      </c>
      <c r="CU130" s="201">
        <f t="shared" si="2930"/>
        <v>0</v>
      </c>
      <c r="CV130" s="201">
        <f t="shared" si="2930"/>
        <v>0</v>
      </c>
      <c r="CW130" s="201">
        <f t="shared" si="2930"/>
        <v>0</v>
      </c>
      <c r="CX130" s="201">
        <f t="shared" si="2930"/>
        <v>0</v>
      </c>
      <c r="CY130" s="201">
        <f t="shared" si="2930"/>
        <v>0</v>
      </c>
      <c r="CZ130" s="201">
        <f t="shared" si="2930"/>
        <v>0</v>
      </c>
      <c r="DA130" s="201">
        <f t="shared" si="2930"/>
        <v>0</v>
      </c>
      <c r="DB130" s="201">
        <f t="shared" si="2930"/>
        <v>0</v>
      </c>
      <c r="DC130" s="201">
        <f t="shared" si="2930"/>
        <v>0</v>
      </c>
      <c r="DD130" s="201">
        <f t="shared" si="2930"/>
        <v>0</v>
      </c>
      <c r="DE130" s="201">
        <f t="shared" si="2930"/>
        <v>0</v>
      </c>
      <c r="DF130" s="201">
        <f t="shared" si="2930"/>
        <v>0</v>
      </c>
      <c r="DG130" s="201">
        <f t="shared" si="2930"/>
        <v>0</v>
      </c>
      <c r="DH130" s="201">
        <f t="shared" si="2930"/>
        <v>0</v>
      </c>
      <c r="DI130" s="201">
        <f t="shared" si="2930"/>
        <v>0</v>
      </c>
      <c r="DJ130" s="201">
        <f t="shared" si="2930"/>
        <v>0</v>
      </c>
      <c r="DK130" s="201">
        <f t="shared" si="2930"/>
        <v>0</v>
      </c>
      <c r="DL130" s="201">
        <f t="shared" si="2930"/>
        <v>0</v>
      </c>
      <c r="DM130" s="201">
        <f t="shared" si="2930"/>
        <v>0</v>
      </c>
      <c r="DN130" s="201">
        <f t="shared" si="2930"/>
        <v>0</v>
      </c>
      <c r="DO130" s="201">
        <f t="shared" si="2930"/>
        <v>0</v>
      </c>
      <c r="DP130" s="201">
        <f t="shared" si="2930"/>
        <v>0</v>
      </c>
      <c r="DQ130" s="201">
        <f t="shared" si="2930"/>
        <v>0</v>
      </c>
      <c r="DR130" s="201">
        <f t="shared" si="2930"/>
        <v>0</v>
      </c>
      <c r="DS130" s="201">
        <f t="shared" si="2930"/>
        <v>0</v>
      </c>
      <c r="DT130" s="201">
        <f t="shared" si="2930"/>
        <v>0</v>
      </c>
      <c r="DU130" s="201">
        <f t="shared" si="2930"/>
        <v>0</v>
      </c>
      <c r="DV130" s="201">
        <f t="shared" si="2930"/>
        <v>0</v>
      </c>
      <c r="DW130" s="201">
        <f t="shared" si="2930"/>
        <v>0</v>
      </c>
      <c r="DX130" s="201">
        <f t="shared" si="2930"/>
        <v>0</v>
      </c>
      <c r="DY130" s="201">
        <f t="shared" si="2930"/>
        <v>0</v>
      </c>
      <c r="DZ130" s="201">
        <f t="shared" si="2930"/>
        <v>0</v>
      </c>
      <c r="EA130" s="201">
        <f t="shared" si="2930"/>
        <v>0</v>
      </c>
      <c r="EB130" s="201">
        <f t="shared" si="2930"/>
        <v>0</v>
      </c>
      <c r="EC130" s="201">
        <f t="shared" si="2930"/>
        <v>0</v>
      </c>
      <c r="ED130" s="201">
        <f t="shared" si="2930"/>
        <v>0</v>
      </c>
      <c r="EE130" s="201">
        <f t="shared" si="2930"/>
        <v>0</v>
      </c>
      <c r="EF130" s="201">
        <f t="shared" si="2930"/>
        <v>0</v>
      </c>
      <c r="EG130" s="201">
        <f t="shared" si="2930"/>
        <v>0</v>
      </c>
      <c r="EH130" s="201">
        <f t="shared" si="2930"/>
        <v>0</v>
      </c>
      <c r="EI130" s="201">
        <f t="shared" si="2930"/>
        <v>0</v>
      </c>
      <c r="EJ130" s="201">
        <f t="shared" si="2930"/>
        <v>0</v>
      </c>
      <c r="EK130" s="201">
        <f t="shared" si="2930"/>
        <v>0</v>
      </c>
      <c r="EL130" s="201">
        <f t="shared" si="2930"/>
        <v>0</v>
      </c>
      <c r="EM130" s="201">
        <f t="shared" si="2930"/>
        <v>0</v>
      </c>
      <c r="EN130" s="201">
        <f t="shared" si="2930"/>
        <v>0</v>
      </c>
      <c r="EO130" s="201">
        <f t="shared" si="2930"/>
        <v>0</v>
      </c>
      <c r="EP130" s="201">
        <f t="shared" si="2930"/>
        <v>0</v>
      </c>
      <c r="EQ130" s="201">
        <f t="shared" si="2930"/>
        <v>0</v>
      </c>
      <c r="ER130" s="201">
        <f t="shared" si="2930"/>
        <v>0</v>
      </c>
      <c r="ES130" s="201">
        <f t="shared" si="2930"/>
        <v>0</v>
      </c>
      <c r="ET130" s="201">
        <f t="shared" ref="ET130:GQ130" si="2931">-ET116*LOOKUP($C113,$E111:$GQ111,$E126:$GQ126)</f>
        <v>0</v>
      </c>
      <c r="EU130" s="201">
        <f t="shared" si="2931"/>
        <v>0</v>
      </c>
      <c r="EV130" s="201">
        <f t="shared" si="2931"/>
        <v>0</v>
      </c>
      <c r="EW130" s="201">
        <f t="shared" si="2931"/>
        <v>0</v>
      </c>
      <c r="EX130" s="201">
        <f t="shared" si="2931"/>
        <v>0</v>
      </c>
      <c r="EY130" s="201">
        <f t="shared" si="2931"/>
        <v>0</v>
      </c>
      <c r="EZ130" s="201">
        <f t="shared" si="2931"/>
        <v>0</v>
      </c>
      <c r="FA130" s="201">
        <f t="shared" si="2931"/>
        <v>0</v>
      </c>
      <c r="FB130" s="201">
        <f t="shared" si="2931"/>
        <v>0</v>
      </c>
      <c r="FC130" s="201">
        <f t="shared" si="2931"/>
        <v>0</v>
      </c>
      <c r="FD130" s="201">
        <f t="shared" si="2931"/>
        <v>0</v>
      </c>
      <c r="FE130" s="201">
        <f t="shared" si="2931"/>
        <v>0</v>
      </c>
      <c r="FF130" s="201">
        <f t="shared" si="2931"/>
        <v>0</v>
      </c>
      <c r="FG130" s="201">
        <f t="shared" si="2931"/>
        <v>0</v>
      </c>
      <c r="FH130" s="201">
        <f t="shared" si="2931"/>
        <v>0</v>
      </c>
      <c r="FI130" s="201">
        <f t="shared" si="2931"/>
        <v>0</v>
      </c>
      <c r="FJ130" s="201">
        <f t="shared" si="2931"/>
        <v>0</v>
      </c>
      <c r="FK130" s="201">
        <f t="shared" si="2931"/>
        <v>0</v>
      </c>
      <c r="FL130" s="201">
        <f t="shared" si="2931"/>
        <v>0</v>
      </c>
      <c r="FM130" s="201">
        <f t="shared" si="2931"/>
        <v>0</v>
      </c>
      <c r="FN130" s="201">
        <f t="shared" si="2931"/>
        <v>0</v>
      </c>
      <c r="FO130" s="201">
        <f t="shared" si="2931"/>
        <v>0</v>
      </c>
      <c r="FP130" s="201">
        <f t="shared" si="2931"/>
        <v>0</v>
      </c>
      <c r="FQ130" s="201">
        <f t="shared" si="2931"/>
        <v>0</v>
      </c>
      <c r="FR130" s="201">
        <f t="shared" si="2931"/>
        <v>0</v>
      </c>
      <c r="FS130" s="201">
        <f t="shared" si="2931"/>
        <v>0</v>
      </c>
      <c r="FT130" s="201">
        <f t="shared" si="2931"/>
        <v>0</v>
      </c>
      <c r="FU130" s="201">
        <f t="shared" si="2931"/>
        <v>0</v>
      </c>
      <c r="FV130" s="201">
        <f t="shared" si="2931"/>
        <v>0</v>
      </c>
      <c r="FW130" s="201">
        <f t="shared" si="2931"/>
        <v>0</v>
      </c>
      <c r="FX130" s="201">
        <f t="shared" si="2931"/>
        <v>0</v>
      </c>
      <c r="FY130" s="201">
        <f t="shared" si="2931"/>
        <v>0</v>
      </c>
      <c r="FZ130" s="201">
        <f t="shared" si="2931"/>
        <v>0</v>
      </c>
      <c r="GA130" s="201">
        <f t="shared" si="2931"/>
        <v>0</v>
      </c>
      <c r="GB130" s="201">
        <f t="shared" si="2931"/>
        <v>0</v>
      </c>
      <c r="GC130" s="201">
        <f t="shared" si="2931"/>
        <v>0</v>
      </c>
      <c r="GD130" s="201">
        <f t="shared" si="2931"/>
        <v>0</v>
      </c>
      <c r="GE130" s="201">
        <f t="shared" si="2931"/>
        <v>0</v>
      </c>
      <c r="GF130" s="201">
        <f t="shared" si="2931"/>
        <v>0</v>
      </c>
      <c r="GG130" s="201">
        <f t="shared" si="2931"/>
        <v>0</v>
      </c>
      <c r="GH130" s="201">
        <f t="shared" si="2931"/>
        <v>0</v>
      </c>
      <c r="GI130" s="201">
        <f t="shared" si="2931"/>
        <v>0</v>
      </c>
      <c r="GJ130" s="201">
        <f t="shared" si="2931"/>
        <v>0</v>
      </c>
      <c r="GK130" s="201">
        <f t="shared" si="2931"/>
        <v>0</v>
      </c>
      <c r="GL130" s="201">
        <f t="shared" si="2931"/>
        <v>0</v>
      </c>
      <c r="GM130" s="201">
        <f t="shared" si="2931"/>
        <v>0</v>
      </c>
      <c r="GN130" s="201">
        <f t="shared" si="2931"/>
        <v>0</v>
      </c>
      <c r="GO130" s="201">
        <f t="shared" si="2931"/>
        <v>0</v>
      </c>
      <c r="GP130" s="201">
        <f t="shared" si="2931"/>
        <v>0</v>
      </c>
      <c r="GQ130" s="201">
        <f t="shared" si="2931"/>
        <v>0</v>
      </c>
    </row>
    <row r="131" spans="2:199" s="154" customFormat="1" hidden="1" outlineLevel="1">
      <c r="B131" s="190" t="s">
        <v>393</v>
      </c>
      <c r="C131" s="195"/>
      <c r="D131" s="188"/>
      <c r="E131" s="189">
        <v>0</v>
      </c>
      <c r="F131" s="189">
        <f t="shared" ref="F131:BP131" si="2932">IF(SUM(F125:F130)&lt;0.00000001,ROUND(SUM(F125:F130),7),SUM(F125:F130))</f>
        <v>0</v>
      </c>
      <c r="G131" s="189">
        <v>17728</v>
      </c>
      <c r="H131" s="189">
        <f t="shared" si="2932"/>
        <v>17909.446080000002</v>
      </c>
      <c r="I131" s="189">
        <f t="shared" si="2932"/>
        <v>18061.855466140802</v>
      </c>
      <c r="J131" s="189">
        <f t="shared" si="2932"/>
        <v>18230.101649807904</v>
      </c>
      <c r="K131" s="189">
        <f t="shared" si="2932"/>
        <v>14773.333333333334</v>
      </c>
      <c r="L131" s="189">
        <f t="shared" si="2932"/>
        <v>14898.974275461644</v>
      </c>
      <c r="M131" s="189">
        <f t="shared" si="2932"/>
        <v>15008.008732011762</v>
      </c>
      <c r="N131" s="189">
        <f t="shared" si="2932"/>
        <v>15127.546198124413</v>
      </c>
      <c r="O131" s="189">
        <f t="shared" si="2932"/>
        <v>15251.403956902013</v>
      </c>
      <c r="P131" s="189">
        <f t="shared" si="2932"/>
        <v>15354.289540606436</v>
      </c>
      <c r="Q131" s="189">
        <f t="shared" si="2932"/>
        <v>11818.666666666668</v>
      </c>
      <c r="R131" s="189">
        <f t="shared" si="2932"/>
        <v>11902.652520124022</v>
      </c>
      <c r="S131" s="189">
        <f t="shared" si="2932"/>
        <v>11987.235194168667</v>
      </c>
      <c r="T131" s="189">
        <f t="shared" si="2932"/>
        <v>12081.059267530964</v>
      </c>
      <c r="U131" s="189">
        <f t="shared" si="2932"/>
        <v>12158.207191453133</v>
      </c>
      <c r="V131" s="189">
        <f t="shared" si="2932"/>
        <v>12244.605889063036</v>
      </c>
      <c r="W131" s="189">
        <f t="shared" si="2932"/>
        <v>8864</v>
      </c>
      <c r="X131" s="189">
        <f t="shared" si="2932"/>
        <v>8930.183455637969</v>
      </c>
      <c r="Y131" s="189">
        <f t="shared" si="2932"/>
        <v>8993.6431588520227</v>
      </c>
      <c r="Z131" s="189">
        <f t="shared" si="2932"/>
        <v>9067.27919144527</v>
      </c>
      <c r="AA131" s="189">
        <f t="shared" si="2932"/>
        <v>9138.2487731940637</v>
      </c>
      <c r="AB131" s="189">
        <f t="shared" si="2932"/>
        <v>9208.5152049020689</v>
      </c>
      <c r="AC131" s="189">
        <f t="shared" si="2932"/>
        <v>5909.3333333333358</v>
      </c>
      <c r="AD131" s="189">
        <f t="shared" si="2932"/>
        <v>5957.6891172972646</v>
      </c>
      <c r="AE131" s="189">
        <f t="shared" si="2932"/>
        <v>6010.0921241871201</v>
      </c>
      <c r="AF131" s="189">
        <f t="shared" si="2932"/>
        <v>6065.5056979757592</v>
      </c>
      <c r="AG131" s="189">
        <f t="shared" si="2932"/>
        <v>6116.2848409501694</v>
      </c>
      <c r="AH131" s="189">
        <f t="shared" si="2932"/>
        <v>6164.8963078555471</v>
      </c>
      <c r="AI131" s="189">
        <f t="shared" si="2932"/>
        <v>2954.6666666666702</v>
      </c>
      <c r="AJ131" s="189">
        <f t="shared" si="2932"/>
        <v>2980.6555047282309</v>
      </c>
      <c r="AK131" s="189">
        <f t="shared" si="2932"/>
        <v>3005.6089281637355</v>
      </c>
      <c r="AL131" s="189">
        <f t="shared" si="2932"/>
        <v>3034.5964289316516</v>
      </c>
      <c r="AM131" s="189">
        <f t="shared" si="2932"/>
        <v>3061.2883180924237</v>
      </c>
      <c r="AN131" s="189">
        <f t="shared" si="2932"/>
        <v>3089.5136634944056</v>
      </c>
      <c r="AO131" s="189">
        <f t="shared" si="2932"/>
        <v>0</v>
      </c>
      <c r="AP131" s="189">
        <f t="shared" si="2932"/>
        <v>0</v>
      </c>
      <c r="AQ131" s="189">
        <f t="shared" si="2932"/>
        <v>0</v>
      </c>
      <c r="AR131" s="189">
        <f t="shared" si="2932"/>
        <v>0</v>
      </c>
      <c r="AS131" s="189">
        <f t="shared" si="2932"/>
        <v>0</v>
      </c>
      <c r="AT131" s="189">
        <f t="shared" si="2932"/>
        <v>0</v>
      </c>
      <c r="AU131" s="189">
        <f t="shared" si="2932"/>
        <v>0</v>
      </c>
      <c r="AV131" s="189">
        <f t="shared" si="2932"/>
        <v>0</v>
      </c>
      <c r="AW131" s="189">
        <f t="shared" si="2932"/>
        <v>0</v>
      </c>
      <c r="AX131" s="189">
        <f t="shared" si="2932"/>
        <v>0</v>
      </c>
      <c r="AY131" s="189">
        <f t="shared" si="2932"/>
        <v>0</v>
      </c>
      <c r="AZ131" s="189">
        <f t="shared" si="2932"/>
        <v>0</v>
      </c>
      <c r="BA131" s="189">
        <f t="shared" si="2932"/>
        <v>0</v>
      </c>
      <c r="BB131" s="189">
        <f t="shared" si="2932"/>
        <v>0</v>
      </c>
      <c r="BC131" s="189">
        <f t="shared" si="2932"/>
        <v>0</v>
      </c>
      <c r="BD131" s="189">
        <f t="shared" si="2932"/>
        <v>0</v>
      </c>
      <c r="BE131" s="189">
        <f t="shared" si="2932"/>
        <v>0</v>
      </c>
      <c r="BF131" s="189">
        <f t="shared" si="2932"/>
        <v>0</v>
      </c>
      <c r="BG131" s="189">
        <f t="shared" si="2932"/>
        <v>0</v>
      </c>
      <c r="BH131" s="189">
        <f t="shared" si="2932"/>
        <v>0</v>
      </c>
      <c r="BI131" s="189">
        <f t="shared" si="2932"/>
        <v>0</v>
      </c>
      <c r="BJ131" s="189">
        <f t="shared" si="2932"/>
        <v>0</v>
      </c>
      <c r="BK131" s="189">
        <f t="shared" si="2932"/>
        <v>0</v>
      </c>
      <c r="BL131" s="189">
        <f t="shared" si="2932"/>
        <v>0</v>
      </c>
      <c r="BM131" s="189">
        <f t="shared" si="2932"/>
        <v>0</v>
      </c>
      <c r="BN131" s="189">
        <f t="shared" si="2932"/>
        <v>0</v>
      </c>
      <c r="BO131" s="189">
        <f t="shared" si="2932"/>
        <v>0</v>
      </c>
      <c r="BP131" s="189">
        <f t="shared" si="2932"/>
        <v>0</v>
      </c>
      <c r="BQ131" s="189">
        <f t="shared" ref="BQ131:EB131" si="2933">IF(SUM(BQ125:BQ130)&lt;0.00000001,ROUND(SUM(BQ125:BQ130),7),SUM(BQ125:BQ130))</f>
        <v>0</v>
      </c>
      <c r="BR131" s="189">
        <f t="shared" si="2933"/>
        <v>0</v>
      </c>
      <c r="BS131" s="189">
        <f t="shared" si="2933"/>
        <v>0</v>
      </c>
      <c r="BT131" s="189">
        <f t="shared" si="2933"/>
        <v>0</v>
      </c>
      <c r="BU131" s="189">
        <f t="shared" si="2933"/>
        <v>0</v>
      </c>
      <c r="BV131" s="189">
        <f t="shared" si="2933"/>
        <v>0</v>
      </c>
      <c r="BW131" s="189">
        <f t="shared" si="2933"/>
        <v>0</v>
      </c>
      <c r="BX131" s="189">
        <f t="shared" si="2933"/>
        <v>0</v>
      </c>
      <c r="BY131" s="189">
        <f t="shared" si="2933"/>
        <v>0</v>
      </c>
      <c r="BZ131" s="189">
        <f t="shared" si="2933"/>
        <v>0</v>
      </c>
      <c r="CA131" s="189">
        <f t="shared" si="2933"/>
        <v>0</v>
      </c>
      <c r="CB131" s="189">
        <f t="shared" si="2933"/>
        <v>0</v>
      </c>
      <c r="CC131" s="189">
        <f t="shared" si="2933"/>
        <v>0</v>
      </c>
      <c r="CD131" s="189">
        <f t="shared" si="2933"/>
        <v>0</v>
      </c>
      <c r="CE131" s="189">
        <f t="shared" si="2933"/>
        <v>0</v>
      </c>
      <c r="CF131" s="189">
        <f t="shared" si="2933"/>
        <v>0</v>
      </c>
      <c r="CG131" s="189">
        <f t="shared" si="2933"/>
        <v>0</v>
      </c>
      <c r="CH131" s="189">
        <f t="shared" si="2933"/>
        <v>0</v>
      </c>
      <c r="CI131" s="189">
        <f t="shared" si="2933"/>
        <v>0</v>
      </c>
      <c r="CJ131" s="189">
        <f t="shared" si="2933"/>
        <v>0</v>
      </c>
      <c r="CK131" s="189">
        <f t="shared" si="2933"/>
        <v>0</v>
      </c>
      <c r="CL131" s="189">
        <f t="shared" si="2933"/>
        <v>0</v>
      </c>
      <c r="CM131" s="189">
        <f t="shared" si="2933"/>
        <v>0</v>
      </c>
      <c r="CN131" s="189">
        <f t="shared" si="2933"/>
        <v>0</v>
      </c>
      <c r="CO131" s="189">
        <f t="shared" si="2933"/>
        <v>0</v>
      </c>
      <c r="CP131" s="189">
        <f t="shared" si="2933"/>
        <v>0</v>
      </c>
      <c r="CQ131" s="189">
        <f t="shared" si="2933"/>
        <v>0</v>
      </c>
      <c r="CR131" s="189">
        <f t="shared" si="2933"/>
        <v>0</v>
      </c>
      <c r="CS131" s="189">
        <f t="shared" si="2933"/>
        <v>0</v>
      </c>
      <c r="CT131" s="189">
        <f t="shared" si="2933"/>
        <v>0</v>
      </c>
      <c r="CU131" s="189">
        <f t="shared" si="2933"/>
        <v>0</v>
      </c>
      <c r="CV131" s="189">
        <f t="shared" si="2933"/>
        <v>0</v>
      </c>
      <c r="CW131" s="189">
        <f t="shared" si="2933"/>
        <v>0</v>
      </c>
      <c r="CX131" s="189">
        <f t="shared" si="2933"/>
        <v>0</v>
      </c>
      <c r="CY131" s="189">
        <f t="shared" si="2933"/>
        <v>0</v>
      </c>
      <c r="CZ131" s="189">
        <f t="shared" si="2933"/>
        <v>0</v>
      </c>
      <c r="DA131" s="189">
        <f t="shared" si="2933"/>
        <v>0</v>
      </c>
      <c r="DB131" s="189">
        <f t="shared" si="2933"/>
        <v>0</v>
      </c>
      <c r="DC131" s="189">
        <f t="shared" si="2933"/>
        <v>0</v>
      </c>
      <c r="DD131" s="189">
        <f t="shared" si="2933"/>
        <v>0</v>
      </c>
      <c r="DE131" s="189">
        <f t="shared" si="2933"/>
        <v>0</v>
      </c>
      <c r="DF131" s="189">
        <f t="shared" si="2933"/>
        <v>0</v>
      </c>
      <c r="DG131" s="189">
        <f t="shared" si="2933"/>
        <v>0</v>
      </c>
      <c r="DH131" s="189">
        <f t="shared" si="2933"/>
        <v>0</v>
      </c>
      <c r="DI131" s="189">
        <f t="shared" si="2933"/>
        <v>0</v>
      </c>
      <c r="DJ131" s="189">
        <f t="shared" si="2933"/>
        <v>0</v>
      </c>
      <c r="DK131" s="189">
        <f t="shared" si="2933"/>
        <v>0</v>
      </c>
      <c r="DL131" s="189">
        <f t="shared" si="2933"/>
        <v>0</v>
      </c>
      <c r="DM131" s="189">
        <f t="shared" si="2933"/>
        <v>0</v>
      </c>
      <c r="DN131" s="189">
        <f t="shared" si="2933"/>
        <v>0</v>
      </c>
      <c r="DO131" s="189">
        <f t="shared" si="2933"/>
        <v>0</v>
      </c>
      <c r="DP131" s="189">
        <f t="shared" si="2933"/>
        <v>0</v>
      </c>
      <c r="DQ131" s="189">
        <f t="shared" si="2933"/>
        <v>0</v>
      </c>
      <c r="DR131" s="189">
        <f t="shared" si="2933"/>
        <v>0</v>
      </c>
      <c r="DS131" s="189">
        <f t="shared" si="2933"/>
        <v>0</v>
      </c>
      <c r="DT131" s="189">
        <f t="shared" si="2933"/>
        <v>0</v>
      </c>
      <c r="DU131" s="189">
        <f t="shared" si="2933"/>
        <v>0</v>
      </c>
      <c r="DV131" s="189">
        <f t="shared" si="2933"/>
        <v>0</v>
      </c>
      <c r="DW131" s="189">
        <f t="shared" si="2933"/>
        <v>0</v>
      </c>
      <c r="DX131" s="189">
        <f t="shared" si="2933"/>
        <v>0</v>
      </c>
      <c r="DY131" s="189">
        <f t="shared" si="2933"/>
        <v>0</v>
      </c>
      <c r="DZ131" s="189">
        <f t="shared" si="2933"/>
        <v>0</v>
      </c>
      <c r="EA131" s="189">
        <f t="shared" si="2933"/>
        <v>0</v>
      </c>
      <c r="EB131" s="189">
        <f t="shared" si="2933"/>
        <v>0</v>
      </c>
      <c r="EC131" s="189">
        <f t="shared" ref="EC131:GN131" si="2934">IF(SUM(EC125:EC130)&lt;0.00000001,ROUND(SUM(EC125:EC130),7),SUM(EC125:EC130))</f>
        <v>0</v>
      </c>
      <c r="ED131" s="189">
        <f t="shared" si="2934"/>
        <v>0</v>
      </c>
      <c r="EE131" s="189">
        <f t="shared" si="2934"/>
        <v>0</v>
      </c>
      <c r="EF131" s="189">
        <f t="shared" si="2934"/>
        <v>0</v>
      </c>
      <c r="EG131" s="189">
        <f t="shared" si="2934"/>
        <v>0</v>
      </c>
      <c r="EH131" s="189">
        <f t="shared" si="2934"/>
        <v>0</v>
      </c>
      <c r="EI131" s="189">
        <f t="shared" si="2934"/>
        <v>0</v>
      </c>
      <c r="EJ131" s="189">
        <f t="shared" si="2934"/>
        <v>0</v>
      </c>
      <c r="EK131" s="189">
        <f t="shared" si="2934"/>
        <v>0</v>
      </c>
      <c r="EL131" s="189">
        <f t="shared" si="2934"/>
        <v>0</v>
      </c>
      <c r="EM131" s="189">
        <f t="shared" si="2934"/>
        <v>0</v>
      </c>
      <c r="EN131" s="189">
        <f t="shared" si="2934"/>
        <v>0</v>
      </c>
      <c r="EO131" s="189">
        <f t="shared" si="2934"/>
        <v>0</v>
      </c>
      <c r="EP131" s="189">
        <f t="shared" si="2934"/>
        <v>0</v>
      </c>
      <c r="EQ131" s="189">
        <f t="shared" si="2934"/>
        <v>0</v>
      </c>
      <c r="ER131" s="189">
        <f t="shared" si="2934"/>
        <v>0</v>
      </c>
      <c r="ES131" s="189">
        <f t="shared" si="2934"/>
        <v>0</v>
      </c>
      <c r="ET131" s="189">
        <f t="shared" si="2934"/>
        <v>0</v>
      </c>
      <c r="EU131" s="189">
        <f t="shared" si="2934"/>
        <v>0</v>
      </c>
      <c r="EV131" s="189">
        <f t="shared" si="2934"/>
        <v>0</v>
      </c>
      <c r="EW131" s="189">
        <f t="shared" si="2934"/>
        <v>0</v>
      </c>
      <c r="EX131" s="189">
        <f t="shared" si="2934"/>
        <v>0</v>
      </c>
      <c r="EY131" s="189">
        <f t="shared" si="2934"/>
        <v>0</v>
      </c>
      <c r="EZ131" s="189">
        <f t="shared" si="2934"/>
        <v>0</v>
      </c>
      <c r="FA131" s="189">
        <f t="shared" si="2934"/>
        <v>0</v>
      </c>
      <c r="FB131" s="189">
        <f t="shared" si="2934"/>
        <v>0</v>
      </c>
      <c r="FC131" s="189">
        <f t="shared" si="2934"/>
        <v>0</v>
      </c>
      <c r="FD131" s="189">
        <f t="shared" si="2934"/>
        <v>0</v>
      </c>
      <c r="FE131" s="189">
        <f t="shared" si="2934"/>
        <v>0</v>
      </c>
      <c r="FF131" s="189">
        <f t="shared" si="2934"/>
        <v>0</v>
      </c>
      <c r="FG131" s="189">
        <f t="shared" si="2934"/>
        <v>0</v>
      </c>
      <c r="FH131" s="189">
        <f t="shared" si="2934"/>
        <v>0</v>
      </c>
      <c r="FI131" s="189">
        <f t="shared" si="2934"/>
        <v>0</v>
      </c>
      <c r="FJ131" s="189">
        <f t="shared" si="2934"/>
        <v>0</v>
      </c>
      <c r="FK131" s="189">
        <f t="shared" si="2934"/>
        <v>0</v>
      </c>
      <c r="FL131" s="189">
        <f t="shared" si="2934"/>
        <v>0</v>
      </c>
      <c r="FM131" s="189">
        <f t="shared" si="2934"/>
        <v>0</v>
      </c>
      <c r="FN131" s="189">
        <f t="shared" si="2934"/>
        <v>0</v>
      </c>
      <c r="FO131" s="189">
        <f t="shared" si="2934"/>
        <v>0</v>
      </c>
      <c r="FP131" s="189">
        <f t="shared" si="2934"/>
        <v>0</v>
      </c>
      <c r="FQ131" s="189">
        <f t="shared" si="2934"/>
        <v>0</v>
      </c>
      <c r="FR131" s="189">
        <f t="shared" si="2934"/>
        <v>0</v>
      </c>
      <c r="FS131" s="189">
        <f t="shared" si="2934"/>
        <v>0</v>
      </c>
      <c r="FT131" s="189">
        <f t="shared" si="2934"/>
        <v>0</v>
      </c>
      <c r="FU131" s="189">
        <f t="shared" si="2934"/>
        <v>0</v>
      </c>
      <c r="FV131" s="189">
        <f t="shared" si="2934"/>
        <v>0</v>
      </c>
      <c r="FW131" s="189">
        <f t="shared" si="2934"/>
        <v>0</v>
      </c>
      <c r="FX131" s="189">
        <f t="shared" si="2934"/>
        <v>0</v>
      </c>
      <c r="FY131" s="189">
        <f t="shared" si="2934"/>
        <v>0</v>
      </c>
      <c r="FZ131" s="189">
        <f t="shared" si="2934"/>
        <v>0</v>
      </c>
      <c r="GA131" s="189">
        <f t="shared" si="2934"/>
        <v>0</v>
      </c>
      <c r="GB131" s="189">
        <f t="shared" si="2934"/>
        <v>0</v>
      </c>
      <c r="GC131" s="189">
        <f t="shared" si="2934"/>
        <v>0</v>
      </c>
      <c r="GD131" s="189">
        <f t="shared" si="2934"/>
        <v>0</v>
      </c>
      <c r="GE131" s="189">
        <f t="shared" si="2934"/>
        <v>0</v>
      </c>
      <c r="GF131" s="189">
        <f t="shared" si="2934"/>
        <v>0</v>
      </c>
      <c r="GG131" s="189">
        <f t="shared" si="2934"/>
        <v>0</v>
      </c>
      <c r="GH131" s="189">
        <f t="shared" si="2934"/>
        <v>0</v>
      </c>
      <c r="GI131" s="189">
        <f t="shared" si="2934"/>
        <v>0</v>
      </c>
      <c r="GJ131" s="189">
        <f t="shared" si="2934"/>
        <v>0</v>
      </c>
      <c r="GK131" s="189">
        <f t="shared" si="2934"/>
        <v>0</v>
      </c>
      <c r="GL131" s="189">
        <f t="shared" si="2934"/>
        <v>0</v>
      </c>
      <c r="GM131" s="189">
        <f t="shared" si="2934"/>
        <v>0</v>
      </c>
      <c r="GN131" s="189">
        <f t="shared" si="2934"/>
        <v>0</v>
      </c>
      <c r="GO131" s="189">
        <f t="shared" ref="GO131:GQ131" si="2935">IF(SUM(GO125:GO130)&lt;0.00000001,ROUND(SUM(GO125:GO130),7),SUM(GO125:GO130))</f>
        <v>0</v>
      </c>
      <c r="GP131" s="189">
        <f t="shared" si="2935"/>
        <v>0</v>
      </c>
      <c r="GQ131" s="189">
        <f t="shared" si="2935"/>
        <v>0</v>
      </c>
    </row>
    <row r="132" spans="2:199" hidden="1" outlineLevel="1">
      <c r="B132" s="196" t="s">
        <v>396</v>
      </c>
      <c r="C132" s="197"/>
      <c r="D132" s="198"/>
      <c r="E132" s="210">
        <f>(E128+D132+E129)*IF(AND(E111=$C116,$C122),0,1)</f>
        <v>0</v>
      </c>
      <c r="F132" s="210">
        <f>(F128+E132+F129)*IF(AND(F111=$C116,$C122),0,1)</f>
        <v>0</v>
      </c>
      <c r="G132" s="210">
        <f t="shared" ref="G132:BR132" si="2936">(G128+F132+G129)*IF(AND(G111=$C116,$C122),0,1)</f>
        <v>0</v>
      </c>
      <c r="H132" s="210">
        <f t="shared" si="2936"/>
        <v>181.44607999999999</v>
      </c>
      <c r="I132" s="210">
        <f t="shared" si="2936"/>
        <v>333.85546614079999</v>
      </c>
      <c r="J132" s="210">
        <f t="shared" si="2936"/>
        <v>502.10164980790159</v>
      </c>
      <c r="K132" s="210">
        <f t="shared" si="2936"/>
        <v>0</v>
      </c>
      <c r="L132" s="210">
        <f t="shared" si="2936"/>
        <v>125.64094212831056</v>
      </c>
      <c r="M132" s="210">
        <f t="shared" si="2936"/>
        <v>234.67539867842945</v>
      </c>
      <c r="N132" s="210">
        <f t="shared" si="2936"/>
        <v>354.21286479108085</v>
      </c>
      <c r="O132" s="210">
        <f t="shared" si="2936"/>
        <v>478.07062356868079</v>
      </c>
      <c r="P132" s="210">
        <f t="shared" si="2936"/>
        <v>580.95620727310313</v>
      </c>
      <c r="Q132" s="210">
        <f t="shared" si="2936"/>
        <v>0</v>
      </c>
      <c r="R132" s="210">
        <f t="shared" si="2936"/>
        <v>83.985853457353983</v>
      </c>
      <c r="S132" s="210">
        <f t="shared" si="2936"/>
        <v>168.56852750199891</v>
      </c>
      <c r="T132" s="210">
        <f t="shared" si="2936"/>
        <v>262.3926008642967</v>
      </c>
      <c r="U132" s="210">
        <f t="shared" si="2936"/>
        <v>339.54052478646724</v>
      </c>
      <c r="V132" s="210">
        <f t="shared" si="2936"/>
        <v>425.9392223963697</v>
      </c>
      <c r="W132" s="210">
        <f t="shared" si="2936"/>
        <v>0</v>
      </c>
      <c r="X132" s="210">
        <f t="shared" si="2936"/>
        <v>66.183455637969502</v>
      </c>
      <c r="Y132" s="210">
        <f t="shared" si="2936"/>
        <v>129.6431588520233</v>
      </c>
      <c r="Z132" s="210">
        <f t="shared" si="2936"/>
        <v>203.27919144527038</v>
      </c>
      <c r="AA132" s="210">
        <f t="shared" si="2936"/>
        <v>274.24877319406403</v>
      </c>
      <c r="AB132" s="210">
        <f t="shared" si="2936"/>
        <v>344.51520490206849</v>
      </c>
      <c r="AC132" s="210">
        <f t="shared" si="2936"/>
        <v>0</v>
      </c>
      <c r="AD132" s="210">
        <f t="shared" si="2936"/>
        <v>48.355783963928701</v>
      </c>
      <c r="AE132" s="210">
        <f t="shared" si="2936"/>
        <v>100.75879085378426</v>
      </c>
      <c r="AF132" s="210">
        <f t="shared" si="2936"/>
        <v>156.17236464242285</v>
      </c>
      <c r="AG132" s="210">
        <f t="shared" si="2936"/>
        <v>206.95150761683266</v>
      </c>
      <c r="AH132" s="210">
        <f t="shared" si="2936"/>
        <v>255.56297452221034</v>
      </c>
      <c r="AI132" s="210">
        <f t="shared" si="2936"/>
        <v>0</v>
      </c>
      <c r="AJ132" s="210">
        <f t="shared" si="2936"/>
        <v>25.988838061560525</v>
      </c>
      <c r="AK132" s="210">
        <f t="shared" si="2936"/>
        <v>50.942261497065367</v>
      </c>
      <c r="AL132" s="210">
        <f t="shared" si="2936"/>
        <v>79.929762264981605</v>
      </c>
      <c r="AM132" s="210">
        <f t="shared" si="2936"/>
        <v>106.62165142575364</v>
      </c>
      <c r="AN132" s="210">
        <f t="shared" si="2936"/>
        <v>134.84699682773544</v>
      </c>
      <c r="AO132" s="210">
        <f t="shared" si="2936"/>
        <v>0</v>
      </c>
      <c r="AP132" s="210">
        <f t="shared" si="2936"/>
        <v>0</v>
      </c>
      <c r="AQ132" s="210">
        <f t="shared" si="2936"/>
        <v>0</v>
      </c>
      <c r="AR132" s="210">
        <f t="shared" si="2936"/>
        <v>0</v>
      </c>
      <c r="AS132" s="210">
        <f t="shared" si="2936"/>
        <v>0</v>
      </c>
      <c r="AT132" s="210">
        <f t="shared" si="2936"/>
        <v>0</v>
      </c>
      <c r="AU132" s="210">
        <f t="shared" si="2936"/>
        <v>0</v>
      </c>
      <c r="AV132" s="210">
        <f t="shared" si="2936"/>
        <v>0</v>
      </c>
      <c r="AW132" s="210">
        <f t="shared" si="2936"/>
        <v>0</v>
      </c>
      <c r="AX132" s="210">
        <f t="shared" si="2936"/>
        <v>0</v>
      </c>
      <c r="AY132" s="210">
        <f t="shared" si="2936"/>
        <v>0</v>
      </c>
      <c r="AZ132" s="210">
        <f t="shared" si="2936"/>
        <v>0</v>
      </c>
      <c r="BA132" s="210">
        <f t="shared" si="2936"/>
        <v>0</v>
      </c>
      <c r="BB132" s="210">
        <f t="shared" si="2936"/>
        <v>0</v>
      </c>
      <c r="BC132" s="210">
        <f t="shared" si="2936"/>
        <v>0</v>
      </c>
      <c r="BD132" s="210">
        <f t="shared" si="2936"/>
        <v>0</v>
      </c>
      <c r="BE132" s="210">
        <f t="shared" si="2936"/>
        <v>0</v>
      </c>
      <c r="BF132" s="210">
        <f t="shared" si="2936"/>
        <v>0</v>
      </c>
      <c r="BG132" s="210">
        <f t="shared" si="2936"/>
        <v>0</v>
      </c>
      <c r="BH132" s="210">
        <f t="shared" si="2936"/>
        <v>0</v>
      </c>
      <c r="BI132" s="210">
        <f t="shared" si="2936"/>
        <v>0</v>
      </c>
      <c r="BJ132" s="210">
        <f t="shared" si="2936"/>
        <v>0</v>
      </c>
      <c r="BK132" s="210">
        <f t="shared" si="2936"/>
        <v>0</v>
      </c>
      <c r="BL132" s="210">
        <f t="shared" si="2936"/>
        <v>0</v>
      </c>
      <c r="BM132" s="210">
        <f t="shared" si="2936"/>
        <v>0</v>
      </c>
      <c r="BN132" s="210">
        <f t="shared" si="2936"/>
        <v>0</v>
      </c>
      <c r="BO132" s="210">
        <f t="shared" si="2936"/>
        <v>0</v>
      </c>
      <c r="BP132" s="210">
        <f t="shared" si="2936"/>
        <v>0</v>
      </c>
      <c r="BQ132" s="210">
        <f t="shared" si="2936"/>
        <v>0</v>
      </c>
      <c r="BR132" s="210">
        <f t="shared" si="2936"/>
        <v>0</v>
      </c>
      <c r="BS132" s="210">
        <f t="shared" ref="BS132:ED132" si="2937">(BS128+BR132+BS129)*IF(AND(BS111=$C116,$C122),0,1)</f>
        <v>0</v>
      </c>
      <c r="BT132" s="210">
        <f t="shared" si="2937"/>
        <v>0</v>
      </c>
      <c r="BU132" s="210">
        <f t="shared" si="2937"/>
        <v>0</v>
      </c>
      <c r="BV132" s="210">
        <f t="shared" si="2937"/>
        <v>0</v>
      </c>
      <c r="BW132" s="210">
        <f t="shared" si="2937"/>
        <v>0</v>
      </c>
      <c r="BX132" s="210">
        <f t="shared" si="2937"/>
        <v>0</v>
      </c>
      <c r="BY132" s="210">
        <f t="shared" si="2937"/>
        <v>0</v>
      </c>
      <c r="BZ132" s="210">
        <f t="shared" si="2937"/>
        <v>0</v>
      </c>
      <c r="CA132" s="210">
        <f t="shared" si="2937"/>
        <v>0</v>
      </c>
      <c r="CB132" s="210">
        <f t="shared" si="2937"/>
        <v>0</v>
      </c>
      <c r="CC132" s="210">
        <f t="shared" si="2937"/>
        <v>0</v>
      </c>
      <c r="CD132" s="210">
        <f t="shared" si="2937"/>
        <v>0</v>
      </c>
      <c r="CE132" s="210">
        <f t="shared" si="2937"/>
        <v>0</v>
      </c>
      <c r="CF132" s="210">
        <f t="shared" si="2937"/>
        <v>0</v>
      </c>
      <c r="CG132" s="210">
        <f t="shared" si="2937"/>
        <v>0</v>
      </c>
      <c r="CH132" s="210">
        <f t="shared" si="2937"/>
        <v>0</v>
      </c>
      <c r="CI132" s="210">
        <f t="shared" si="2937"/>
        <v>0</v>
      </c>
      <c r="CJ132" s="210">
        <f t="shared" si="2937"/>
        <v>0</v>
      </c>
      <c r="CK132" s="210">
        <f t="shared" si="2937"/>
        <v>0</v>
      </c>
      <c r="CL132" s="210">
        <f t="shared" si="2937"/>
        <v>0</v>
      </c>
      <c r="CM132" s="210">
        <f t="shared" si="2937"/>
        <v>0</v>
      </c>
      <c r="CN132" s="210">
        <f t="shared" si="2937"/>
        <v>0</v>
      </c>
      <c r="CO132" s="210">
        <f t="shared" si="2937"/>
        <v>0</v>
      </c>
      <c r="CP132" s="210">
        <f t="shared" si="2937"/>
        <v>0</v>
      </c>
      <c r="CQ132" s="210">
        <f t="shared" si="2937"/>
        <v>0</v>
      </c>
      <c r="CR132" s="210">
        <f t="shared" si="2937"/>
        <v>0</v>
      </c>
      <c r="CS132" s="210">
        <f t="shared" si="2937"/>
        <v>0</v>
      </c>
      <c r="CT132" s="210">
        <f t="shared" si="2937"/>
        <v>0</v>
      </c>
      <c r="CU132" s="210">
        <f t="shared" si="2937"/>
        <v>0</v>
      </c>
      <c r="CV132" s="210">
        <f t="shared" si="2937"/>
        <v>0</v>
      </c>
      <c r="CW132" s="210">
        <f t="shared" si="2937"/>
        <v>0</v>
      </c>
      <c r="CX132" s="210">
        <f t="shared" si="2937"/>
        <v>0</v>
      </c>
      <c r="CY132" s="210">
        <f t="shared" si="2937"/>
        <v>0</v>
      </c>
      <c r="CZ132" s="210">
        <f t="shared" si="2937"/>
        <v>0</v>
      </c>
      <c r="DA132" s="210">
        <f t="shared" si="2937"/>
        <v>0</v>
      </c>
      <c r="DB132" s="210">
        <f t="shared" si="2937"/>
        <v>0</v>
      </c>
      <c r="DC132" s="210">
        <f t="shared" si="2937"/>
        <v>0</v>
      </c>
      <c r="DD132" s="210">
        <f t="shared" si="2937"/>
        <v>0</v>
      </c>
      <c r="DE132" s="210">
        <f t="shared" si="2937"/>
        <v>0</v>
      </c>
      <c r="DF132" s="210">
        <f t="shared" si="2937"/>
        <v>0</v>
      </c>
      <c r="DG132" s="210">
        <f t="shared" si="2937"/>
        <v>0</v>
      </c>
      <c r="DH132" s="210">
        <f t="shared" si="2937"/>
        <v>0</v>
      </c>
      <c r="DI132" s="210">
        <f t="shared" si="2937"/>
        <v>0</v>
      </c>
      <c r="DJ132" s="210">
        <f t="shared" si="2937"/>
        <v>0</v>
      </c>
      <c r="DK132" s="210">
        <f t="shared" si="2937"/>
        <v>0</v>
      </c>
      <c r="DL132" s="210">
        <f t="shared" si="2937"/>
        <v>0</v>
      </c>
      <c r="DM132" s="210">
        <f t="shared" si="2937"/>
        <v>0</v>
      </c>
      <c r="DN132" s="210">
        <f t="shared" si="2937"/>
        <v>0</v>
      </c>
      <c r="DO132" s="210">
        <f t="shared" si="2937"/>
        <v>0</v>
      </c>
      <c r="DP132" s="210">
        <f t="shared" si="2937"/>
        <v>0</v>
      </c>
      <c r="DQ132" s="210">
        <f t="shared" si="2937"/>
        <v>0</v>
      </c>
      <c r="DR132" s="210">
        <f t="shared" si="2937"/>
        <v>0</v>
      </c>
      <c r="DS132" s="210">
        <f t="shared" si="2937"/>
        <v>0</v>
      </c>
      <c r="DT132" s="210">
        <f t="shared" si="2937"/>
        <v>0</v>
      </c>
      <c r="DU132" s="210">
        <f t="shared" si="2937"/>
        <v>0</v>
      </c>
      <c r="DV132" s="210">
        <f t="shared" si="2937"/>
        <v>0</v>
      </c>
      <c r="DW132" s="210">
        <f t="shared" si="2937"/>
        <v>0</v>
      </c>
      <c r="DX132" s="210">
        <f t="shared" si="2937"/>
        <v>0</v>
      </c>
      <c r="DY132" s="210">
        <f t="shared" si="2937"/>
        <v>0</v>
      </c>
      <c r="DZ132" s="210">
        <f t="shared" si="2937"/>
        <v>0</v>
      </c>
      <c r="EA132" s="210">
        <f t="shared" si="2937"/>
        <v>0</v>
      </c>
      <c r="EB132" s="210">
        <f t="shared" si="2937"/>
        <v>0</v>
      </c>
      <c r="EC132" s="210">
        <f t="shared" si="2937"/>
        <v>0</v>
      </c>
      <c r="ED132" s="210">
        <f t="shared" si="2937"/>
        <v>0</v>
      </c>
      <c r="EE132" s="210">
        <f t="shared" ref="EE132:GP132" si="2938">(EE128+ED132+EE129)*IF(AND(EE111=$C116,$C122),0,1)</f>
        <v>0</v>
      </c>
      <c r="EF132" s="210">
        <f t="shared" si="2938"/>
        <v>0</v>
      </c>
      <c r="EG132" s="210">
        <f t="shared" si="2938"/>
        <v>0</v>
      </c>
      <c r="EH132" s="210">
        <f t="shared" si="2938"/>
        <v>0</v>
      </c>
      <c r="EI132" s="210">
        <f t="shared" si="2938"/>
        <v>0</v>
      </c>
      <c r="EJ132" s="210">
        <f t="shared" si="2938"/>
        <v>0</v>
      </c>
      <c r="EK132" s="210">
        <f t="shared" si="2938"/>
        <v>0</v>
      </c>
      <c r="EL132" s="210">
        <f t="shared" si="2938"/>
        <v>0</v>
      </c>
      <c r="EM132" s="210">
        <f t="shared" si="2938"/>
        <v>0</v>
      </c>
      <c r="EN132" s="210">
        <f t="shared" si="2938"/>
        <v>0</v>
      </c>
      <c r="EO132" s="210">
        <f t="shared" si="2938"/>
        <v>0</v>
      </c>
      <c r="EP132" s="210">
        <f t="shared" si="2938"/>
        <v>0</v>
      </c>
      <c r="EQ132" s="210">
        <f t="shared" si="2938"/>
        <v>0</v>
      </c>
      <c r="ER132" s="210">
        <f t="shared" si="2938"/>
        <v>0</v>
      </c>
      <c r="ES132" s="210">
        <f t="shared" si="2938"/>
        <v>0</v>
      </c>
      <c r="ET132" s="210">
        <f t="shared" si="2938"/>
        <v>0</v>
      </c>
      <c r="EU132" s="210">
        <f t="shared" si="2938"/>
        <v>0</v>
      </c>
      <c r="EV132" s="210">
        <f t="shared" si="2938"/>
        <v>0</v>
      </c>
      <c r="EW132" s="210">
        <f t="shared" si="2938"/>
        <v>0</v>
      </c>
      <c r="EX132" s="210">
        <f t="shared" si="2938"/>
        <v>0</v>
      </c>
      <c r="EY132" s="210">
        <f t="shared" si="2938"/>
        <v>0</v>
      </c>
      <c r="EZ132" s="210">
        <f t="shared" si="2938"/>
        <v>0</v>
      </c>
      <c r="FA132" s="210">
        <f t="shared" si="2938"/>
        <v>0</v>
      </c>
      <c r="FB132" s="210">
        <f t="shared" si="2938"/>
        <v>0</v>
      </c>
      <c r="FC132" s="210">
        <f t="shared" si="2938"/>
        <v>0</v>
      </c>
      <c r="FD132" s="210">
        <f t="shared" si="2938"/>
        <v>0</v>
      </c>
      <c r="FE132" s="210">
        <f t="shared" si="2938"/>
        <v>0</v>
      </c>
      <c r="FF132" s="210">
        <f t="shared" si="2938"/>
        <v>0</v>
      </c>
      <c r="FG132" s="210">
        <f t="shared" si="2938"/>
        <v>0</v>
      </c>
      <c r="FH132" s="210">
        <f t="shared" si="2938"/>
        <v>0</v>
      </c>
      <c r="FI132" s="210">
        <f t="shared" si="2938"/>
        <v>0</v>
      </c>
      <c r="FJ132" s="210">
        <f t="shared" si="2938"/>
        <v>0</v>
      </c>
      <c r="FK132" s="210">
        <f t="shared" si="2938"/>
        <v>0</v>
      </c>
      <c r="FL132" s="210">
        <f t="shared" si="2938"/>
        <v>0</v>
      </c>
      <c r="FM132" s="210">
        <f t="shared" si="2938"/>
        <v>0</v>
      </c>
      <c r="FN132" s="210">
        <f t="shared" si="2938"/>
        <v>0</v>
      </c>
      <c r="FO132" s="210">
        <f t="shared" si="2938"/>
        <v>0</v>
      </c>
      <c r="FP132" s="210">
        <f t="shared" si="2938"/>
        <v>0</v>
      </c>
      <c r="FQ132" s="210">
        <f t="shared" si="2938"/>
        <v>0</v>
      </c>
      <c r="FR132" s="210">
        <f t="shared" si="2938"/>
        <v>0</v>
      </c>
      <c r="FS132" s="210">
        <f t="shared" si="2938"/>
        <v>0</v>
      </c>
      <c r="FT132" s="210">
        <f t="shared" si="2938"/>
        <v>0</v>
      </c>
      <c r="FU132" s="210">
        <f t="shared" si="2938"/>
        <v>0</v>
      </c>
      <c r="FV132" s="210">
        <f t="shared" si="2938"/>
        <v>0</v>
      </c>
      <c r="FW132" s="210">
        <f t="shared" si="2938"/>
        <v>0</v>
      </c>
      <c r="FX132" s="210">
        <f t="shared" si="2938"/>
        <v>0</v>
      </c>
      <c r="FY132" s="210">
        <f t="shared" si="2938"/>
        <v>0</v>
      </c>
      <c r="FZ132" s="210">
        <f t="shared" si="2938"/>
        <v>0</v>
      </c>
      <c r="GA132" s="210">
        <f t="shared" si="2938"/>
        <v>0</v>
      </c>
      <c r="GB132" s="210">
        <f t="shared" si="2938"/>
        <v>0</v>
      </c>
      <c r="GC132" s="210">
        <f t="shared" si="2938"/>
        <v>0</v>
      </c>
      <c r="GD132" s="210">
        <f t="shared" si="2938"/>
        <v>0</v>
      </c>
      <c r="GE132" s="210">
        <f t="shared" si="2938"/>
        <v>0</v>
      </c>
      <c r="GF132" s="210">
        <f t="shared" si="2938"/>
        <v>0</v>
      </c>
      <c r="GG132" s="210">
        <f t="shared" si="2938"/>
        <v>0</v>
      </c>
      <c r="GH132" s="210">
        <f t="shared" si="2938"/>
        <v>0</v>
      </c>
      <c r="GI132" s="210">
        <f t="shared" si="2938"/>
        <v>0</v>
      </c>
      <c r="GJ132" s="210">
        <f t="shared" si="2938"/>
        <v>0</v>
      </c>
      <c r="GK132" s="210">
        <f t="shared" si="2938"/>
        <v>0</v>
      </c>
      <c r="GL132" s="210">
        <f t="shared" si="2938"/>
        <v>0</v>
      </c>
      <c r="GM132" s="210">
        <f t="shared" si="2938"/>
        <v>0</v>
      </c>
      <c r="GN132" s="210">
        <f t="shared" si="2938"/>
        <v>0</v>
      </c>
      <c r="GO132" s="210">
        <f t="shared" si="2938"/>
        <v>0</v>
      </c>
      <c r="GP132" s="210">
        <f t="shared" si="2938"/>
        <v>0</v>
      </c>
      <c r="GQ132" s="210">
        <f t="shared" ref="GQ132" si="2939">(GQ128+GP132+GQ129)*IF(AND(GQ111=$C116,$C122),0,1)</f>
        <v>0</v>
      </c>
    </row>
    <row r="133" spans="2:199" hidden="1" outlineLevel="1">
      <c r="B133" s="183"/>
      <c r="C133" s="169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  <c r="AG133" s="171"/>
      <c r="AH133" s="171"/>
      <c r="AI133" s="171"/>
      <c r="AJ133" s="171"/>
      <c r="AK133" s="171"/>
      <c r="AL133" s="171"/>
      <c r="AM133" s="171"/>
      <c r="AN133" s="171"/>
      <c r="AO133" s="171"/>
      <c r="AP133" s="171"/>
      <c r="AQ133" s="171"/>
      <c r="AR133" s="171"/>
      <c r="AS133" s="171"/>
      <c r="AT133" s="171"/>
      <c r="AU133" s="171"/>
      <c r="AV133" s="171"/>
      <c r="AW133" s="171"/>
      <c r="AX133" s="171"/>
      <c r="AY133" s="171"/>
      <c r="AZ133" s="171"/>
      <c r="BA133" s="171"/>
      <c r="BB133" s="171"/>
      <c r="BC133" s="171"/>
      <c r="BD133" s="171"/>
      <c r="BE133" s="171"/>
      <c r="BF133" s="171"/>
      <c r="BG133" s="171"/>
      <c r="BH133" s="171"/>
      <c r="BI133" s="171"/>
      <c r="BJ133" s="171"/>
      <c r="BK133" s="171"/>
      <c r="BL133" s="171"/>
      <c r="BM133" s="171"/>
      <c r="BN133" s="171"/>
      <c r="BO133" s="171"/>
      <c r="BP133" s="171"/>
      <c r="BQ133" s="171"/>
      <c r="BR133" s="171"/>
      <c r="BS133" s="171"/>
      <c r="BT133" s="171"/>
      <c r="BU133" s="171"/>
      <c r="BV133" s="171"/>
      <c r="BW133" s="171"/>
      <c r="BX133" s="171"/>
      <c r="BY133" s="171"/>
      <c r="BZ133" s="171"/>
      <c r="CA133" s="171"/>
      <c r="CB133" s="171"/>
      <c r="CC133" s="171"/>
      <c r="CD133" s="171"/>
      <c r="CE133" s="171"/>
      <c r="CF133" s="171"/>
      <c r="CG133" s="171"/>
      <c r="CH133" s="171"/>
      <c r="CI133" s="171"/>
      <c r="CJ133" s="171"/>
      <c r="CK133" s="171"/>
      <c r="CL133" s="171"/>
      <c r="CM133" s="171"/>
      <c r="CN133" s="171"/>
      <c r="CO133" s="171"/>
      <c r="CP133" s="171"/>
      <c r="CQ133" s="171"/>
      <c r="CR133" s="171"/>
      <c r="CS133" s="171"/>
      <c r="CT133" s="171"/>
      <c r="CU133" s="171"/>
      <c r="CV133" s="171"/>
      <c r="CW133" s="171"/>
      <c r="CX133" s="171"/>
      <c r="CY133" s="171"/>
      <c r="CZ133" s="171"/>
      <c r="DA133" s="171"/>
      <c r="DB133" s="171"/>
      <c r="DC133" s="171"/>
      <c r="DD133" s="171"/>
      <c r="DE133" s="171"/>
      <c r="DF133" s="171"/>
      <c r="DG133" s="171"/>
      <c r="DH133" s="171"/>
      <c r="DI133" s="171"/>
      <c r="DJ133" s="171"/>
      <c r="DK133" s="171"/>
      <c r="DL133" s="171"/>
      <c r="DM133" s="171"/>
      <c r="DN133" s="171"/>
      <c r="DO133" s="171"/>
      <c r="DP133" s="171"/>
      <c r="DQ133" s="171"/>
      <c r="DR133" s="171"/>
      <c r="DS133" s="171"/>
      <c r="DT133" s="171"/>
      <c r="DU133" s="171"/>
      <c r="DV133" s="171"/>
      <c r="DW133" s="171"/>
      <c r="DX133" s="171"/>
      <c r="DY133" s="171"/>
      <c r="DZ133" s="171"/>
      <c r="EA133" s="171"/>
      <c r="EB133" s="171"/>
      <c r="EC133" s="171"/>
      <c r="ED133" s="171"/>
      <c r="EE133" s="171"/>
      <c r="EF133" s="171"/>
      <c r="EG133" s="171"/>
      <c r="EH133" s="171"/>
      <c r="EI133" s="171"/>
      <c r="EJ133" s="171"/>
      <c r="EK133" s="171"/>
      <c r="EL133" s="171"/>
      <c r="EM133" s="171"/>
      <c r="EN133" s="171"/>
      <c r="EO133" s="171"/>
      <c r="EP133" s="171"/>
      <c r="EQ133" s="171"/>
      <c r="ER133" s="171"/>
      <c r="ES133" s="171"/>
      <c r="ET133" s="171"/>
      <c r="EU133" s="171"/>
      <c r="EV133" s="171"/>
      <c r="EW133" s="171"/>
      <c r="EX133" s="171"/>
      <c r="EY133" s="171"/>
      <c r="EZ133" s="171"/>
      <c r="FA133" s="171"/>
      <c r="FB133" s="171"/>
      <c r="FC133" s="171"/>
      <c r="FD133" s="171"/>
      <c r="FE133" s="171"/>
      <c r="FF133" s="171"/>
      <c r="FG133" s="171"/>
      <c r="FH133" s="171"/>
      <c r="FI133" s="171"/>
      <c r="FJ133" s="171"/>
      <c r="FK133" s="171"/>
      <c r="FL133" s="171"/>
      <c r="FM133" s="171"/>
      <c r="FN133" s="171"/>
      <c r="FO133" s="171"/>
      <c r="FP133" s="171"/>
      <c r="FQ133" s="171"/>
      <c r="FR133" s="171"/>
      <c r="FS133" s="171"/>
      <c r="FT133" s="171"/>
      <c r="FU133" s="171"/>
      <c r="FV133" s="171"/>
      <c r="FW133" s="171"/>
      <c r="FX133" s="171"/>
      <c r="FY133" s="171"/>
      <c r="FZ133" s="171"/>
      <c r="GA133" s="171"/>
      <c r="GB133" s="171"/>
      <c r="GC133" s="171"/>
      <c r="GD133" s="171"/>
      <c r="GE133" s="171"/>
      <c r="GF133" s="171"/>
      <c r="GG133" s="171"/>
      <c r="GH133" s="171"/>
      <c r="GI133" s="171"/>
      <c r="GJ133" s="171"/>
      <c r="GK133" s="171"/>
      <c r="GL133" s="171"/>
      <c r="GM133" s="171"/>
      <c r="GN133" s="171"/>
      <c r="GO133" s="171"/>
      <c r="GP133" s="171"/>
      <c r="GQ133" s="171"/>
    </row>
    <row r="134" spans="2:199" hidden="1" outlineLevel="1">
      <c r="B134" s="182" t="s">
        <v>397</v>
      </c>
      <c r="C134" s="158"/>
      <c r="D134" s="171"/>
      <c r="E134" s="172">
        <f t="shared" ref="E134:BP134" si="2940">E130+E129</f>
        <v>0</v>
      </c>
      <c r="F134" s="172">
        <f t="shared" si="2940"/>
        <v>0</v>
      </c>
      <c r="G134" s="172">
        <f t="shared" si="2940"/>
        <v>0</v>
      </c>
      <c r="H134" s="172">
        <f t="shared" si="2940"/>
        <v>0</v>
      </c>
      <c r="I134" s="172">
        <f t="shared" si="2940"/>
        <v>0</v>
      </c>
      <c r="J134" s="172">
        <f t="shared" si="2940"/>
        <v>0</v>
      </c>
      <c r="K134" s="172">
        <f t="shared" si="2940"/>
        <v>-3603.5206347555218</v>
      </c>
      <c r="L134" s="172">
        <f t="shared" si="2940"/>
        <v>0</v>
      </c>
      <c r="M134" s="172">
        <f t="shared" si="2940"/>
        <v>0</v>
      </c>
      <c r="N134" s="172">
        <f t="shared" si="2940"/>
        <v>0</v>
      </c>
      <c r="O134" s="172">
        <f t="shared" si="2940"/>
        <v>0</v>
      </c>
      <c r="P134" s="172">
        <f t="shared" si="2940"/>
        <v>0</v>
      </c>
      <c r="Q134" s="172">
        <f t="shared" si="2940"/>
        <v>-3655.8008770363149</v>
      </c>
      <c r="R134" s="172">
        <f t="shared" si="2940"/>
        <v>0</v>
      </c>
      <c r="S134" s="172">
        <f t="shared" si="2940"/>
        <v>0</v>
      </c>
      <c r="T134" s="172">
        <f t="shared" si="2940"/>
        <v>0</v>
      </c>
      <c r="U134" s="172">
        <f t="shared" si="2940"/>
        <v>0</v>
      </c>
      <c r="V134" s="172">
        <f t="shared" si="2940"/>
        <v>0</v>
      </c>
      <c r="W134" s="172">
        <f t="shared" si="2940"/>
        <v>-3476.444402499958</v>
      </c>
      <c r="X134" s="172">
        <f t="shared" si="2940"/>
        <v>0</v>
      </c>
      <c r="Y134" s="172">
        <f t="shared" si="2940"/>
        <v>0</v>
      </c>
      <c r="Z134" s="172">
        <f t="shared" si="2940"/>
        <v>0</v>
      </c>
      <c r="AA134" s="172">
        <f t="shared" si="2940"/>
        <v>0</v>
      </c>
      <c r="AB134" s="172">
        <f t="shared" si="2940"/>
        <v>0</v>
      </c>
      <c r="AC134" s="172">
        <f t="shared" si="2940"/>
        <v>-3383.4401957135351</v>
      </c>
      <c r="AD134" s="172">
        <f t="shared" si="2940"/>
        <v>0</v>
      </c>
      <c r="AE134" s="172">
        <f t="shared" si="2940"/>
        <v>0</v>
      </c>
      <c r="AF134" s="172">
        <f t="shared" si="2940"/>
        <v>0</v>
      </c>
      <c r="AG134" s="172">
        <f t="shared" si="2940"/>
        <v>0</v>
      </c>
      <c r="AH134" s="172">
        <f t="shared" si="2940"/>
        <v>0</v>
      </c>
      <c r="AI134" s="172">
        <f t="shared" si="2940"/>
        <v>-3261.8408615267758</v>
      </c>
      <c r="AJ134" s="172">
        <f t="shared" si="2940"/>
        <v>0</v>
      </c>
      <c r="AK134" s="172">
        <f t="shared" si="2940"/>
        <v>0</v>
      </c>
      <c r="AL134" s="172">
        <f t="shared" si="2940"/>
        <v>0</v>
      </c>
      <c r="AM134" s="172">
        <f t="shared" si="2940"/>
        <v>0</v>
      </c>
      <c r="AN134" s="172">
        <f t="shared" si="2940"/>
        <v>0</v>
      </c>
      <c r="AO134" s="172">
        <f t="shared" si="2940"/>
        <v>-3119.3103808430378</v>
      </c>
      <c r="AP134" s="172">
        <f t="shared" si="2940"/>
        <v>0</v>
      </c>
      <c r="AQ134" s="172">
        <f t="shared" si="2940"/>
        <v>0</v>
      </c>
      <c r="AR134" s="172">
        <f t="shared" si="2940"/>
        <v>0</v>
      </c>
      <c r="AS134" s="172">
        <f t="shared" si="2940"/>
        <v>0</v>
      </c>
      <c r="AT134" s="172">
        <f t="shared" si="2940"/>
        <v>0</v>
      </c>
      <c r="AU134" s="172">
        <f t="shared" si="2940"/>
        <v>0</v>
      </c>
      <c r="AV134" s="172">
        <f t="shared" si="2940"/>
        <v>0</v>
      </c>
      <c r="AW134" s="172">
        <f t="shared" si="2940"/>
        <v>0</v>
      </c>
      <c r="AX134" s="172">
        <f t="shared" si="2940"/>
        <v>0</v>
      </c>
      <c r="AY134" s="172">
        <f t="shared" si="2940"/>
        <v>0</v>
      </c>
      <c r="AZ134" s="172">
        <f t="shared" si="2940"/>
        <v>0</v>
      </c>
      <c r="BA134" s="172">
        <f t="shared" si="2940"/>
        <v>0</v>
      </c>
      <c r="BB134" s="172">
        <f t="shared" si="2940"/>
        <v>0</v>
      </c>
      <c r="BC134" s="172">
        <f t="shared" si="2940"/>
        <v>0</v>
      </c>
      <c r="BD134" s="172">
        <f t="shared" si="2940"/>
        <v>0</v>
      </c>
      <c r="BE134" s="172">
        <f t="shared" si="2940"/>
        <v>0</v>
      </c>
      <c r="BF134" s="172">
        <f t="shared" si="2940"/>
        <v>0</v>
      </c>
      <c r="BG134" s="172">
        <f t="shared" si="2940"/>
        <v>0</v>
      </c>
      <c r="BH134" s="172">
        <f t="shared" si="2940"/>
        <v>0</v>
      </c>
      <c r="BI134" s="172">
        <f t="shared" si="2940"/>
        <v>0</v>
      </c>
      <c r="BJ134" s="172">
        <f t="shared" si="2940"/>
        <v>0</v>
      </c>
      <c r="BK134" s="172">
        <f t="shared" si="2940"/>
        <v>0</v>
      </c>
      <c r="BL134" s="172">
        <f t="shared" si="2940"/>
        <v>0</v>
      </c>
      <c r="BM134" s="172">
        <f t="shared" si="2940"/>
        <v>0</v>
      </c>
      <c r="BN134" s="172">
        <f t="shared" si="2940"/>
        <v>0</v>
      </c>
      <c r="BO134" s="172">
        <f t="shared" si="2940"/>
        <v>0</v>
      </c>
      <c r="BP134" s="172">
        <f t="shared" si="2940"/>
        <v>0</v>
      </c>
      <c r="BQ134" s="172">
        <f t="shared" ref="BQ134:EB134" si="2941">BQ130+BQ129</f>
        <v>0</v>
      </c>
      <c r="BR134" s="172">
        <f t="shared" si="2941"/>
        <v>0</v>
      </c>
      <c r="BS134" s="172">
        <f t="shared" si="2941"/>
        <v>0</v>
      </c>
      <c r="BT134" s="172">
        <f t="shared" si="2941"/>
        <v>0</v>
      </c>
      <c r="BU134" s="172">
        <f t="shared" si="2941"/>
        <v>0</v>
      </c>
      <c r="BV134" s="172">
        <f t="shared" si="2941"/>
        <v>0</v>
      </c>
      <c r="BW134" s="172">
        <f t="shared" si="2941"/>
        <v>0</v>
      </c>
      <c r="BX134" s="172">
        <f t="shared" si="2941"/>
        <v>0</v>
      </c>
      <c r="BY134" s="172">
        <f t="shared" si="2941"/>
        <v>0</v>
      </c>
      <c r="BZ134" s="172">
        <f t="shared" si="2941"/>
        <v>0</v>
      </c>
      <c r="CA134" s="172">
        <f t="shared" si="2941"/>
        <v>0</v>
      </c>
      <c r="CB134" s="172">
        <f t="shared" si="2941"/>
        <v>0</v>
      </c>
      <c r="CC134" s="172">
        <f t="shared" si="2941"/>
        <v>0</v>
      </c>
      <c r="CD134" s="172">
        <f t="shared" si="2941"/>
        <v>0</v>
      </c>
      <c r="CE134" s="172">
        <f t="shared" si="2941"/>
        <v>0</v>
      </c>
      <c r="CF134" s="172">
        <f t="shared" si="2941"/>
        <v>0</v>
      </c>
      <c r="CG134" s="172">
        <f t="shared" si="2941"/>
        <v>0</v>
      </c>
      <c r="CH134" s="172">
        <f t="shared" si="2941"/>
        <v>0</v>
      </c>
      <c r="CI134" s="172">
        <f t="shared" si="2941"/>
        <v>0</v>
      </c>
      <c r="CJ134" s="172">
        <f t="shared" si="2941"/>
        <v>0</v>
      </c>
      <c r="CK134" s="172">
        <f t="shared" si="2941"/>
        <v>0</v>
      </c>
      <c r="CL134" s="172">
        <f t="shared" si="2941"/>
        <v>0</v>
      </c>
      <c r="CM134" s="172">
        <f t="shared" si="2941"/>
        <v>0</v>
      </c>
      <c r="CN134" s="172">
        <f t="shared" si="2941"/>
        <v>0</v>
      </c>
      <c r="CO134" s="172">
        <f t="shared" si="2941"/>
        <v>0</v>
      </c>
      <c r="CP134" s="172">
        <f t="shared" si="2941"/>
        <v>0</v>
      </c>
      <c r="CQ134" s="172">
        <f t="shared" si="2941"/>
        <v>0</v>
      </c>
      <c r="CR134" s="172">
        <f t="shared" si="2941"/>
        <v>0</v>
      </c>
      <c r="CS134" s="172">
        <f t="shared" si="2941"/>
        <v>0</v>
      </c>
      <c r="CT134" s="172">
        <f t="shared" si="2941"/>
        <v>0</v>
      </c>
      <c r="CU134" s="172">
        <f t="shared" si="2941"/>
        <v>0</v>
      </c>
      <c r="CV134" s="172">
        <f t="shared" si="2941"/>
        <v>0</v>
      </c>
      <c r="CW134" s="172">
        <f t="shared" si="2941"/>
        <v>0</v>
      </c>
      <c r="CX134" s="172">
        <f t="shared" si="2941"/>
        <v>0</v>
      </c>
      <c r="CY134" s="172">
        <f t="shared" si="2941"/>
        <v>0</v>
      </c>
      <c r="CZ134" s="172">
        <f t="shared" si="2941"/>
        <v>0</v>
      </c>
      <c r="DA134" s="172">
        <f t="shared" si="2941"/>
        <v>0</v>
      </c>
      <c r="DB134" s="172">
        <f t="shared" si="2941"/>
        <v>0</v>
      </c>
      <c r="DC134" s="172">
        <f t="shared" si="2941"/>
        <v>0</v>
      </c>
      <c r="DD134" s="172">
        <f t="shared" si="2941"/>
        <v>0</v>
      </c>
      <c r="DE134" s="172">
        <f t="shared" si="2941"/>
        <v>0</v>
      </c>
      <c r="DF134" s="172">
        <f t="shared" si="2941"/>
        <v>0</v>
      </c>
      <c r="DG134" s="172">
        <f t="shared" si="2941"/>
        <v>0</v>
      </c>
      <c r="DH134" s="172">
        <f t="shared" si="2941"/>
        <v>0</v>
      </c>
      <c r="DI134" s="172">
        <f t="shared" si="2941"/>
        <v>0</v>
      </c>
      <c r="DJ134" s="172">
        <f t="shared" si="2941"/>
        <v>0</v>
      </c>
      <c r="DK134" s="172">
        <f t="shared" si="2941"/>
        <v>0</v>
      </c>
      <c r="DL134" s="172">
        <f t="shared" si="2941"/>
        <v>0</v>
      </c>
      <c r="DM134" s="172">
        <f t="shared" si="2941"/>
        <v>0</v>
      </c>
      <c r="DN134" s="172">
        <f t="shared" si="2941"/>
        <v>0</v>
      </c>
      <c r="DO134" s="172">
        <f t="shared" si="2941"/>
        <v>0</v>
      </c>
      <c r="DP134" s="172">
        <f t="shared" si="2941"/>
        <v>0</v>
      </c>
      <c r="DQ134" s="172">
        <f t="shared" si="2941"/>
        <v>0</v>
      </c>
      <c r="DR134" s="172">
        <f t="shared" si="2941"/>
        <v>0</v>
      </c>
      <c r="DS134" s="172">
        <f t="shared" si="2941"/>
        <v>0</v>
      </c>
      <c r="DT134" s="172">
        <f t="shared" si="2941"/>
        <v>0</v>
      </c>
      <c r="DU134" s="172">
        <f t="shared" si="2941"/>
        <v>0</v>
      </c>
      <c r="DV134" s="172">
        <f t="shared" si="2941"/>
        <v>0</v>
      </c>
      <c r="DW134" s="172">
        <f t="shared" si="2941"/>
        <v>0</v>
      </c>
      <c r="DX134" s="172">
        <f t="shared" si="2941"/>
        <v>0</v>
      </c>
      <c r="DY134" s="172">
        <f t="shared" si="2941"/>
        <v>0</v>
      </c>
      <c r="DZ134" s="172">
        <f t="shared" si="2941"/>
        <v>0</v>
      </c>
      <c r="EA134" s="172">
        <f t="shared" si="2941"/>
        <v>0</v>
      </c>
      <c r="EB134" s="172">
        <f t="shared" si="2941"/>
        <v>0</v>
      </c>
      <c r="EC134" s="172">
        <f t="shared" ref="EC134:GN134" si="2942">EC130+EC129</f>
        <v>0</v>
      </c>
      <c r="ED134" s="172">
        <f t="shared" si="2942"/>
        <v>0</v>
      </c>
      <c r="EE134" s="172">
        <f t="shared" si="2942"/>
        <v>0</v>
      </c>
      <c r="EF134" s="172">
        <f t="shared" si="2942"/>
        <v>0</v>
      </c>
      <c r="EG134" s="172">
        <f t="shared" si="2942"/>
        <v>0</v>
      </c>
      <c r="EH134" s="172">
        <f t="shared" si="2942"/>
        <v>0</v>
      </c>
      <c r="EI134" s="172">
        <f t="shared" si="2942"/>
        <v>0</v>
      </c>
      <c r="EJ134" s="172">
        <f t="shared" si="2942"/>
        <v>0</v>
      </c>
      <c r="EK134" s="172">
        <f t="shared" si="2942"/>
        <v>0</v>
      </c>
      <c r="EL134" s="172">
        <f t="shared" si="2942"/>
        <v>0</v>
      </c>
      <c r="EM134" s="172">
        <f t="shared" si="2942"/>
        <v>0</v>
      </c>
      <c r="EN134" s="172">
        <f t="shared" si="2942"/>
        <v>0</v>
      </c>
      <c r="EO134" s="172">
        <f t="shared" si="2942"/>
        <v>0</v>
      </c>
      <c r="EP134" s="172">
        <f t="shared" si="2942"/>
        <v>0</v>
      </c>
      <c r="EQ134" s="172">
        <f t="shared" si="2942"/>
        <v>0</v>
      </c>
      <c r="ER134" s="172">
        <f t="shared" si="2942"/>
        <v>0</v>
      </c>
      <c r="ES134" s="172">
        <f t="shared" si="2942"/>
        <v>0</v>
      </c>
      <c r="ET134" s="172">
        <f t="shared" si="2942"/>
        <v>0</v>
      </c>
      <c r="EU134" s="172">
        <f t="shared" si="2942"/>
        <v>0</v>
      </c>
      <c r="EV134" s="172">
        <f t="shared" si="2942"/>
        <v>0</v>
      </c>
      <c r="EW134" s="172">
        <f t="shared" si="2942"/>
        <v>0</v>
      </c>
      <c r="EX134" s="172">
        <f t="shared" si="2942"/>
        <v>0</v>
      </c>
      <c r="EY134" s="172">
        <f t="shared" si="2942"/>
        <v>0</v>
      </c>
      <c r="EZ134" s="172">
        <f t="shared" si="2942"/>
        <v>0</v>
      </c>
      <c r="FA134" s="172">
        <f t="shared" si="2942"/>
        <v>0</v>
      </c>
      <c r="FB134" s="172">
        <f t="shared" si="2942"/>
        <v>0</v>
      </c>
      <c r="FC134" s="172">
        <f t="shared" si="2942"/>
        <v>0</v>
      </c>
      <c r="FD134" s="172">
        <f t="shared" si="2942"/>
        <v>0</v>
      </c>
      <c r="FE134" s="172">
        <f t="shared" si="2942"/>
        <v>0</v>
      </c>
      <c r="FF134" s="172">
        <f t="shared" si="2942"/>
        <v>0</v>
      </c>
      <c r="FG134" s="172">
        <f t="shared" si="2942"/>
        <v>0</v>
      </c>
      <c r="FH134" s="172">
        <f t="shared" si="2942"/>
        <v>0</v>
      </c>
      <c r="FI134" s="172">
        <f t="shared" si="2942"/>
        <v>0</v>
      </c>
      <c r="FJ134" s="172">
        <f t="shared" si="2942"/>
        <v>0</v>
      </c>
      <c r="FK134" s="172">
        <f t="shared" si="2942"/>
        <v>0</v>
      </c>
      <c r="FL134" s="172">
        <f t="shared" si="2942"/>
        <v>0</v>
      </c>
      <c r="FM134" s="172">
        <f t="shared" si="2942"/>
        <v>0</v>
      </c>
      <c r="FN134" s="172">
        <f t="shared" si="2942"/>
        <v>0</v>
      </c>
      <c r="FO134" s="172">
        <f t="shared" si="2942"/>
        <v>0</v>
      </c>
      <c r="FP134" s="172">
        <f t="shared" si="2942"/>
        <v>0</v>
      </c>
      <c r="FQ134" s="172">
        <f t="shared" si="2942"/>
        <v>0</v>
      </c>
      <c r="FR134" s="172">
        <f t="shared" si="2942"/>
        <v>0</v>
      </c>
      <c r="FS134" s="172">
        <f t="shared" si="2942"/>
        <v>0</v>
      </c>
      <c r="FT134" s="172">
        <f t="shared" si="2942"/>
        <v>0</v>
      </c>
      <c r="FU134" s="172">
        <f t="shared" si="2942"/>
        <v>0</v>
      </c>
      <c r="FV134" s="172">
        <f t="shared" si="2942"/>
        <v>0</v>
      </c>
      <c r="FW134" s="172">
        <f t="shared" si="2942"/>
        <v>0</v>
      </c>
      <c r="FX134" s="172">
        <f t="shared" si="2942"/>
        <v>0</v>
      </c>
      <c r="FY134" s="172">
        <f t="shared" si="2942"/>
        <v>0</v>
      </c>
      <c r="FZ134" s="172">
        <f t="shared" si="2942"/>
        <v>0</v>
      </c>
      <c r="GA134" s="172">
        <f t="shared" si="2942"/>
        <v>0</v>
      </c>
      <c r="GB134" s="172">
        <f t="shared" si="2942"/>
        <v>0</v>
      </c>
      <c r="GC134" s="172">
        <f t="shared" si="2942"/>
        <v>0</v>
      </c>
      <c r="GD134" s="172">
        <f t="shared" si="2942"/>
        <v>0</v>
      </c>
      <c r="GE134" s="172">
        <f t="shared" si="2942"/>
        <v>0</v>
      </c>
      <c r="GF134" s="172">
        <f t="shared" si="2942"/>
        <v>0</v>
      </c>
      <c r="GG134" s="172">
        <f t="shared" si="2942"/>
        <v>0</v>
      </c>
      <c r="GH134" s="172">
        <f t="shared" si="2942"/>
        <v>0</v>
      </c>
      <c r="GI134" s="172">
        <f t="shared" si="2942"/>
        <v>0</v>
      </c>
      <c r="GJ134" s="172">
        <f t="shared" si="2942"/>
        <v>0</v>
      </c>
      <c r="GK134" s="172">
        <f t="shared" si="2942"/>
        <v>0</v>
      </c>
      <c r="GL134" s="172">
        <f t="shared" si="2942"/>
        <v>0</v>
      </c>
      <c r="GM134" s="172">
        <f t="shared" si="2942"/>
        <v>0</v>
      </c>
      <c r="GN134" s="172">
        <f t="shared" si="2942"/>
        <v>0</v>
      </c>
      <c r="GO134" s="172">
        <f t="shared" ref="GO134:GQ134" si="2943">GO130+GO129</f>
        <v>0</v>
      </c>
      <c r="GP134" s="172">
        <f t="shared" si="2943"/>
        <v>0</v>
      </c>
      <c r="GQ134" s="172">
        <f t="shared" si="2943"/>
        <v>0</v>
      </c>
    </row>
    <row r="135" spans="2:199" hidden="1" outlineLevel="1">
      <c r="B135" s="182" t="s">
        <v>417</v>
      </c>
      <c r="C135" s="154">
        <v>1</v>
      </c>
      <c r="D135" s="168"/>
      <c r="E135" s="213">
        <f>IF(E111&gt;=$C113,1+E118,1)</f>
        <v>1</v>
      </c>
      <c r="F135" s="213">
        <f t="shared" ref="F135:BQ135" si="2944">IF(F111&gt;=$C113,1+F118,1)</f>
        <v>1</v>
      </c>
      <c r="G135" s="213">
        <f t="shared" si="2944"/>
        <v>1</v>
      </c>
      <c r="H135" s="213">
        <f t="shared" si="2944"/>
        <v>1</v>
      </c>
      <c r="I135" s="213">
        <f t="shared" si="2944"/>
        <v>1</v>
      </c>
      <c r="J135" s="213">
        <f t="shared" si="2944"/>
        <v>1</v>
      </c>
      <c r="K135" s="213">
        <f t="shared" si="2944"/>
        <v>1</v>
      </c>
      <c r="L135" s="213">
        <f t="shared" si="2944"/>
        <v>1</v>
      </c>
      <c r="M135" s="213">
        <f t="shared" si="2944"/>
        <v>1</v>
      </c>
      <c r="N135" s="213">
        <f t="shared" si="2944"/>
        <v>1</v>
      </c>
      <c r="O135" s="213">
        <f t="shared" si="2944"/>
        <v>1</v>
      </c>
      <c r="P135" s="213">
        <f t="shared" si="2944"/>
        <v>1</v>
      </c>
      <c r="Q135" s="213">
        <f t="shared" si="2944"/>
        <v>1</v>
      </c>
      <c r="R135" s="213">
        <f t="shared" si="2944"/>
        <v>1</v>
      </c>
      <c r="S135" s="213">
        <f t="shared" si="2944"/>
        <v>1</v>
      </c>
      <c r="T135" s="213">
        <f t="shared" si="2944"/>
        <v>1</v>
      </c>
      <c r="U135" s="213">
        <f t="shared" si="2944"/>
        <v>1</v>
      </c>
      <c r="V135" s="213">
        <f t="shared" si="2944"/>
        <v>1</v>
      </c>
      <c r="W135" s="213">
        <f t="shared" si="2944"/>
        <v>1</v>
      </c>
      <c r="X135" s="213">
        <f t="shared" si="2944"/>
        <v>1</v>
      </c>
      <c r="Y135" s="213">
        <f t="shared" si="2944"/>
        <v>1</v>
      </c>
      <c r="Z135" s="213">
        <f t="shared" si="2944"/>
        <v>1</v>
      </c>
      <c r="AA135" s="213">
        <f t="shared" si="2944"/>
        <v>1</v>
      </c>
      <c r="AB135" s="213">
        <f t="shared" si="2944"/>
        <v>1</v>
      </c>
      <c r="AC135" s="213">
        <f t="shared" si="2944"/>
        <v>1</v>
      </c>
      <c r="AD135" s="213">
        <f t="shared" si="2944"/>
        <v>1</v>
      </c>
      <c r="AE135" s="213">
        <f t="shared" si="2944"/>
        <v>1</v>
      </c>
      <c r="AF135" s="213">
        <f t="shared" si="2944"/>
        <v>1</v>
      </c>
      <c r="AG135" s="213">
        <f t="shared" si="2944"/>
        <v>1</v>
      </c>
      <c r="AH135" s="213">
        <f t="shared" si="2944"/>
        <v>1</v>
      </c>
      <c r="AI135" s="213">
        <f t="shared" si="2944"/>
        <v>1</v>
      </c>
      <c r="AJ135" s="213">
        <f t="shared" si="2944"/>
        <v>1</v>
      </c>
      <c r="AK135" s="213">
        <f t="shared" si="2944"/>
        <v>1</v>
      </c>
      <c r="AL135" s="213">
        <f t="shared" si="2944"/>
        <v>1</v>
      </c>
      <c r="AM135" s="213">
        <f t="shared" si="2944"/>
        <v>1</v>
      </c>
      <c r="AN135" s="213">
        <f t="shared" si="2944"/>
        <v>1</v>
      </c>
      <c r="AO135" s="213">
        <f t="shared" si="2944"/>
        <v>1</v>
      </c>
      <c r="AP135" s="213">
        <f t="shared" si="2944"/>
        <v>1</v>
      </c>
      <c r="AQ135" s="213">
        <f t="shared" si="2944"/>
        <v>1</v>
      </c>
      <c r="AR135" s="213">
        <f t="shared" si="2944"/>
        <v>1</v>
      </c>
      <c r="AS135" s="213">
        <f t="shared" si="2944"/>
        <v>1</v>
      </c>
      <c r="AT135" s="213">
        <f t="shared" si="2944"/>
        <v>1</v>
      </c>
      <c r="AU135" s="213">
        <f t="shared" si="2944"/>
        <v>1</v>
      </c>
      <c r="AV135" s="213">
        <f t="shared" si="2944"/>
        <v>1</v>
      </c>
      <c r="AW135" s="213">
        <f t="shared" si="2944"/>
        <v>1</v>
      </c>
      <c r="AX135" s="213">
        <f t="shared" si="2944"/>
        <v>1</v>
      </c>
      <c r="AY135" s="213">
        <f t="shared" si="2944"/>
        <v>1</v>
      </c>
      <c r="AZ135" s="213">
        <f t="shared" si="2944"/>
        <v>1</v>
      </c>
      <c r="BA135" s="213">
        <f t="shared" si="2944"/>
        <v>1</v>
      </c>
      <c r="BB135" s="213">
        <f t="shared" si="2944"/>
        <v>1</v>
      </c>
      <c r="BC135" s="213">
        <f t="shared" si="2944"/>
        <v>1</v>
      </c>
      <c r="BD135" s="213">
        <f t="shared" si="2944"/>
        <v>1</v>
      </c>
      <c r="BE135" s="213">
        <f t="shared" si="2944"/>
        <v>1</v>
      </c>
      <c r="BF135" s="213">
        <f t="shared" si="2944"/>
        <v>1</v>
      </c>
      <c r="BG135" s="213">
        <f t="shared" si="2944"/>
        <v>1</v>
      </c>
      <c r="BH135" s="213">
        <f t="shared" si="2944"/>
        <v>1</v>
      </c>
      <c r="BI135" s="213">
        <f t="shared" si="2944"/>
        <v>1</v>
      </c>
      <c r="BJ135" s="213">
        <f t="shared" si="2944"/>
        <v>1</v>
      </c>
      <c r="BK135" s="213">
        <f t="shared" si="2944"/>
        <v>1</v>
      </c>
      <c r="BL135" s="213">
        <f t="shared" si="2944"/>
        <v>1</v>
      </c>
      <c r="BM135" s="213">
        <f t="shared" si="2944"/>
        <v>1</v>
      </c>
      <c r="BN135" s="213">
        <f t="shared" si="2944"/>
        <v>1</v>
      </c>
      <c r="BO135" s="213">
        <f t="shared" si="2944"/>
        <v>1</v>
      </c>
      <c r="BP135" s="213">
        <f t="shared" si="2944"/>
        <v>1</v>
      </c>
      <c r="BQ135" s="213">
        <f t="shared" si="2944"/>
        <v>1</v>
      </c>
      <c r="BR135" s="213">
        <f t="shared" ref="BR135:EC135" si="2945">IF(BR111&gt;=$C113,1+BR118,1)</f>
        <v>1</v>
      </c>
      <c r="BS135" s="213">
        <f t="shared" si="2945"/>
        <v>1</v>
      </c>
      <c r="BT135" s="213">
        <f t="shared" si="2945"/>
        <v>1</v>
      </c>
      <c r="BU135" s="213">
        <f t="shared" si="2945"/>
        <v>1</v>
      </c>
      <c r="BV135" s="213">
        <f t="shared" si="2945"/>
        <v>1</v>
      </c>
      <c r="BW135" s="213">
        <f t="shared" si="2945"/>
        <v>1</v>
      </c>
      <c r="BX135" s="213">
        <f t="shared" si="2945"/>
        <v>1</v>
      </c>
      <c r="BY135" s="213">
        <f t="shared" si="2945"/>
        <v>1</v>
      </c>
      <c r="BZ135" s="213">
        <f t="shared" si="2945"/>
        <v>1</v>
      </c>
      <c r="CA135" s="213">
        <f t="shared" si="2945"/>
        <v>1</v>
      </c>
      <c r="CB135" s="213">
        <f t="shared" si="2945"/>
        <v>1</v>
      </c>
      <c r="CC135" s="213">
        <f t="shared" si="2945"/>
        <v>1</v>
      </c>
      <c r="CD135" s="213">
        <f t="shared" si="2945"/>
        <v>1</v>
      </c>
      <c r="CE135" s="213">
        <f t="shared" si="2945"/>
        <v>1</v>
      </c>
      <c r="CF135" s="213">
        <f t="shared" si="2945"/>
        <v>1</v>
      </c>
      <c r="CG135" s="213">
        <f t="shared" si="2945"/>
        <v>1</v>
      </c>
      <c r="CH135" s="213">
        <f t="shared" si="2945"/>
        <v>1</v>
      </c>
      <c r="CI135" s="213">
        <f t="shared" si="2945"/>
        <v>1</v>
      </c>
      <c r="CJ135" s="213">
        <f t="shared" si="2945"/>
        <v>1</v>
      </c>
      <c r="CK135" s="213">
        <f t="shared" si="2945"/>
        <v>1</v>
      </c>
      <c r="CL135" s="213">
        <f t="shared" si="2945"/>
        <v>1</v>
      </c>
      <c r="CM135" s="213">
        <f t="shared" si="2945"/>
        <v>1</v>
      </c>
      <c r="CN135" s="213">
        <f t="shared" si="2945"/>
        <v>1</v>
      </c>
      <c r="CO135" s="213">
        <f t="shared" si="2945"/>
        <v>1</v>
      </c>
      <c r="CP135" s="213">
        <f t="shared" si="2945"/>
        <v>1</v>
      </c>
      <c r="CQ135" s="213">
        <f t="shared" si="2945"/>
        <v>1</v>
      </c>
      <c r="CR135" s="213">
        <f t="shared" si="2945"/>
        <v>1</v>
      </c>
      <c r="CS135" s="213">
        <f t="shared" si="2945"/>
        <v>1</v>
      </c>
      <c r="CT135" s="213">
        <f t="shared" si="2945"/>
        <v>1</v>
      </c>
      <c r="CU135" s="213">
        <f t="shared" si="2945"/>
        <v>1</v>
      </c>
      <c r="CV135" s="213">
        <f t="shared" si="2945"/>
        <v>1</v>
      </c>
      <c r="CW135" s="213">
        <f t="shared" si="2945"/>
        <v>1</v>
      </c>
      <c r="CX135" s="213">
        <f t="shared" si="2945"/>
        <v>1</v>
      </c>
      <c r="CY135" s="213">
        <f t="shared" si="2945"/>
        <v>1</v>
      </c>
      <c r="CZ135" s="213">
        <f t="shared" si="2945"/>
        <v>1</v>
      </c>
      <c r="DA135" s="213">
        <f t="shared" si="2945"/>
        <v>1</v>
      </c>
      <c r="DB135" s="213">
        <f t="shared" si="2945"/>
        <v>1</v>
      </c>
      <c r="DC135" s="213">
        <f t="shared" si="2945"/>
        <v>1</v>
      </c>
      <c r="DD135" s="213">
        <f t="shared" si="2945"/>
        <v>1</v>
      </c>
      <c r="DE135" s="213">
        <f t="shared" si="2945"/>
        <v>1</v>
      </c>
      <c r="DF135" s="213">
        <f t="shared" si="2945"/>
        <v>1</v>
      </c>
      <c r="DG135" s="213">
        <f t="shared" si="2945"/>
        <v>1</v>
      </c>
      <c r="DH135" s="213">
        <f t="shared" si="2945"/>
        <v>1</v>
      </c>
      <c r="DI135" s="213">
        <f t="shared" si="2945"/>
        <v>1</v>
      </c>
      <c r="DJ135" s="213">
        <f t="shared" si="2945"/>
        <v>1</v>
      </c>
      <c r="DK135" s="213">
        <f t="shared" si="2945"/>
        <v>1</v>
      </c>
      <c r="DL135" s="213">
        <f t="shared" si="2945"/>
        <v>1</v>
      </c>
      <c r="DM135" s="213">
        <f t="shared" si="2945"/>
        <v>1</v>
      </c>
      <c r="DN135" s="213">
        <f t="shared" si="2945"/>
        <v>1</v>
      </c>
      <c r="DO135" s="213">
        <f t="shared" si="2945"/>
        <v>1</v>
      </c>
      <c r="DP135" s="213">
        <f t="shared" si="2945"/>
        <v>1</v>
      </c>
      <c r="DQ135" s="213">
        <f t="shared" si="2945"/>
        <v>1</v>
      </c>
      <c r="DR135" s="213">
        <f t="shared" si="2945"/>
        <v>1</v>
      </c>
      <c r="DS135" s="213">
        <f t="shared" si="2945"/>
        <v>1</v>
      </c>
      <c r="DT135" s="213">
        <f t="shared" si="2945"/>
        <v>1</v>
      </c>
      <c r="DU135" s="213">
        <f t="shared" si="2945"/>
        <v>1</v>
      </c>
      <c r="DV135" s="213">
        <f t="shared" si="2945"/>
        <v>1</v>
      </c>
      <c r="DW135" s="213">
        <f t="shared" si="2945"/>
        <v>1</v>
      </c>
      <c r="DX135" s="213">
        <f t="shared" si="2945"/>
        <v>1</v>
      </c>
      <c r="DY135" s="213">
        <f t="shared" si="2945"/>
        <v>1</v>
      </c>
      <c r="DZ135" s="213">
        <f t="shared" si="2945"/>
        <v>1</v>
      </c>
      <c r="EA135" s="213">
        <f t="shared" si="2945"/>
        <v>1</v>
      </c>
      <c r="EB135" s="213">
        <f t="shared" si="2945"/>
        <v>1</v>
      </c>
      <c r="EC135" s="213">
        <f t="shared" si="2945"/>
        <v>1</v>
      </c>
      <c r="ED135" s="213">
        <f t="shared" ref="ED135:GO135" si="2946">IF(ED111&gt;=$C113,1+ED118,1)</f>
        <v>1</v>
      </c>
      <c r="EE135" s="213">
        <f t="shared" si="2946"/>
        <v>1</v>
      </c>
      <c r="EF135" s="213">
        <f t="shared" si="2946"/>
        <v>1</v>
      </c>
      <c r="EG135" s="213">
        <f t="shared" si="2946"/>
        <v>1</v>
      </c>
      <c r="EH135" s="213">
        <f t="shared" si="2946"/>
        <v>1</v>
      </c>
      <c r="EI135" s="213">
        <f t="shared" si="2946"/>
        <v>1</v>
      </c>
      <c r="EJ135" s="213">
        <f t="shared" si="2946"/>
        <v>1</v>
      </c>
      <c r="EK135" s="213">
        <f t="shared" si="2946"/>
        <v>1</v>
      </c>
      <c r="EL135" s="213">
        <f t="shared" si="2946"/>
        <v>1</v>
      </c>
      <c r="EM135" s="213">
        <f t="shared" si="2946"/>
        <v>1</v>
      </c>
      <c r="EN135" s="213">
        <f t="shared" si="2946"/>
        <v>1</v>
      </c>
      <c r="EO135" s="213">
        <f t="shared" si="2946"/>
        <v>1</v>
      </c>
      <c r="EP135" s="213">
        <f t="shared" si="2946"/>
        <v>1</v>
      </c>
      <c r="EQ135" s="213">
        <f t="shared" si="2946"/>
        <v>1</v>
      </c>
      <c r="ER135" s="213">
        <f t="shared" si="2946"/>
        <v>1</v>
      </c>
      <c r="ES135" s="213">
        <f t="shared" si="2946"/>
        <v>1</v>
      </c>
      <c r="ET135" s="213">
        <f t="shared" si="2946"/>
        <v>1</v>
      </c>
      <c r="EU135" s="213">
        <f t="shared" si="2946"/>
        <v>1</v>
      </c>
      <c r="EV135" s="213">
        <f t="shared" si="2946"/>
        <v>1</v>
      </c>
      <c r="EW135" s="213">
        <f t="shared" si="2946"/>
        <v>1</v>
      </c>
      <c r="EX135" s="213">
        <f t="shared" si="2946"/>
        <v>1</v>
      </c>
      <c r="EY135" s="213">
        <f t="shared" si="2946"/>
        <v>1</v>
      </c>
      <c r="EZ135" s="213">
        <f t="shared" si="2946"/>
        <v>1</v>
      </c>
      <c r="FA135" s="213">
        <f t="shared" si="2946"/>
        <v>1</v>
      </c>
      <c r="FB135" s="213">
        <f t="shared" si="2946"/>
        <v>1</v>
      </c>
      <c r="FC135" s="213">
        <f t="shared" si="2946"/>
        <v>1</v>
      </c>
      <c r="FD135" s="213">
        <f t="shared" si="2946"/>
        <v>1</v>
      </c>
      <c r="FE135" s="213">
        <f t="shared" si="2946"/>
        <v>1</v>
      </c>
      <c r="FF135" s="213">
        <f t="shared" si="2946"/>
        <v>1</v>
      </c>
      <c r="FG135" s="213">
        <f t="shared" si="2946"/>
        <v>1</v>
      </c>
      <c r="FH135" s="213">
        <f t="shared" si="2946"/>
        <v>1</v>
      </c>
      <c r="FI135" s="213">
        <f t="shared" si="2946"/>
        <v>1</v>
      </c>
      <c r="FJ135" s="213">
        <f t="shared" si="2946"/>
        <v>1</v>
      </c>
      <c r="FK135" s="213">
        <f t="shared" si="2946"/>
        <v>1</v>
      </c>
      <c r="FL135" s="213">
        <f t="shared" si="2946"/>
        <v>1</v>
      </c>
      <c r="FM135" s="213">
        <f t="shared" si="2946"/>
        <v>1</v>
      </c>
      <c r="FN135" s="213">
        <f t="shared" si="2946"/>
        <v>1</v>
      </c>
      <c r="FO135" s="213">
        <f t="shared" si="2946"/>
        <v>1</v>
      </c>
      <c r="FP135" s="213">
        <f t="shared" si="2946"/>
        <v>1</v>
      </c>
      <c r="FQ135" s="213">
        <f t="shared" si="2946"/>
        <v>1</v>
      </c>
      <c r="FR135" s="213">
        <f t="shared" si="2946"/>
        <v>1</v>
      </c>
      <c r="FS135" s="213">
        <f t="shared" si="2946"/>
        <v>1</v>
      </c>
      <c r="FT135" s="213">
        <f t="shared" si="2946"/>
        <v>1</v>
      </c>
      <c r="FU135" s="213">
        <f t="shared" si="2946"/>
        <v>1</v>
      </c>
      <c r="FV135" s="213">
        <f t="shared" si="2946"/>
        <v>1</v>
      </c>
      <c r="FW135" s="213">
        <f t="shared" si="2946"/>
        <v>1</v>
      </c>
      <c r="FX135" s="213">
        <f t="shared" si="2946"/>
        <v>1</v>
      </c>
      <c r="FY135" s="213">
        <f t="shared" si="2946"/>
        <v>1</v>
      </c>
      <c r="FZ135" s="213">
        <f t="shared" si="2946"/>
        <v>1</v>
      </c>
      <c r="GA135" s="213">
        <f t="shared" si="2946"/>
        <v>1</v>
      </c>
      <c r="GB135" s="213">
        <f t="shared" si="2946"/>
        <v>1</v>
      </c>
      <c r="GC135" s="213">
        <f t="shared" si="2946"/>
        <v>1</v>
      </c>
      <c r="GD135" s="213">
        <f t="shared" si="2946"/>
        <v>1</v>
      </c>
      <c r="GE135" s="213">
        <f t="shared" si="2946"/>
        <v>1</v>
      </c>
      <c r="GF135" s="213">
        <f t="shared" si="2946"/>
        <v>1</v>
      </c>
      <c r="GG135" s="213">
        <f t="shared" si="2946"/>
        <v>1</v>
      </c>
      <c r="GH135" s="213">
        <f t="shared" si="2946"/>
        <v>1</v>
      </c>
      <c r="GI135" s="213">
        <f t="shared" si="2946"/>
        <v>1</v>
      </c>
      <c r="GJ135" s="213">
        <f t="shared" si="2946"/>
        <v>1</v>
      </c>
      <c r="GK135" s="213">
        <f t="shared" si="2946"/>
        <v>1</v>
      </c>
      <c r="GL135" s="213">
        <f t="shared" si="2946"/>
        <v>1</v>
      </c>
      <c r="GM135" s="213">
        <f t="shared" si="2946"/>
        <v>1</v>
      </c>
      <c r="GN135" s="213">
        <f t="shared" si="2946"/>
        <v>1</v>
      </c>
      <c r="GO135" s="213">
        <f t="shared" si="2946"/>
        <v>1</v>
      </c>
      <c r="GP135" s="213">
        <f t="shared" ref="GP135:GQ135" si="2947">IF(GP111&gt;=$C113,1+GP118,1)</f>
        <v>1</v>
      </c>
      <c r="GQ135" s="213">
        <f t="shared" si="2947"/>
        <v>1</v>
      </c>
    </row>
    <row r="136" spans="2:199" hidden="1" outlineLevel="1">
      <c r="B136" s="182" t="s">
        <v>416</v>
      </c>
      <c r="C136" s="315">
        <v>1</v>
      </c>
      <c r="D136" s="168"/>
      <c r="E136" s="213">
        <f>C136*E135</f>
        <v>1</v>
      </c>
      <c r="F136" s="213">
        <f>E136*F135</f>
        <v>1</v>
      </c>
      <c r="G136" s="213">
        <f t="shared" ref="G136" si="2948">F136*G135</f>
        <v>1</v>
      </c>
      <c r="H136" s="213">
        <f t="shared" ref="H136" si="2949">G136*H135</f>
        <v>1</v>
      </c>
      <c r="I136" s="213">
        <f t="shared" ref="I136" si="2950">H136*I135</f>
        <v>1</v>
      </c>
      <c r="J136" s="213">
        <f t="shared" ref="J136" si="2951">I136*J135</f>
        <v>1</v>
      </c>
      <c r="K136" s="213">
        <f t="shared" ref="K136" si="2952">J136*K135</f>
        <v>1</v>
      </c>
      <c r="L136" s="213">
        <f t="shared" ref="L136" si="2953">K136*L135</f>
        <v>1</v>
      </c>
      <c r="M136" s="213">
        <f t="shared" ref="M136" si="2954">L136*M135</f>
        <v>1</v>
      </c>
      <c r="N136" s="213">
        <f t="shared" ref="N136" si="2955">M136*N135</f>
        <v>1</v>
      </c>
      <c r="O136" s="213">
        <f t="shared" ref="O136" si="2956">N136*O135</f>
        <v>1</v>
      </c>
      <c r="P136" s="213">
        <f t="shared" ref="P136" si="2957">O136*P135</f>
        <v>1</v>
      </c>
      <c r="Q136" s="213">
        <f t="shared" ref="Q136" si="2958">P136*Q135</f>
        <v>1</v>
      </c>
      <c r="R136" s="213">
        <f t="shared" ref="R136" si="2959">Q136*R135</f>
        <v>1</v>
      </c>
      <c r="S136" s="213">
        <f t="shared" ref="S136" si="2960">R136*S135</f>
        <v>1</v>
      </c>
      <c r="T136" s="213">
        <f t="shared" ref="T136" si="2961">S136*T135</f>
        <v>1</v>
      </c>
      <c r="U136" s="213">
        <f t="shared" ref="U136" si="2962">T136*U135</f>
        <v>1</v>
      </c>
      <c r="V136" s="213">
        <f t="shared" ref="V136" si="2963">U136*V135</f>
        <v>1</v>
      </c>
      <c r="W136" s="213">
        <f t="shared" ref="W136" si="2964">V136*W135</f>
        <v>1</v>
      </c>
      <c r="X136" s="213">
        <f t="shared" ref="X136" si="2965">W136*X135</f>
        <v>1</v>
      </c>
      <c r="Y136" s="213">
        <f t="shared" ref="Y136" si="2966">X136*Y135</f>
        <v>1</v>
      </c>
      <c r="Z136" s="213">
        <f t="shared" ref="Z136" si="2967">Y136*Z135</f>
        <v>1</v>
      </c>
      <c r="AA136" s="213">
        <f t="shared" ref="AA136" si="2968">Z136*AA135</f>
        <v>1</v>
      </c>
      <c r="AB136" s="213">
        <f t="shared" ref="AB136" si="2969">AA136*AB135</f>
        <v>1</v>
      </c>
      <c r="AC136" s="213">
        <f t="shared" ref="AC136" si="2970">AB136*AC135</f>
        <v>1</v>
      </c>
      <c r="AD136" s="213">
        <f t="shared" ref="AD136" si="2971">AC136*AD135</f>
        <v>1</v>
      </c>
      <c r="AE136" s="213">
        <f t="shared" ref="AE136" si="2972">AD136*AE135</f>
        <v>1</v>
      </c>
      <c r="AF136" s="213">
        <f t="shared" ref="AF136" si="2973">AE136*AF135</f>
        <v>1</v>
      </c>
      <c r="AG136" s="213">
        <f t="shared" ref="AG136" si="2974">AF136*AG135</f>
        <v>1</v>
      </c>
      <c r="AH136" s="213">
        <f t="shared" ref="AH136" si="2975">AG136*AH135</f>
        <v>1</v>
      </c>
      <c r="AI136" s="213">
        <f t="shared" ref="AI136" si="2976">AH136*AI135</f>
        <v>1</v>
      </c>
      <c r="AJ136" s="213">
        <f t="shared" ref="AJ136" si="2977">AI136*AJ135</f>
        <v>1</v>
      </c>
      <c r="AK136" s="213">
        <f t="shared" ref="AK136" si="2978">AJ136*AK135</f>
        <v>1</v>
      </c>
      <c r="AL136" s="213">
        <f t="shared" ref="AL136" si="2979">AK136*AL135</f>
        <v>1</v>
      </c>
      <c r="AM136" s="213">
        <f t="shared" ref="AM136" si="2980">AL136*AM135</f>
        <v>1</v>
      </c>
      <c r="AN136" s="213">
        <f t="shared" ref="AN136" si="2981">AM136*AN135</f>
        <v>1</v>
      </c>
      <c r="AO136" s="213">
        <f t="shared" ref="AO136" si="2982">AN136*AO135</f>
        <v>1</v>
      </c>
      <c r="AP136" s="213">
        <f t="shared" ref="AP136" si="2983">AO136*AP135</f>
        <v>1</v>
      </c>
      <c r="AQ136" s="213">
        <f t="shared" ref="AQ136" si="2984">AP136*AQ135</f>
        <v>1</v>
      </c>
      <c r="AR136" s="213">
        <f t="shared" ref="AR136" si="2985">AQ136*AR135</f>
        <v>1</v>
      </c>
      <c r="AS136" s="213">
        <f t="shared" ref="AS136" si="2986">AR136*AS135</f>
        <v>1</v>
      </c>
      <c r="AT136" s="213">
        <f t="shared" ref="AT136" si="2987">AS136*AT135</f>
        <v>1</v>
      </c>
      <c r="AU136" s="213">
        <f t="shared" ref="AU136" si="2988">AT136*AU135</f>
        <v>1</v>
      </c>
      <c r="AV136" s="213">
        <f t="shared" ref="AV136" si="2989">AU136*AV135</f>
        <v>1</v>
      </c>
      <c r="AW136" s="213">
        <f t="shared" ref="AW136" si="2990">AV136*AW135</f>
        <v>1</v>
      </c>
      <c r="AX136" s="213">
        <f t="shared" ref="AX136" si="2991">AW136*AX135</f>
        <v>1</v>
      </c>
      <c r="AY136" s="213">
        <f t="shared" ref="AY136" si="2992">AX136*AY135</f>
        <v>1</v>
      </c>
      <c r="AZ136" s="213">
        <f t="shared" ref="AZ136" si="2993">AY136*AZ135</f>
        <v>1</v>
      </c>
      <c r="BA136" s="213">
        <f t="shared" ref="BA136" si="2994">AZ136*BA135</f>
        <v>1</v>
      </c>
      <c r="BB136" s="213">
        <f t="shared" ref="BB136" si="2995">BA136*BB135</f>
        <v>1</v>
      </c>
      <c r="BC136" s="213">
        <f t="shared" ref="BC136" si="2996">BB136*BC135</f>
        <v>1</v>
      </c>
      <c r="BD136" s="213">
        <f t="shared" ref="BD136" si="2997">BC136*BD135</f>
        <v>1</v>
      </c>
      <c r="BE136" s="213">
        <f t="shared" ref="BE136" si="2998">BD136*BE135</f>
        <v>1</v>
      </c>
      <c r="BF136" s="213">
        <f t="shared" ref="BF136" si="2999">BE136*BF135</f>
        <v>1</v>
      </c>
      <c r="BG136" s="213">
        <f t="shared" ref="BG136" si="3000">BF136*BG135</f>
        <v>1</v>
      </c>
      <c r="BH136" s="213">
        <f t="shared" ref="BH136" si="3001">BG136*BH135</f>
        <v>1</v>
      </c>
      <c r="BI136" s="213">
        <f t="shared" ref="BI136" si="3002">BH136*BI135</f>
        <v>1</v>
      </c>
      <c r="BJ136" s="213">
        <f t="shared" ref="BJ136" si="3003">BI136*BJ135</f>
        <v>1</v>
      </c>
      <c r="BK136" s="213">
        <f t="shared" ref="BK136" si="3004">BJ136*BK135</f>
        <v>1</v>
      </c>
      <c r="BL136" s="213">
        <f t="shared" ref="BL136" si="3005">BK136*BL135</f>
        <v>1</v>
      </c>
      <c r="BM136" s="213">
        <f t="shared" ref="BM136" si="3006">BL136*BM135</f>
        <v>1</v>
      </c>
      <c r="BN136" s="213">
        <f t="shared" ref="BN136" si="3007">BM136*BN135</f>
        <v>1</v>
      </c>
      <c r="BO136" s="213">
        <f t="shared" ref="BO136" si="3008">BN136*BO135</f>
        <v>1</v>
      </c>
      <c r="BP136" s="213">
        <f t="shared" ref="BP136" si="3009">BO136*BP135</f>
        <v>1</v>
      </c>
      <c r="BQ136" s="213">
        <f t="shared" ref="BQ136" si="3010">BP136*BQ135</f>
        <v>1</v>
      </c>
      <c r="BR136" s="213">
        <f t="shared" ref="BR136" si="3011">BQ136*BR135</f>
        <v>1</v>
      </c>
      <c r="BS136" s="213">
        <f t="shared" ref="BS136" si="3012">BR136*BS135</f>
        <v>1</v>
      </c>
      <c r="BT136" s="213">
        <f t="shared" ref="BT136" si="3013">BS136*BT135</f>
        <v>1</v>
      </c>
      <c r="BU136" s="213">
        <f t="shared" ref="BU136" si="3014">BT136*BU135</f>
        <v>1</v>
      </c>
      <c r="BV136" s="213">
        <f t="shared" ref="BV136" si="3015">BU136*BV135</f>
        <v>1</v>
      </c>
      <c r="BW136" s="213">
        <f t="shared" ref="BW136" si="3016">BV136*BW135</f>
        <v>1</v>
      </c>
      <c r="BX136" s="213">
        <f t="shared" ref="BX136" si="3017">BW136*BX135</f>
        <v>1</v>
      </c>
      <c r="BY136" s="213">
        <f t="shared" ref="BY136" si="3018">BX136*BY135</f>
        <v>1</v>
      </c>
      <c r="BZ136" s="213">
        <f t="shared" ref="BZ136" si="3019">BY136*BZ135</f>
        <v>1</v>
      </c>
      <c r="CA136" s="213">
        <f t="shared" ref="CA136" si="3020">BZ136*CA135</f>
        <v>1</v>
      </c>
      <c r="CB136" s="213">
        <f t="shared" ref="CB136" si="3021">CA136*CB135</f>
        <v>1</v>
      </c>
      <c r="CC136" s="213">
        <f t="shared" ref="CC136" si="3022">CB136*CC135</f>
        <v>1</v>
      </c>
      <c r="CD136" s="213">
        <f t="shared" ref="CD136" si="3023">CC136*CD135</f>
        <v>1</v>
      </c>
      <c r="CE136" s="213">
        <f t="shared" ref="CE136" si="3024">CD136*CE135</f>
        <v>1</v>
      </c>
      <c r="CF136" s="213">
        <f t="shared" ref="CF136" si="3025">CE136*CF135</f>
        <v>1</v>
      </c>
      <c r="CG136" s="213">
        <f t="shared" ref="CG136" si="3026">CF136*CG135</f>
        <v>1</v>
      </c>
      <c r="CH136" s="213">
        <f t="shared" ref="CH136" si="3027">CG136*CH135</f>
        <v>1</v>
      </c>
      <c r="CI136" s="213">
        <f t="shared" ref="CI136" si="3028">CH136*CI135</f>
        <v>1</v>
      </c>
      <c r="CJ136" s="213">
        <f t="shared" ref="CJ136" si="3029">CI136*CJ135</f>
        <v>1</v>
      </c>
      <c r="CK136" s="213">
        <f t="shared" ref="CK136" si="3030">CJ136*CK135</f>
        <v>1</v>
      </c>
      <c r="CL136" s="213">
        <f t="shared" ref="CL136" si="3031">CK136*CL135</f>
        <v>1</v>
      </c>
      <c r="CM136" s="213">
        <f t="shared" ref="CM136" si="3032">CL136*CM135</f>
        <v>1</v>
      </c>
      <c r="CN136" s="213">
        <f t="shared" ref="CN136" si="3033">CM136*CN135</f>
        <v>1</v>
      </c>
      <c r="CO136" s="213">
        <f t="shared" ref="CO136" si="3034">CN136*CO135</f>
        <v>1</v>
      </c>
      <c r="CP136" s="213">
        <f t="shared" ref="CP136" si="3035">CO136*CP135</f>
        <v>1</v>
      </c>
      <c r="CQ136" s="213">
        <f t="shared" ref="CQ136" si="3036">CP136*CQ135</f>
        <v>1</v>
      </c>
      <c r="CR136" s="213">
        <f t="shared" ref="CR136" si="3037">CQ136*CR135</f>
        <v>1</v>
      </c>
      <c r="CS136" s="213">
        <f t="shared" ref="CS136" si="3038">CR136*CS135</f>
        <v>1</v>
      </c>
      <c r="CT136" s="213">
        <f t="shared" ref="CT136" si="3039">CS136*CT135</f>
        <v>1</v>
      </c>
      <c r="CU136" s="213">
        <f t="shared" ref="CU136" si="3040">CT136*CU135</f>
        <v>1</v>
      </c>
      <c r="CV136" s="213">
        <f t="shared" ref="CV136" si="3041">CU136*CV135</f>
        <v>1</v>
      </c>
      <c r="CW136" s="213">
        <f t="shared" ref="CW136" si="3042">CV136*CW135</f>
        <v>1</v>
      </c>
      <c r="CX136" s="213">
        <f t="shared" ref="CX136" si="3043">CW136*CX135</f>
        <v>1</v>
      </c>
      <c r="CY136" s="213">
        <f t="shared" ref="CY136" si="3044">CX136*CY135</f>
        <v>1</v>
      </c>
      <c r="CZ136" s="213">
        <f t="shared" ref="CZ136" si="3045">CY136*CZ135</f>
        <v>1</v>
      </c>
      <c r="DA136" s="213">
        <f t="shared" ref="DA136" si="3046">CZ136*DA135</f>
        <v>1</v>
      </c>
      <c r="DB136" s="213">
        <f t="shared" ref="DB136" si="3047">DA136*DB135</f>
        <v>1</v>
      </c>
      <c r="DC136" s="213">
        <f t="shared" ref="DC136" si="3048">DB136*DC135</f>
        <v>1</v>
      </c>
      <c r="DD136" s="213">
        <f t="shared" ref="DD136" si="3049">DC136*DD135</f>
        <v>1</v>
      </c>
      <c r="DE136" s="213">
        <f t="shared" ref="DE136" si="3050">DD136*DE135</f>
        <v>1</v>
      </c>
      <c r="DF136" s="213">
        <f t="shared" ref="DF136" si="3051">DE136*DF135</f>
        <v>1</v>
      </c>
      <c r="DG136" s="213">
        <f t="shared" ref="DG136" si="3052">DF136*DG135</f>
        <v>1</v>
      </c>
      <c r="DH136" s="213">
        <f t="shared" ref="DH136" si="3053">DG136*DH135</f>
        <v>1</v>
      </c>
      <c r="DI136" s="213">
        <f t="shared" ref="DI136" si="3054">DH136*DI135</f>
        <v>1</v>
      </c>
      <c r="DJ136" s="213">
        <f t="shared" ref="DJ136" si="3055">DI136*DJ135</f>
        <v>1</v>
      </c>
      <c r="DK136" s="213">
        <f t="shared" ref="DK136" si="3056">DJ136*DK135</f>
        <v>1</v>
      </c>
      <c r="DL136" s="213">
        <f t="shared" ref="DL136" si="3057">DK136*DL135</f>
        <v>1</v>
      </c>
      <c r="DM136" s="213">
        <f t="shared" ref="DM136" si="3058">DL136*DM135</f>
        <v>1</v>
      </c>
      <c r="DN136" s="213">
        <f t="shared" ref="DN136" si="3059">DM136*DN135</f>
        <v>1</v>
      </c>
      <c r="DO136" s="213">
        <f t="shared" ref="DO136" si="3060">DN136*DO135</f>
        <v>1</v>
      </c>
      <c r="DP136" s="213">
        <f t="shared" ref="DP136" si="3061">DO136*DP135</f>
        <v>1</v>
      </c>
      <c r="DQ136" s="213">
        <f t="shared" ref="DQ136" si="3062">DP136*DQ135</f>
        <v>1</v>
      </c>
      <c r="DR136" s="213">
        <f t="shared" ref="DR136" si="3063">DQ136*DR135</f>
        <v>1</v>
      </c>
      <c r="DS136" s="213">
        <f t="shared" ref="DS136" si="3064">DR136*DS135</f>
        <v>1</v>
      </c>
      <c r="DT136" s="213">
        <f t="shared" ref="DT136" si="3065">DS136*DT135</f>
        <v>1</v>
      </c>
      <c r="DU136" s="213">
        <f t="shared" ref="DU136" si="3066">DT136*DU135</f>
        <v>1</v>
      </c>
      <c r="DV136" s="213">
        <f t="shared" ref="DV136" si="3067">DU136*DV135</f>
        <v>1</v>
      </c>
      <c r="DW136" s="213">
        <f t="shared" ref="DW136" si="3068">DV136*DW135</f>
        <v>1</v>
      </c>
      <c r="DX136" s="213">
        <f t="shared" ref="DX136" si="3069">DW136*DX135</f>
        <v>1</v>
      </c>
      <c r="DY136" s="213">
        <f t="shared" ref="DY136" si="3070">DX136*DY135</f>
        <v>1</v>
      </c>
      <c r="DZ136" s="213">
        <f t="shared" ref="DZ136" si="3071">DY136*DZ135</f>
        <v>1</v>
      </c>
      <c r="EA136" s="213">
        <f t="shared" ref="EA136" si="3072">DZ136*EA135</f>
        <v>1</v>
      </c>
      <c r="EB136" s="213">
        <f t="shared" ref="EB136" si="3073">EA136*EB135</f>
        <v>1</v>
      </c>
      <c r="EC136" s="213">
        <f t="shared" ref="EC136" si="3074">EB136*EC135</f>
        <v>1</v>
      </c>
      <c r="ED136" s="213">
        <f t="shared" ref="ED136" si="3075">EC136*ED135</f>
        <v>1</v>
      </c>
      <c r="EE136" s="213">
        <f t="shared" ref="EE136" si="3076">ED136*EE135</f>
        <v>1</v>
      </c>
      <c r="EF136" s="213">
        <f t="shared" ref="EF136" si="3077">EE136*EF135</f>
        <v>1</v>
      </c>
      <c r="EG136" s="213">
        <f t="shared" ref="EG136" si="3078">EF136*EG135</f>
        <v>1</v>
      </c>
      <c r="EH136" s="213">
        <f t="shared" ref="EH136" si="3079">EG136*EH135</f>
        <v>1</v>
      </c>
      <c r="EI136" s="213">
        <f t="shared" ref="EI136" si="3080">EH136*EI135</f>
        <v>1</v>
      </c>
      <c r="EJ136" s="213">
        <f t="shared" ref="EJ136" si="3081">EI136*EJ135</f>
        <v>1</v>
      </c>
      <c r="EK136" s="213">
        <f t="shared" ref="EK136" si="3082">EJ136*EK135</f>
        <v>1</v>
      </c>
      <c r="EL136" s="213">
        <f t="shared" ref="EL136" si="3083">EK136*EL135</f>
        <v>1</v>
      </c>
      <c r="EM136" s="213">
        <f t="shared" ref="EM136" si="3084">EL136*EM135</f>
        <v>1</v>
      </c>
      <c r="EN136" s="213">
        <f t="shared" ref="EN136" si="3085">EM136*EN135</f>
        <v>1</v>
      </c>
      <c r="EO136" s="213">
        <f t="shared" ref="EO136" si="3086">EN136*EO135</f>
        <v>1</v>
      </c>
      <c r="EP136" s="213">
        <f t="shared" ref="EP136" si="3087">EO136*EP135</f>
        <v>1</v>
      </c>
      <c r="EQ136" s="213">
        <f t="shared" ref="EQ136" si="3088">EP136*EQ135</f>
        <v>1</v>
      </c>
      <c r="ER136" s="213">
        <f t="shared" ref="ER136" si="3089">EQ136*ER135</f>
        <v>1</v>
      </c>
      <c r="ES136" s="213">
        <f t="shared" ref="ES136" si="3090">ER136*ES135</f>
        <v>1</v>
      </c>
      <c r="ET136" s="213">
        <f t="shared" ref="ET136" si="3091">ES136*ET135</f>
        <v>1</v>
      </c>
      <c r="EU136" s="213">
        <f t="shared" ref="EU136" si="3092">ET136*EU135</f>
        <v>1</v>
      </c>
      <c r="EV136" s="213">
        <f t="shared" ref="EV136" si="3093">EU136*EV135</f>
        <v>1</v>
      </c>
      <c r="EW136" s="213">
        <f t="shared" ref="EW136" si="3094">EV136*EW135</f>
        <v>1</v>
      </c>
      <c r="EX136" s="213">
        <f t="shared" ref="EX136" si="3095">EW136*EX135</f>
        <v>1</v>
      </c>
      <c r="EY136" s="213">
        <f t="shared" ref="EY136" si="3096">EX136*EY135</f>
        <v>1</v>
      </c>
      <c r="EZ136" s="213">
        <f t="shared" ref="EZ136" si="3097">EY136*EZ135</f>
        <v>1</v>
      </c>
      <c r="FA136" s="213">
        <f t="shared" ref="FA136" si="3098">EZ136*FA135</f>
        <v>1</v>
      </c>
      <c r="FB136" s="213">
        <f t="shared" ref="FB136" si="3099">FA136*FB135</f>
        <v>1</v>
      </c>
      <c r="FC136" s="213">
        <f t="shared" ref="FC136" si="3100">FB136*FC135</f>
        <v>1</v>
      </c>
      <c r="FD136" s="213">
        <f t="shared" ref="FD136" si="3101">FC136*FD135</f>
        <v>1</v>
      </c>
      <c r="FE136" s="213">
        <f t="shared" ref="FE136" si="3102">FD136*FE135</f>
        <v>1</v>
      </c>
      <c r="FF136" s="213">
        <f t="shared" ref="FF136" si="3103">FE136*FF135</f>
        <v>1</v>
      </c>
      <c r="FG136" s="213">
        <f t="shared" ref="FG136" si="3104">FF136*FG135</f>
        <v>1</v>
      </c>
      <c r="FH136" s="213">
        <f t="shared" ref="FH136" si="3105">FG136*FH135</f>
        <v>1</v>
      </c>
      <c r="FI136" s="213">
        <f t="shared" ref="FI136" si="3106">FH136*FI135</f>
        <v>1</v>
      </c>
      <c r="FJ136" s="213">
        <f t="shared" ref="FJ136" si="3107">FI136*FJ135</f>
        <v>1</v>
      </c>
      <c r="FK136" s="213">
        <f t="shared" ref="FK136" si="3108">FJ136*FK135</f>
        <v>1</v>
      </c>
      <c r="FL136" s="213">
        <f t="shared" ref="FL136" si="3109">FK136*FL135</f>
        <v>1</v>
      </c>
      <c r="FM136" s="213">
        <f t="shared" ref="FM136" si="3110">FL136*FM135</f>
        <v>1</v>
      </c>
      <c r="FN136" s="213">
        <f t="shared" ref="FN136" si="3111">FM136*FN135</f>
        <v>1</v>
      </c>
      <c r="FO136" s="213">
        <f t="shared" ref="FO136" si="3112">FN136*FO135</f>
        <v>1</v>
      </c>
      <c r="FP136" s="213">
        <f t="shared" ref="FP136" si="3113">FO136*FP135</f>
        <v>1</v>
      </c>
      <c r="FQ136" s="213">
        <f t="shared" ref="FQ136" si="3114">FP136*FQ135</f>
        <v>1</v>
      </c>
      <c r="FR136" s="213">
        <f t="shared" ref="FR136" si="3115">FQ136*FR135</f>
        <v>1</v>
      </c>
      <c r="FS136" s="213">
        <f t="shared" ref="FS136" si="3116">FR136*FS135</f>
        <v>1</v>
      </c>
      <c r="FT136" s="213">
        <f t="shared" ref="FT136" si="3117">FS136*FT135</f>
        <v>1</v>
      </c>
      <c r="FU136" s="213">
        <f t="shared" ref="FU136" si="3118">FT136*FU135</f>
        <v>1</v>
      </c>
      <c r="FV136" s="213">
        <f t="shared" ref="FV136" si="3119">FU136*FV135</f>
        <v>1</v>
      </c>
      <c r="FW136" s="213">
        <f t="shared" ref="FW136" si="3120">FV136*FW135</f>
        <v>1</v>
      </c>
      <c r="FX136" s="213">
        <f t="shared" ref="FX136" si="3121">FW136*FX135</f>
        <v>1</v>
      </c>
      <c r="FY136" s="213">
        <f t="shared" ref="FY136" si="3122">FX136*FY135</f>
        <v>1</v>
      </c>
      <c r="FZ136" s="213">
        <f t="shared" ref="FZ136" si="3123">FY136*FZ135</f>
        <v>1</v>
      </c>
      <c r="GA136" s="213">
        <f t="shared" ref="GA136" si="3124">FZ136*GA135</f>
        <v>1</v>
      </c>
      <c r="GB136" s="213">
        <f t="shared" ref="GB136" si="3125">GA136*GB135</f>
        <v>1</v>
      </c>
      <c r="GC136" s="213">
        <f t="shared" ref="GC136" si="3126">GB136*GC135</f>
        <v>1</v>
      </c>
      <c r="GD136" s="213">
        <f t="shared" ref="GD136" si="3127">GC136*GD135</f>
        <v>1</v>
      </c>
      <c r="GE136" s="213">
        <f t="shared" ref="GE136" si="3128">GD136*GE135</f>
        <v>1</v>
      </c>
      <c r="GF136" s="213">
        <f t="shared" ref="GF136" si="3129">GE136*GF135</f>
        <v>1</v>
      </c>
      <c r="GG136" s="213">
        <f t="shared" ref="GG136" si="3130">GF136*GG135</f>
        <v>1</v>
      </c>
      <c r="GH136" s="213">
        <f t="shared" ref="GH136" si="3131">GG136*GH135</f>
        <v>1</v>
      </c>
      <c r="GI136" s="213">
        <f t="shared" ref="GI136" si="3132">GH136*GI135</f>
        <v>1</v>
      </c>
      <c r="GJ136" s="213">
        <f t="shared" ref="GJ136" si="3133">GI136*GJ135</f>
        <v>1</v>
      </c>
      <c r="GK136" s="213">
        <f t="shared" ref="GK136" si="3134">GJ136*GK135</f>
        <v>1</v>
      </c>
      <c r="GL136" s="213">
        <f t="shared" ref="GL136" si="3135">GK136*GL135</f>
        <v>1</v>
      </c>
      <c r="GM136" s="213">
        <f t="shared" ref="GM136" si="3136">GL136*GM135</f>
        <v>1</v>
      </c>
      <c r="GN136" s="213">
        <f t="shared" ref="GN136" si="3137">GM136*GN135</f>
        <v>1</v>
      </c>
      <c r="GO136" s="213">
        <f t="shared" ref="GO136" si="3138">GN136*GO135</f>
        <v>1</v>
      </c>
      <c r="GP136" s="213">
        <f t="shared" ref="GP136" si="3139">GO136*GP135</f>
        <v>1</v>
      </c>
      <c r="GQ136" s="213">
        <f t="shared" ref="GQ136" si="3140">GP136*GQ135</f>
        <v>1</v>
      </c>
    </row>
    <row r="137" spans="2:199" hidden="1" outlineLevel="1">
      <c r="B137" s="182" t="s">
        <v>415</v>
      </c>
      <c r="C137" s="315">
        <v>1</v>
      </c>
      <c r="D137" s="168"/>
      <c r="E137" s="213">
        <f>IF(E111&gt;$C116,(1+E118)*C137,1)</f>
        <v>1</v>
      </c>
      <c r="F137" s="213">
        <f t="shared" ref="F137" si="3141">IF(F111&gt;$C116,(1+F118)*D137,1)</f>
        <v>0</v>
      </c>
      <c r="G137" s="213">
        <f t="shared" ref="G137" si="3142">IF(G111&gt;$C116,(1+G118)*E137,1)</f>
        <v>1</v>
      </c>
      <c r="H137" s="213">
        <f t="shared" ref="H137" si="3143">IF(H111&gt;$C116,(1+H118)*F137,1)</f>
        <v>0</v>
      </c>
      <c r="I137" s="213">
        <f t="shared" ref="I137" si="3144">IF(I111&gt;$C116,(1+I118)*G137,1)</f>
        <v>1</v>
      </c>
      <c r="J137" s="213">
        <f t="shared" ref="J137" si="3145">IF(J111&gt;$C116,(1+J118)*H137,1)</f>
        <v>0</v>
      </c>
      <c r="K137" s="213">
        <f t="shared" ref="K137" si="3146">IF(K111&gt;$C116,(1+K118)*I137,1)</f>
        <v>1</v>
      </c>
      <c r="L137" s="213">
        <f t="shared" ref="L137" si="3147">IF(L111&gt;$C116,(1+L118)*J137,1)</f>
        <v>0</v>
      </c>
      <c r="M137" s="213">
        <f t="shared" ref="M137" si="3148">IF(M111&gt;$C116,(1+M118)*K137,1)</f>
        <v>1</v>
      </c>
      <c r="N137" s="213">
        <f t="shared" ref="N137" si="3149">IF(N111&gt;$C116,(1+N118)*L137,1)</f>
        <v>0</v>
      </c>
      <c r="O137" s="213">
        <f t="shared" ref="O137" si="3150">IF(O111&gt;$C116,(1+O118)*M137,1)</f>
        <v>1</v>
      </c>
      <c r="P137" s="213">
        <f t="shared" ref="P137" si="3151">IF(P111&gt;$C116,(1+P118)*N137,1)</f>
        <v>0</v>
      </c>
      <c r="Q137" s="213">
        <f t="shared" ref="Q137" si="3152">IF(Q111&gt;$C116,(1+Q118)*O137,1)</f>
        <v>1</v>
      </c>
      <c r="R137" s="213">
        <f t="shared" ref="R137" si="3153">IF(R111&gt;$C116,(1+R118)*P137,1)</f>
        <v>0</v>
      </c>
      <c r="S137" s="213">
        <f t="shared" ref="S137" si="3154">IF(S111&gt;$C116,(1+S118)*Q137,1)</f>
        <v>1</v>
      </c>
      <c r="T137" s="213">
        <f t="shared" ref="T137" si="3155">IF(T111&gt;$C116,(1+T118)*R137,1)</f>
        <v>0</v>
      </c>
      <c r="U137" s="213">
        <f t="shared" ref="U137" si="3156">IF(U111&gt;$C116,(1+U118)*S137,1)</f>
        <v>1</v>
      </c>
      <c r="V137" s="213">
        <f t="shared" ref="V137" si="3157">IF(V111&gt;$C116,(1+V118)*T137,1)</f>
        <v>0</v>
      </c>
      <c r="W137" s="213">
        <f t="shared" ref="W137" si="3158">IF(W111&gt;$C116,(1+W118)*U137,1)</f>
        <v>1</v>
      </c>
      <c r="X137" s="213">
        <f t="shared" ref="X137" si="3159">IF(X111&gt;$C116,(1+X118)*V137,1)</f>
        <v>0</v>
      </c>
      <c r="Y137" s="213">
        <f t="shared" ref="Y137" si="3160">IF(Y111&gt;$C116,(1+Y118)*W137,1)</f>
        <v>1</v>
      </c>
      <c r="Z137" s="213">
        <f t="shared" ref="Z137" si="3161">IF(Z111&gt;$C116,(1+Z118)*X137,1)</f>
        <v>0</v>
      </c>
      <c r="AA137" s="213">
        <f t="shared" ref="AA137" si="3162">IF(AA111&gt;$C116,(1+AA118)*Y137,1)</f>
        <v>1</v>
      </c>
      <c r="AB137" s="213">
        <f t="shared" ref="AB137" si="3163">IF(AB111&gt;$C116,(1+AB118)*Z137,1)</f>
        <v>0</v>
      </c>
      <c r="AC137" s="213">
        <f t="shared" ref="AC137" si="3164">IF(AC111&gt;$C116,(1+AC118)*AA137,1)</f>
        <v>1</v>
      </c>
      <c r="AD137" s="213">
        <f t="shared" ref="AD137" si="3165">IF(AD111&gt;$C116,(1+AD118)*AB137,1)</f>
        <v>0</v>
      </c>
      <c r="AE137" s="213">
        <f t="shared" ref="AE137" si="3166">IF(AE111&gt;$C116,(1+AE118)*AC137,1)</f>
        <v>1</v>
      </c>
      <c r="AF137" s="213">
        <f t="shared" ref="AF137" si="3167">IF(AF111&gt;$C116,(1+AF118)*AD137,1)</f>
        <v>0</v>
      </c>
      <c r="AG137" s="213">
        <f t="shared" ref="AG137" si="3168">IF(AG111&gt;$C116,(1+AG118)*AE137,1)</f>
        <v>1</v>
      </c>
      <c r="AH137" s="213">
        <f t="shared" ref="AH137" si="3169">IF(AH111&gt;$C116,(1+AH118)*AF137,1)</f>
        <v>0</v>
      </c>
      <c r="AI137" s="213">
        <f t="shared" ref="AI137" si="3170">IF(AI111&gt;$C116,(1+AI118)*AG137,1)</f>
        <v>1</v>
      </c>
      <c r="AJ137" s="213">
        <f t="shared" ref="AJ137" si="3171">IF(AJ111&gt;$C116,(1+AJ118)*AH137,1)</f>
        <v>0</v>
      </c>
      <c r="AK137" s="213">
        <f t="shared" ref="AK137" si="3172">IF(AK111&gt;$C116,(1+AK118)*AI137,1)</f>
        <v>1</v>
      </c>
      <c r="AL137" s="213">
        <f t="shared" ref="AL137" si="3173">IF(AL111&gt;$C116,(1+AL118)*AJ137,1)</f>
        <v>0</v>
      </c>
      <c r="AM137" s="213">
        <f t="shared" ref="AM137" si="3174">IF(AM111&gt;$C116,(1+AM118)*AK137,1)</f>
        <v>1</v>
      </c>
      <c r="AN137" s="213">
        <f t="shared" ref="AN137" si="3175">IF(AN111&gt;$C116,(1+AN118)*AL137,1)</f>
        <v>0</v>
      </c>
      <c r="AO137" s="213">
        <f t="shared" ref="AO137" si="3176">IF(AO111&gt;$C116,(1+AO118)*AM137,1)</f>
        <v>1</v>
      </c>
      <c r="AP137" s="213">
        <f t="shared" ref="AP137" si="3177">IF(AP111&gt;$C116,(1+AP118)*AN137,1)</f>
        <v>0</v>
      </c>
      <c r="AQ137" s="213">
        <f t="shared" ref="AQ137" si="3178">IF(AQ111&gt;$C116,(1+AQ118)*AO137,1)</f>
        <v>1</v>
      </c>
      <c r="AR137" s="213">
        <f t="shared" ref="AR137" si="3179">IF(AR111&gt;$C116,(1+AR118)*AP137,1)</f>
        <v>0</v>
      </c>
      <c r="AS137" s="213">
        <f t="shared" ref="AS137" si="3180">IF(AS111&gt;$C116,(1+AS118)*AQ137,1)</f>
        <v>1</v>
      </c>
      <c r="AT137" s="213">
        <f t="shared" ref="AT137" si="3181">IF(AT111&gt;$C116,(1+AT118)*AR137,1)</f>
        <v>0</v>
      </c>
      <c r="AU137" s="213">
        <f t="shared" ref="AU137" si="3182">IF(AU111&gt;$C116,(1+AU118)*AS137,1)</f>
        <v>1</v>
      </c>
      <c r="AV137" s="213">
        <f t="shared" ref="AV137" si="3183">IF(AV111&gt;$C116,(1+AV118)*AT137,1)</f>
        <v>0</v>
      </c>
      <c r="AW137" s="213">
        <f t="shared" ref="AW137" si="3184">IF(AW111&gt;$C116,(1+AW118)*AU137,1)</f>
        <v>1</v>
      </c>
      <c r="AX137" s="213">
        <f t="shared" ref="AX137" si="3185">IF(AX111&gt;$C116,(1+AX118)*AV137,1)</f>
        <v>0</v>
      </c>
      <c r="AY137" s="213">
        <f t="shared" ref="AY137" si="3186">IF(AY111&gt;$C116,(1+AY118)*AW137,1)</f>
        <v>1</v>
      </c>
      <c r="AZ137" s="213">
        <f t="shared" ref="AZ137" si="3187">IF(AZ111&gt;$C116,(1+AZ118)*AX137,1)</f>
        <v>0</v>
      </c>
      <c r="BA137" s="213">
        <f t="shared" ref="BA137" si="3188">IF(BA111&gt;$C116,(1+BA118)*AY137,1)</f>
        <v>1</v>
      </c>
      <c r="BB137" s="213">
        <f t="shared" ref="BB137" si="3189">IF(BB111&gt;$C116,(1+BB118)*AZ137,1)</f>
        <v>0</v>
      </c>
      <c r="BC137" s="213">
        <f t="shared" ref="BC137" si="3190">IF(BC111&gt;$C116,(1+BC118)*BA137,1)</f>
        <v>1</v>
      </c>
      <c r="BD137" s="213">
        <f t="shared" ref="BD137" si="3191">IF(BD111&gt;$C116,(1+BD118)*BB137,1)</f>
        <v>0</v>
      </c>
      <c r="BE137" s="213">
        <f t="shared" ref="BE137" si="3192">IF(BE111&gt;$C116,(1+BE118)*BC137,1)</f>
        <v>1</v>
      </c>
      <c r="BF137" s="213">
        <f t="shared" ref="BF137" si="3193">IF(BF111&gt;$C116,(1+BF118)*BD137,1)</f>
        <v>0</v>
      </c>
      <c r="BG137" s="213">
        <f t="shared" ref="BG137" si="3194">IF(BG111&gt;$C116,(1+BG118)*BE137,1)</f>
        <v>1</v>
      </c>
      <c r="BH137" s="213">
        <f t="shared" ref="BH137" si="3195">IF(BH111&gt;$C116,(1+BH118)*BF137,1)</f>
        <v>0</v>
      </c>
      <c r="BI137" s="213">
        <f t="shared" ref="BI137" si="3196">IF(BI111&gt;$C116,(1+BI118)*BG137,1)</f>
        <v>1</v>
      </c>
      <c r="BJ137" s="213">
        <f t="shared" ref="BJ137" si="3197">IF(BJ111&gt;$C116,(1+BJ118)*BH137,1)</f>
        <v>0</v>
      </c>
      <c r="BK137" s="213">
        <f t="shared" ref="BK137" si="3198">IF(BK111&gt;$C116,(1+BK118)*BI137,1)</f>
        <v>1</v>
      </c>
      <c r="BL137" s="213">
        <f t="shared" ref="BL137" si="3199">IF(BL111&gt;$C116,(1+BL118)*BJ137,1)</f>
        <v>0</v>
      </c>
      <c r="BM137" s="213">
        <f t="shared" ref="BM137" si="3200">IF(BM111&gt;$C116,(1+BM118)*BK137,1)</f>
        <v>1</v>
      </c>
      <c r="BN137" s="213">
        <f t="shared" ref="BN137" si="3201">IF(BN111&gt;$C116,(1+BN118)*BL137,1)</f>
        <v>0</v>
      </c>
      <c r="BO137" s="213">
        <f t="shared" ref="BO137" si="3202">IF(BO111&gt;$C116,(1+BO118)*BM137,1)</f>
        <v>1</v>
      </c>
      <c r="BP137" s="213">
        <f t="shared" ref="BP137" si="3203">IF(BP111&gt;$C116,(1+BP118)*BN137,1)</f>
        <v>0</v>
      </c>
      <c r="BQ137" s="213">
        <f t="shared" ref="BQ137" si="3204">IF(BQ111&gt;$C116,(1+BQ118)*BO137,1)</f>
        <v>1</v>
      </c>
      <c r="BR137" s="213">
        <f t="shared" ref="BR137" si="3205">IF(BR111&gt;$C116,(1+BR118)*BP137,1)</f>
        <v>0</v>
      </c>
      <c r="BS137" s="213">
        <f t="shared" ref="BS137" si="3206">IF(BS111&gt;$C116,(1+BS118)*BQ137,1)</f>
        <v>1</v>
      </c>
      <c r="BT137" s="213">
        <f t="shared" ref="BT137" si="3207">IF(BT111&gt;$C116,(1+BT118)*BR137,1)</f>
        <v>0</v>
      </c>
      <c r="BU137" s="213">
        <f t="shared" ref="BU137" si="3208">IF(BU111&gt;$C116,(1+BU118)*BS137,1)</f>
        <v>1</v>
      </c>
      <c r="BV137" s="213">
        <f t="shared" ref="BV137" si="3209">IF(BV111&gt;$C116,(1+BV118)*BT137,1)</f>
        <v>0</v>
      </c>
      <c r="BW137" s="213">
        <f t="shared" ref="BW137" si="3210">IF(BW111&gt;$C116,(1+BW118)*BU137,1)</f>
        <v>1</v>
      </c>
      <c r="BX137" s="213">
        <f t="shared" ref="BX137" si="3211">IF(BX111&gt;$C116,(1+BX118)*BV137,1)</f>
        <v>0</v>
      </c>
      <c r="BY137" s="213">
        <f t="shared" ref="BY137" si="3212">IF(BY111&gt;$C116,(1+BY118)*BW137,1)</f>
        <v>1</v>
      </c>
      <c r="BZ137" s="213">
        <f t="shared" ref="BZ137" si="3213">IF(BZ111&gt;$C116,(1+BZ118)*BX137,1)</f>
        <v>0</v>
      </c>
      <c r="CA137" s="213">
        <f t="shared" ref="CA137" si="3214">IF(CA111&gt;$C116,(1+CA118)*BY137,1)</f>
        <v>1</v>
      </c>
      <c r="CB137" s="213">
        <f t="shared" ref="CB137" si="3215">IF(CB111&gt;$C116,(1+CB118)*BZ137,1)</f>
        <v>0</v>
      </c>
      <c r="CC137" s="213">
        <f t="shared" ref="CC137" si="3216">IF(CC111&gt;$C116,(1+CC118)*CA137,1)</f>
        <v>1</v>
      </c>
      <c r="CD137" s="213">
        <f t="shared" ref="CD137" si="3217">IF(CD111&gt;$C116,(1+CD118)*CB137,1)</f>
        <v>0</v>
      </c>
      <c r="CE137" s="213">
        <f t="shared" ref="CE137" si="3218">IF(CE111&gt;$C116,(1+CE118)*CC137,1)</f>
        <v>1</v>
      </c>
      <c r="CF137" s="213">
        <f t="shared" ref="CF137" si="3219">IF(CF111&gt;$C116,(1+CF118)*CD137,1)</f>
        <v>0</v>
      </c>
      <c r="CG137" s="213">
        <f t="shared" ref="CG137" si="3220">IF(CG111&gt;$C116,(1+CG118)*CE137,1)</f>
        <v>1</v>
      </c>
      <c r="CH137" s="213">
        <f t="shared" ref="CH137" si="3221">IF(CH111&gt;$C116,(1+CH118)*CF137,1)</f>
        <v>0</v>
      </c>
      <c r="CI137" s="213">
        <f t="shared" ref="CI137" si="3222">IF(CI111&gt;$C116,(1+CI118)*CG137,1)</f>
        <v>1</v>
      </c>
      <c r="CJ137" s="213">
        <f t="shared" ref="CJ137" si="3223">IF(CJ111&gt;$C116,(1+CJ118)*CH137,1)</f>
        <v>0</v>
      </c>
      <c r="CK137" s="213">
        <f t="shared" ref="CK137" si="3224">IF(CK111&gt;$C116,(1+CK118)*CI137,1)</f>
        <v>1</v>
      </c>
      <c r="CL137" s="213">
        <f t="shared" ref="CL137" si="3225">IF(CL111&gt;$C116,(1+CL118)*CJ137,1)</f>
        <v>0</v>
      </c>
      <c r="CM137" s="213">
        <f t="shared" ref="CM137" si="3226">IF(CM111&gt;$C116,(1+CM118)*CK137,1)</f>
        <v>1</v>
      </c>
      <c r="CN137" s="213">
        <f t="shared" ref="CN137" si="3227">IF(CN111&gt;$C116,(1+CN118)*CL137,1)</f>
        <v>0</v>
      </c>
      <c r="CO137" s="213">
        <f t="shared" ref="CO137" si="3228">IF(CO111&gt;$C116,(1+CO118)*CM137,1)</f>
        <v>1</v>
      </c>
      <c r="CP137" s="213">
        <f t="shared" ref="CP137" si="3229">IF(CP111&gt;$C116,(1+CP118)*CN137,1)</f>
        <v>0</v>
      </c>
      <c r="CQ137" s="213">
        <f t="shared" ref="CQ137" si="3230">IF(CQ111&gt;$C116,(1+CQ118)*CO137,1)</f>
        <v>1</v>
      </c>
      <c r="CR137" s="213">
        <f t="shared" ref="CR137" si="3231">IF(CR111&gt;$C116,(1+CR118)*CP137,1)</f>
        <v>0</v>
      </c>
      <c r="CS137" s="213">
        <f t="shared" ref="CS137" si="3232">IF(CS111&gt;$C116,(1+CS118)*CQ137,1)</f>
        <v>1</v>
      </c>
      <c r="CT137" s="213">
        <f t="shared" ref="CT137" si="3233">IF(CT111&gt;$C116,(1+CT118)*CR137,1)</f>
        <v>0</v>
      </c>
      <c r="CU137" s="213">
        <f t="shared" ref="CU137" si="3234">IF(CU111&gt;$C116,(1+CU118)*CS137,1)</f>
        <v>1</v>
      </c>
      <c r="CV137" s="213">
        <f t="shared" ref="CV137" si="3235">IF(CV111&gt;$C116,(1+CV118)*CT137,1)</f>
        <v>0</v>
      </c>
      <c r="CW137" s="213">
        <f t="shared" ref="CW137" si="3236">IF(CW111&gt;$C116,(1+CW118)*CU137,1)</f>
        <v>1</v>
      </c>
      <c r="CX137" s="213">
        <f t="shared" ref="CX137" si="3237">IF(CX111&gt;$C116,(1+CX118)*CV137,1)</f>
        <v>0</v>
      </c>
      <c r="CY137" s="213">
        <f t="shared" ref="CY137" si="3238">IF(CY111&gt;$C116,(1+CY118)*CW137,1)</f>
        <v>1</v>
      </c>
      <c r="CZ137" s="213">
        <f t="shared" ref="CZ137" si="3239">IF(CZ111&gt;$C116,(1+CZ118)*CX137,1)</f>
        <v>0</v>
      </c>
      <c r="DA137" s="213">
        <f t="shared" ref="DA137" si="3240">IF(DA111&gt;$C116,(1+DA118)*CY137,1)</f>
        <v>1</v>
      </c>
      <c r="DB137" s="213">
        <f t="shared" ref="DB137" si="3241">IF(DB111&gt;$C116,(1+DB118)*CZ137,1)</f>
        <v>0</v>
      </c>
      <c r="DC137" s="213">
        <f t="shared" ref="DC137" si="3242">IF(DC111&gt;$C116,(1+DC118)*DA137,1)</f>
        <v>1</v>
      </c>
      <c r="DD137" s="213">
        <f t="shared" ref="DD137" si="3243">IF(DD111&gt;$C116,(1+DD118)*DB137,1)</f>
        <v>0</v>
      </c>
      <c r="DE137" s="213">
        <f t="shared" ref="DE137" si="3244">IF(DE111&gt;$C116,(1+DE118)*DC137,1)</f>
        <v>1</v>
      </c>
      <c r="DF137" s="213">
        <f t="shared" ref="DF137" si="3245">IF(DF111&gt;$C116,(1+DF118)*DD137,1)</f>
        <v>0</v>
      </c>
      <c r="DG137" s="213">
        <f t="shared" ref="DG137" si="3246">IF(DG111&gt;$C116,(1+DG118)*DE137,1)</f>
        <v>1</v>
      </c>
      <c r="DH137" s="213">
        <f t="shared" ref="DH137" si="3247">IF(DH111&gt;$C116,(1+DH118)*DF137,1)</f>
        <v>0</v>
      </c>
      <c r="DI137" s="213">
        <f t="shared" ref="DI137" si="3248">IF(DI111&gt;$C116,(1+DI118)*DG137,1)</f>
        <v>1</v>
      </c>
      <c r="DJ137" s="213">
        <f t="shared" ref="DJ137" si="3249">IF(DJ111&gt;$C116,(1+DJ118)*DH137,1)</f>
        <v>0</v>
      </c>
      <c r="DK137" s="213">
        <f t="shared" ref="DK137" si="3250">IF(DK111&gt;$C116,(1+DK118)*DI137,1)</f>
        <v>1</v>
      </c>
      <c r="DL137" s="213">
        <f t="shared" ref="DL137" si="3251">IF(DL111&gt;$C116,(1+DL118)*DJ137,1)</f>
        <v>0</v>
      </c>
      <c r="DM137" s="213">
        <f t="shared" ref="DM137" si="3252">IF(DM111&gt;$C116,(1+DM118)*DK137,1)</f>
        <v>1</v>
      </c>
      <c r="DN137" s="213">
        <f t="shared" ref="DN137" si="3253">IF(DN111&gt;$C116,(1+DN118)*DL137,1)</f>
        <v>0</v>
      </c>
      <c r="DO137" s="213">
        <f t="shared" ref="DO137" si="3254">IF(DO111&gt;$C116,(1+DO118)*DM137,1)</f>
        <v>1</v>
      </c>
      <c r="DP137" s="213">
        <f t="shared" ref="DP137" si="3255">IF(DP111&gt;$C116,(1+DP118)*DN137,1)</f>
        <v>0</v>
      </c>
      <c r="DQ137" s="213">
        <f t="shared" ref="DQ137" si="3256">IF(DQ111&gt;$C116,(1+DQ118)*DO137,1)</f>
        <v>1</v>
      </c>
      <c r="DR137" s="213">
        <f t="shared" ref="DR137" si="3257">IF(DR111&gt;$C116,(1+DR118)*DP137,1)</f>
        <v>0</v>
      </c>
      <c r="DS137" s="213">
        <f t="shared" ref="DS137" si="3258">IF(DS111&gt;$C116,(1+DS118)*DQ137,1)</f>
        <v>1</v>
      </c>
      <c r="DT137" s="213">
        <f t="shared" ref="DT137" si="3259">IF(DT111&gt;$C116,(1+DT118)*DR137,1)</f>
        <v>0</v>
      </c>
      <c r="DU137" s="213">
        <f t="shared" ref="DU137" si="3260">IF(DU111&gt;$C116,(1+DU118)*DS137,1)</f>
        <v>1</v>
      </c>
      <c r="DV137" s="213">
        <f t="shared" ref="DV137" si="3261">IF(DV111&gt;$C116,(1+DV118)*DT137,1)</f>
        <v>0</v>
      </c>
      <c r="DW137" s="213">
        <f t="shared" ref="DW137" si="3262">IF(DW111&gt;$C116,(1+DW118)*DU137,1)</f>
        <v>1</v>
      </c>
      <c r="DX137" s="213">
        <f t="shared" ref="DX137" si="3263">IF(DX111&gt;$C116,(1+DX118)*DV137,1)</f>
        <v>0</v>
      </c>
      <c r="DY137" s="213">
        <f t="shared" ref="DY137" si="3264">IF(DY111&gt;$C116,(1+DY118)*DW137,1)</f>
        <v>1</v>
      </c>
      <c r="DZ137" s="213">
        <f t="shared" ref="DZ137" si="3265">IF(DZ111&gt;$C116,(1+DZ118)*DX137,1)</f>
        <v>0</v>
      </c>
      <c r="EA137" s="213">
        <f t="shared" ref="EA137" si="3266">IF(EA111&gt;$C116,(1+EA118)*DY137,1)</f>
        <v>1</v>
      </c>
      <c r="EB137" s="213">
        <f t="shared" ref="EB137" si="3267">IF(EB111&gt;$C116,(1+EB118)*DZ137,1)</f>
        <v>0</v>
      </c>
      <c r="EC137" s="213">
        <f t="shared" ref="EC137" si="3268">IF(EC111&gt;$C116,(1+EC118)*EA137,1)</f>
        <v>1</v>
      </c>
      <c r="ED137" s="213">
        <f t="shared" ref="ED137" si="3269">IF(ED111&gt;$C116,(1+ED118)*EB137,1)</f>
        <v>0</v>
      </c>
      <c r="EE137" s="213">
        <f t="shared" ref="EE137" si="3270">IF(EE111&gt;$C116,(1+EE118)*EC137,1)</f>
        <v>1</v>
      </c>
      <c r="EF137" s="213">
        <f t="shared" ref="EF137" si="3271">IF(EF111&gt;$C116,(1+EF118)*ED137,1)</f>
        <v>0</v>
      </c>
      <c r="EG137" s="213">
        <f t="shared" ref="EG137" si="3272">IF(EG111&gt;$C116,(1+EG118)*EE137,1)</f>
        <v>1</v>
      </c>
      <c r="EH137" s="213">
        <f t="shared" ref="EH137" si="3273">IF(EH111&gt;$C116,(1+EH118)*EF137,1)</f>
        <v>0</v>
      </c>
      <c r="EI137" s="213">
        <f t="shared" ref="EI137" si="3274">IF(EI111&gt;$C116,(1+EI118)*EG137,1)</f>
        <v>1</v>
      </c>
      <c r="EJ137" s="213">
        <f t="shared" ref="EJ137" si="3275">IF(EJ111&gt;$C116,(1+EJ118)*EH137,1)</f>
        <v>0</v>
      </c>
      <c r="EK137" s="213">
        <f t="shared" ref="EK137" si="3276">IF(EK111&gt;$C116,(1+EK118)*EI137,1)</f>
        <v>1</v>
      </c>
      <c r="EL137" s="213">
        <f t="shared" ref="EL137" si="3277">IF(EL111&gt;$C116,(1+EL118)*EJ137,1)</f>
        <v>0</v>
      </c>
      <c r="EM137" s="213">
        <f t="shared" ref="EM137" si="3278">IF(EM111&gt;$C116,(1+EM118)*EK137,1)</f>
        <v>1</v>
      </c>
      <c r="EN137" s="213">
        <f t="shared" ref="EN137" si="3279">IF(EN111&gt;$C116,(1+EN118)*EL137,1)</f>
        <v>0</v>
      </c>
      <c r="EO137" s="213">
        <f t="shared" ref="EO137" si="3280">IF(EO111&gt;$C116,(1+EO118)*EM137,1)</f>
        <v>1</v>
      </c>
      <c r="EP137" s="213">
        <f t="shared" ref="EP137" si="3281">IF(EP111&gt;$C116,(1+EP118)*EN137,1)</f>
        <v>0</v>
      </c>
      <c r="EQ137" s="213">
        <f t="shared" ref="EQ137" si="3282">IF(EQ111&gt;$C116,(1+EQ118)*EO137,1)</f>
        <v>1</v>
      </c>
      <c r="ER137" s="213">
        <f t="shared" ref="ER137" si="3283">IF(ER111&gt;$C116,(1+ER118)*EP137,1)</f>
        <v>0</v>
      </c>
      <c r="ES137" s="213">
        <f t="shared" ref="ES137" si="3284">IF(ES111&gt;$C116,(1+ES118)*EQ137,1)</f>
        <v>1</v>
      </c>
      <c r="ET137" s="213">
        <f t="shared" ref="ET137" si="3285">IF(ET111&gt;$C116,(1+ET118)*ER137,1)</f>
        <v>0</v>
      </c>
      <c r="EU137" s="213">
        <f t="shared" ref="EU137" si="3286">IF(EU111&gt;$C116,(1+EU118)*ES137,1)</f>
        <v>1</v>
      </c>
      <c r="EV137" s="213">
        <f t="shared" ref="EV137" si="3287">IF(EV111&gt;$C116,(1+EV118)*ET137,1)</f>
        <v>0</v>
      </c>
      <c r="EW137" s="213">
        <f t="shared" ref="EW137" si="3288">IF(EW111&gt;$C116,(1+EW118)*EU137,1)</f>
        <v>1</v>
      </c>
      <c r="EX137" s="213">
        <f t="shared" ref="EX137" si="3289">IF(EX111&gt;$C116,(1+EX118)*EV137,1)</f>
        <v>0</v>
      </c>
      <c r="EY137" s="213">
        <f t="shared" ref="EY137" si="3290">IF(EY111&gt;$C116,(1+EY118)*EW137,1)</f>
        <v>1</v>
      </c>
      <c r="EZ137" s="213">
        <f t="shared" ref="EZ137" si="3291">IF(EZ111&gt;$C116,(1+EZ118)*EX137,1)</f>
        <v>0</v>
      </c>
      <c r="FA137" s="213">
        <f t="shared" ref="FA137" si="3292">IF(FA111&gt;$C116,(1+FA118)*EY137,1)</f>
        <v>1</v>
      </c>
      <c r="FB137" s="213">
        <f t="shared" ref="FB137" si="3293">IF(FB111&gt;$C116,(1+FB118)*EZ137,1)</f>
        <v>0</v>
      </c>
      <c r="FC137" s="213">
        <f t="shared" ref="FC137" si="3294">IF(FC111&gt;$C116,(1+FC118)*FA137,1)</f>
        <v>1</v>
      </c>
      <c r="FD137" s="213">
        <f t="shared" ref="FD137" si="3295">IF(FD111&gt;$C116,(1+FD118)*FB137,1)</f>
        <v>0</v>
      </c>
      <c r="FE137" s="213">
        <f t="shared" ref="FE137" si="3296">IF(FE111&gt;$C116,(1+FE118)*FC137,1)</f>
        <v>1</v>
      </c>
      <c r="FF137" s="213">
        <f t="shared" ref="FF137" si="3297">IF(FF111&gt;$C116,(1+FF118)*FD137,1)</f>
        <v>0</v>
      </c>
      <c r="FG137" s="213">
        <f t="shared" ref="FG137" si="3298">IF(FG111&gt;$C116,(1+FG118)*FE137,1)</f>
        <v>1</v>
      </c>
      <c r="FH137" s="213">
        <f t="shared" ref="FH137" si="3299">IF(FH111&gt;$C116,(1+FH118)*FF137,1)</f>
        <v>0</v>
      </c>
      <c r="FI137" s="213">
        <f t="shared" ref="FI137" si="3300">IF(FI111&gt;$C116,(1+FI118)*FG137,1)</f>
        <v>1</v>
      </c>
      <c r="FJ137" s="213">
        <f t="shared" ref="FJ137" si="3301">IF(FJ111&gt;$C116,(1+FJ118)*FH137,1)</f>
        <v>0</v>
      </c>
      <c r="FK137" s="213">
        <f t="shared" ref="FK137" si="3302">IF(FK111&gt;$C116,(1+FK118)*FI137,1)</f>
        <v>1</v>
      </c>
      <c r="FL137" s="213">
        <f t="shared" ref="FL137" si="3303">IF(FL111&gt;$C116,(1+FL118)*FJ137,1)</f>
        <v>0</v>
      </c>
      <c r="FM137" s="213">
        <f t="shared" ref="FM137" si="3304">IF(FM111&gt;$C116,(1+FM118)*FK137,1)</f>
        <v>1</v>
      </c>
      <c r="FN137" s="213">
        <f t="shared" ref="FN137" si="3305">IF(FN111&gt;$C116,(1+FN118)*FL137,1)</f>
        <v>0</v>
      </c>
      <c r="FO137" s="213">
        <f t="shared" ref="FO137" si="3306">IF(FO111&gt;$C116,(1+FO118)*FM137,1)</f>
        <v>1</v>
      </c>
      <c r="FP137" s="213">
        <f t="shared" ref="FP137" si="3307">IF(FP111&gt;$C116,(1+FP118)*FN137,1)</f>
        <v>0</v>
      </c>
      <c r="FQ137" s="213">
        <f t="shared" ref="FQ137" si="3308">IF(FQ111&gt;$C116,(1+FQ118)*FO137,1)</f>
        <v>1</v>
      </c>
      <c r="FR137" s="213">
        <f t="shared" ref="FR137" si="3309">IF(FR111&gt;$C116,(1+FR118)*FP137,1)</f>
        <v>0</v>
      </c>
      <c r="FS137" s="213">
        <f t="shared" ref="FS137" si="3310">IF(FS111&gt;$C116,(1+FS118)*FQ137,1)</f>
        <v>1</v>
      </c>
      <c r="FT137" s="213">
        <f t="shared" ref="FT137" si="3311">IF(FT111&gt;$C116,(1+FT118)*FR137,1)</f>
        <v>0</v>
      </c>
      <c r="FU137" s="213">
        <f t="shared" ref="FU137" si="3312">IF(FU111&gt;$C116,(1+FU118)*FS137,1)</f>
        <v>1</v>
      </c>
      <c r="FV137" s="213">
        <f t="shared" ref="FV137" si="3313">IF(FV111&gt;$C116,(1+FV118)*FT137,1)</f>
        <v>0</v>
      </c>
      <c r="FW137" s="213">
        <f t="shared" ref="FW137" si="3314">IF(FW111&gt;$C116,(1+FW118)*FU137,1)</f>
        <v>1</v>
      </c>
      <c r="FX137" s="213">
        <f t="shared" ref="FX137" si="3315">IF(FX111&gt;$C116,(1+FX118)*FV137,1)</f>
        <v>0</v>
      </c>
      <c r="FY137" s="213">
        <f t="shared" ref="FY137" si="3316">IF(FY111&gt;$C116,(1+FY118)*FW137,1)</f>
        <v>1</v>
      </c>
      <c r="FZ137" s="213">
        <f t="shared" ref="FZ137" si="3317">IF(FZ111&gt;$C116,(1+FZ118)*FX137,1)</f>
        <v>0</v>
      </c>
      <c r="GA137" s="213">
        <f t="shared" ref="GA137" si="3318">IF(GA111&gt;$C116,(1+GA118)*FY137,1)</f>
        <v>1</v>
      </c>
      <c r="GB137" s="213">
        <f t="shared" ref="GB137" si="3319">IF(GB111&gt;$C116,(1+GB118)*FZ137,1)</f>
        <v>0</v>
      </c>
      <c r="GC137" s="213">
        <f t="shared" ref="GC137" si="3320">IF(GC111&gt;$C116,(1+GC118)*GA137,1)</f>
        <v>1</v>
      </c>
      <c r="GD137" s="213">
        <f t="shared" ref="GD137" si="3321">IF(GD111&gt;$C116,(1+GD118)*GB137,1)</f>
        <v>0</v>
      </c>
      <c r="GE137" s="213">
        <f t="shared" ref="GE137" si="3322">IF(GE111&gt;$C116,(1+GE118)*GC137,1)</f>
        <v>1</v>
      </c>
      <c r="GF137" s="213">
        <f t="shared" ref="GF137" si="3323">IF(GF111&gt;$C116,(1+GF118)*GD137,1)</f>
        <v>0</v>
      </c>
      <c r="GG137" s="213">
        <f t="shared" ref="GG137" si="3324">IF(GG111&gt;$C116,(1+GG118)*GE137,1)</f>
        <v>1</v>
      </c>
      <c r="GH137" s="213">
        <f t="shared" ref="GH137" si="3325">IF(GH111&gt;$C116,(1+GH118)*GF137,1)</f>
        <v>0</v>
      </c>
      <c r="GI137" s="213">
        <f t="shared" ref="GI137" si="3326">IF(GI111&gt;$C116,(1+GI118)*GG137,1)</f>
        <v>1</v>
      </c>
      <c r="GJ137" s="213">
        <f t="shared" ref="GJ137" si="3327">IF(GJ111&gt;$C116,(1+GJ118)*GH137,1)</f>
        <v>0</v>
      </c>
      <c r="GK137" s="213">
        <f t="shared" ref="GK137" si="3328">IF(GK111&gt;$C116,(1+GK118)*GI137,1)</f>
        <v>1</v>
      </c>
      <c r="GL137" s="213">
        <f t="shared" ref="GL137" si="3329">IF(GL111&gt;$C116,(1+GL118)*GJ137,1)</f>
        <v>0</v>
      </c>
      <c r="GM137" s="213">
        <f t="shared" ref="GM137" si="3330">IF(GM111&gt;$C116,(1+GM118)*GK137,1)</f>
        <v>1</v>
      </c>
      <c r="GN137" s="213">
        <f t="shared" ref="GN137" si="3331">IF(GN111&gt;$C116,(1+GN118)*GL137,1)</f>
        <v>0</v>
      </c>
      <c r="GO137" s="213">
        <f t="shared" ref="GO137" si="3332">IF(GO111&gt;$C116,(1+GO118)*GM137,1)</f>
        <v>1</v>
      </c>
      <c r="GP137" s="213">
        <f t="shared" ref="GP137" si="3333">IF(GP111&gt;$C116,(1+GP118)*GN137,1)</f>
        <v>0</v>
      </c>
      <c r="GQ137" s="213">
        <f t="shared" ref="GQ137" si="3334">IF(GQ111&gt;$C116,(1+GQ118)*GO137,1)</f>
        <v>1</v>
      </c>
    </row>
    <row r="138" spans="2:199" hidden="1" outlineLevel="1">
      <c r="B138" s="182" t="s">
        <v>414</v>
      </c>
      <c r="D138" s="167"/>
      <c r="E138" s="162">
        <f>SUM(E125:E129)</f>
        <v>17728</v>
      </c>
      <c r="F138" s="162">
        <f t="shared" ref="F138:BQ138" si="3335">SUM(F125:F129)</f>
        <v>0</v>
      </c>
      <c r="G138" s="162">
        <f t="shared" si="3335"/>
        <v>17728</v>
      </c>
      <c r="H138" s="162">
        <f t="shared" si="3335"/>
        <v>17909.446080000002</v>
      </c>
      <c r="I138" s="162">
        <f t="shared" si="3335"/>
        <v>18061.855466140802</v>
      </c>
      <c r="J138" s="162">
        <f t="shared" si="3335"/>
        <v>18230.101649807904</v>
      </c>
      <c r="K138" s="162">
        <f t="shared" si="3335"/>
        <v>17728</v>
      </c>
      <c r="L138" s="162">
        <f t="shared" si="3335"/>
        <v>14898.974275461644</v>
      </c>
      <c r="M138" s="162">
        <f t="shared" si="3335"/>
        <v>15008.008732011762</v>
      </c>
      <c r="N138" s="162">
        <f t="shared" si="3335"/>
        <v>15127.546198124413</v>
      </c>
      <c r="O138" s="162">
        <f t="shared" si="3335"/>
        <v>15251.403956902013</v>
      </c>
      <c r="P138" s="162">
        <f t="shared" si="3335"/>
        <v>15354.289540606436</v>
      </c>
      <c r="Q138" s="162">
        <f t="shared" si="3335"/>
        <v>14773.333333333334</v>
      </c>
      <c r="R138" s="162">
        <f t="shared" si="3335"/>
        <v>11902.652520124022</v>
      </c>
      <c r="S138" s="162">
        <f t="shared" si="3335"/>
        <v>11987.235194168667</v>
      </c>
      <c r="T138" s="162">
        <f t="shared" si="3335"/>
        <v>12081.059267530964</v>
      </c>
      <c r="U138" s="162">
        <f t="shared" si="3335"/>
        <v>12158.207191453133</v>
      </c>
      <c r="V138" s="162">
        <f t="shared" si="3335"/>
        <v>12244.605889063036</v>
      </c>
      <c r="W138" s="162">
        <f t="shared" si="3335"/>
        <v>11818.666666666666</v>
      </c>
      <c r="X138" s="162">
        <f t="shared" si="3335"/>
        <v>8930.183455637969</v>
      </c>
      <c r="Y138" s="162">
        <f t="shared" si="3335"/>
        <v>8993.6431588520227</v>
      </c>
      <c r="Z138" s="162">
        <f t="shared" si="3335"/>
        <v>9067.27919144527</v>
      </c>
      <c r="AA138" s="162">
        <f t="shared" si="3335"/>
        <v>9138.2487731940637</v>
      </c>
      <c r="AB138" s="162">
        <f t="shared" si="3335"/>
        <v>9208.5152049020689</v>
      </c>
      <c r="AC138" s="162">
        <f t="shared" si="3335"/>
        <v>8864.0000000000018</v>
      </c>
      <c r="AD138" s="162">
        <f t="shared" si="3335"/>
        <v>5957.6891172972646</v>
      </c>
      <c r="AE138" s="162">
        <f t="shared" si="3335"/>
        <v>6010.0921241871201</v>
      </c>
      <c r="AF138" s="162">
        <f t="shared" si="3335"/>
        <v>6065.5056979757592</v>
      </c>
      <c r="AG138" s="162">
        <f t="shared" si="3335"/>
        <v>6116.2848409501694</v>
      </c>
      <c r="AH138" s="162">
        <f t="shared" si="3335"/>
        <v>6164.8963078555471</v>
      </c>
      <c r="AI138" s="162">
        <f t="shared" si="3335"/>
        <v>5909.3333333333367</v>
      </c>
      <c r="AJ138" s="162">
        <f t="shared" si="3335"/>
        <v>2980.6555047282309</v>
      </c>
      <c r="AK138" s="162">
        <f t="shared" si="3335"/>
        <v>3005.6089281637355</v>
      </c>
      <c r="AL138" s="162">
        <f t="shared" si="3335"/>
        <v>3034.5964289316516</v>
      </c>
      <c r="AM138" s="162">
        <f t="shared" si="3335"/>
        <v>3061.2883180924237</v>
      </c>
      <c r="AN138" s="162">
        <f t="shared" si="3335"/>
        <v>3089.5136634944056</v>
      </c>
      <c r="AO138" s="162">
        <f t="shared" si="3335"/>
        <v>2954.6666666666702</v>
      </c>
      <c r="AP138" s="162">
        <f t="shared" si="3335"/>
        <v>0</v>
      </c>
      <c r="AQ138" s="162">
        <f t="shared" si="3335"/>
        <v>0</v>
      </c>
      <c r="AR138" s="162">
        <f t="shared" si="3335"/>
        <v>0</v>
      </c>
      <c r="AS138" s="162">
        <f t="shared" si="3335"/>
        <v>0</v>
      </c>
      <c r="AT138" s="162">
        <f t="shared" si="3335"/>
        <v>0</v>
      </c>
      <c r="AU138" s="162">
        <f t="shared" si="3335"/>
        <v>0</v>
      </c>
      <c r="AV138" s="162">
        <f t="shared" si="3335"/>
        <v>0</v>
      </c>
      <c r="AW138" s="162">
        <f t="shared" si="3335"/>
        <v>0</v>
      </c>
      <c r="AX138" s="162">
        <f t="shared" si="3335"/>
        <v>0</v>
      </c>
      <c r="AY138" s="162">
        <f t="shared" si="3335"/>
        <v>0</v>
      </c>
      <c r="AZ138" s="162">
        <f t="shared" si="3335"/>
        <v>0</v>
      </c>
      <c r="BA138" s="162">
        <f t="shared" si="3335"/>
        <v>0</v>
      </c>
      <c r="BB138" s="162">
        <f t="shared" si="3335"/>
        <v>0</v>
      </c>
      <c r="BC138" s="162">
        <f t="shared" si="3335"/>
        <v>0</v>
      </c>
      <c r="BD138" s="162">
        <f t="shared" si="3335"/>
        <v>0</v>
      </c>
      <c r="BE138" s="162">
        <f t="shared" si="3335"/>
        <v>0</v>
      </c>
      <c r="BF138" s="162">
        <f t="shared" si="3335"/>
        <v>0</v>
      </c>
      <c r="BG138" s="162">
        <f t="shared" si="3335"/>
        <v>0</v>
      </c>
      <c r="BH138" s="162">
        <f t="shared" si="3335"/>
        <v>0</v>
      </c>
      <c r="BI138" s="162">
        <f t="shared" si="3335"/>
        <v>0</v>
      </c>
      <c r="BJ138" s="162">
        <f t="shared" si="3335"/>
        <v>0</v>
      </c>
      <c r="BK138" s="162">
        <f t="shared" si="3335"/>
        <v>0</v>
      </c>
      <c r="BL138" s="162">
        <f t="shared" si="3335"/>
        <v>0</v>
      </c>
      <c r="BM138" s="162">
        <f t="shared" si="3335"/>
        <v>0</v>
      </c>
      <c r="BN138" s="162">
        <f t="shared" si="3335"/>
        <v>0</v>
      </c>
      <c r="BO138" s="162">
        <f t="shared" si="3335"/>
        <v>0</v>
      </c>
      <c r="BP138" s="162">
        <f t="shared" si="3335"/>
        <v>0</v>
      </c>
      <c r="BQ138" s="162">
        <f t="shared" si="3335"/>
        <v>0</v>
      </c>
      <c r="BR138" s="162">
        <f t="shared" ref="BR138:EC138" si="3336">SUM(BR125:BR129)</f>
        <v>0</v>
      </c>
      <c r="BS138" s="162">
        <f t="shared" si="3336"/>
        <v>0</v>
      </c>
      <c r="BT138" s="162">
        <f t="shared" si="3336"/>
        <v>0</v>
      </c>
      <c r="BU138" s="162">
        <f t="shared" si="3336"/>
        <v>0</v>
      </c>
      <c r="BV138" s="162">
        <f t="shared" si="3336"/>
        <v>0</v>
      </c>
      <c r="BW138" s="162">
        <f t="shared" si="3336"/>
        <v>0</v>
      </c>
      <c r="BX138" s="162">
        <f t="shared" si="3336"/>
        <v>0</v>
      </c>
      <c r="BY138" s="162">
        <f t="shared" si="3336"/>
        <v>0</v>
      </c>
      <c r="BZ138" s="162">
        <f t="shared" si="3336"/>
        <v>0</v>
      </c>
      <c r="CA138" s="162">
        <f t="shared" si="3336"/>
        <v>0</v>
      </c>
      <c r="CB138" s="162">
        <f t="shared" si="3336"/>
        <v>0</v>
      </c>
      <c r="CC138" s="162">
        <f t="shared" si="3336"/>
        <v>0</v>
      </c>
      <c r="CD138" s="162">
        <f t="shared" si="3336"/>
        <v>0</v>
      </c>
      <c r="CE138" s="162">
        <f t="shared" si="3336"/>
        <v>0</v>
      </c>
      <c r="CF138" s="162">
        <f t="shared" si="3336"/>
        <v>0</v>
      </c>
      <c r="CG138" s="162">
        <f t="shared" si="3336"/>
        <v>0</v>
      </c>
      <c r="CH138" s="162">
        <f t="shared" si="3336"/>
        <v>0</v>
      </c>
      <c r="CI138" s="162">
        <f t="shared" si="3336"/>
        <v>0</v>
      </c>
      <c r="CJ138" s="162">
        <f t="shared" si="3336"/>
        <v>0</v>
      </c>
      <c r="CK138" s="162">
        <f t="shared" si="3336"/>
        <v>0</v>
      </c>
      <c r="CL138" s="162">
        <f t="shared" si="3336"/>
        <v>0</v>
      </c>
      <c r="CM138" s="162">
        <f t="shared" si="3336"/>
        <v>0</v>
      </c>
      <c r="CN138" s="162">
        <f t="shared" si="3336"/>
        <v>0</v>
      </c>
      <c r="CO138" s="162">
        <f t="shared" si="3336"/>
        <v>0</v>
      </c>
      <c r="CP138" s="162">
        <f t="shared" si="3336"/>
        <v>0</v>
      </c>
      <c r="CQ138" s="162">
        <f t="shared" si="3336"/>
        <v>0</v>
      </c>
      <c r="CR138" s="162">
        <f t="shared" si="3336"/>
        <v>0</v>
      </c>
      <c r="CS138" s="162">
        <f t="shared" si="3336"/>
        <v>0</v>
      </c>
      <c r="CT138" s="162">
        <f t="shared" si="3336"/>
        <v>0</v>
      </c>
      <c r="CU138" s="162">
        <f t="shared" si="3336"/>
        <v>0</v>
      </c>
      <c r="CV138" s="162">
        <f t="shared" si="3336"/>
        <v>0</v>
      </c>
      <c r="CW138" s="162">
        <f t="shared" si="3336"/>
        <v>0</v>
      </c>
      <c r="CX138" s="162">
        <f t="shared" si="3336"/>
        <v>0</v>
      </c>
      <c r="CY138" s="162">
        <f t="shared" si="3336"/>
        <v>0</v>
      </c>
      <c r="CZ138" s="162">
        <f t="shared" si="3336"/>
        <v>0</v>
      </c>
      <c r="DA138" s="162">
        <f t="shared" si="3336"/>
        <v>0</v>
      </c>
      <c r="DB138" s="162">
        <f t="shared" si="3336"/>
        <v>0</v>
      </c>
      <c r="DC138" s="162">
        <f t="shared" si="3336"/>
        <v>0</v>
      </c>
      <c r="DD138" s="162">
        <f t="shared" si="3336"/>
        <v>0</v>
      </c>
      <c r="DE138" s="162">
        <f t="shared" si="3336"/>
        <v>0</v>
      </c>
      <c r="DF138" s="162">
        <f t="shared" si="3336"/>
        <v>0</v>
      </c>
      <c r="DG138" s="162">
        <f t="shared" si="3336"/>
        <v>0</v>
      </c>
      <c r="DH138" s="162">
        <f t="shared" si="3336"/>
        <v>0</v>
      </c>
      <c r="DI138" s="162">
        <f t="shared" si="3336"/>
        <v>0</v>
      </c>
      <c r="DJ138" s="162">
        <f t="shared" si="3336"/>
        <v>0</v>
      </c>
      <c r="DK138" s="162">
        <f t="shared" si="3336"/>
        <v>0</v>
      </c>
      <c r="DL138" s="162">
        <f t="shared" si="3336"/>
        <v>0</v>
      </c>
      <c r="DM138" s="162">
        <f t="shared" si="3336"/>
        <v>0</v>
      </c>
      <c r="DN138" s="162">
        <f t="shared" si="3336"/>
        <v>0</v>
      </c>
      <c r="DO138" s="162">
        <f t="shared" si="3336"/>
        <v>0</v>
      </c>
      <c r="DP138" s="162">
        <f t="shared" si="3336"/>
        <v>0</v>
      </c>
      <c r="DQ138" s="162">
        <f t="shared" si="3336"/>
        <v>0</v>
      </c>
      <c r="DR138" s="162">
        <f t="shared" si="3336"/>
        <v>0</v>
      </c>
      <c r="DS138" s="162">
        <f t="shared" si="3336"/>
        <v>0</v>
      </c>
      <c r="DT138" s="162">
        <f t="shared" si="3336"/>
        <v>0</v>
      </c>
      <c r="DU138" s="162">
        <f t="shared" si="3336"/>
        <v>0</v>
      </c>
      <c r="DV138" s="162">
        <f t="shared" si="3336"/>
        <v>0</v>
      </c>
      <c r="DW138" s="162">
        <f t="shared" si="3336"/>
        <v>0</v>
      </c>
      <c r="DX138" s="162">
        <f t="shared" si="3336"/>
        <v>0</v>
      </c>
      <c r="DY138" s="162">
        <f t="shared" si="3336"/>
        <v>0</v>
      </c>
      <c r="DZ138" s="162">
        <f t="shared" si="3336"/>
        <v>0</v>
      </c>
      <c r="EA138" s="162">
        <f t="shared" si="3336"/>
        <v>0</v>
      </c>
      <c r="EB138" s="162">
        <f t="shared" si="3336"/>
        <v>0</v>
      </c>
      <c r="EC138" s="162">
        <f t="shared" si="3336"/>
        <v>0</v>
      </c>
      <c r="ED138" s="162">
        <f t="shared" ref="ED138:GO138" si="3337">SUM(ED125:ED129)</f>
        <v>0</v>
      </c>
      <c r="EE138" s="162">
        <f t="shared" si="3337"/>
        <v>0</v>
      </c>
      <c r="EF138" s="162">
        <f t="shared" si="3337"/>
        <v>0</v>
      </c>
      <c r="EG138" s="162">
        <f t="shared" si="3337"/>
        <v>0</v>
      </c>
      <c r="EH138" s="162">
        <f t="shared" si="3337"/>
        <v>0</v>
      </c>
      <c r="EI138" s="162">
        <f t="shared" si="3337"/>
        <v>0</v>
      </c>
      <c r="EJ138" s="162">
        <f t="shared" si="3337"/>
        <v>0</v>
      </c>
      <c r="EK138" s="162">
        <f t="shared" si="3337"/>
        <v>0</v>
      </c>
      <c r="EL138" s="162">
        <f t="shared" si="3337"/>
        <v>0</v>
      </c>
      <c r="EM138" s="162">
        <f t="shared" si="3337"/>
        <v>0</v>
      </c>
      <c r="EN138" s="162">
        <f t="shared" si="3337"/>
        <v>0</v>
      </c>
      <c r="EO138" s="162">
        <f t="shared" si="3337"/>
        <v>0</v>
      </c>
      <c r="EP138" s="162">
        <f t="shared" si="3337"/>
        <v>0</v>
      </c>
      <c r="EQ138" s="162">
        <f t="shared" si="3337"/>
        <v>0</v>
      </c>
      <c r="ER138" s="162">
        <f t="shared" si="3337"/>
        <v>0</v>
      </c>
      <c r="ES138" s="162">
        <f t="shared" si="3337"/>
        <v>0</v>
      </c>
      <c r="ET138" s="162">
        <f t="shared" si="3337"/>
        <v>0</v>
      </c>
      <c r="EU138" s="162">
        <f t="shared" si="3337"/>
        <v>0</v>
      </c>
      <c r="EV138" s="162">
        <f t="shared" si="3337"/>
        <v>0</v>
      </c>
      <c r="EW138" s="162">
        <f t="shared" si="3337"/>
        <v>0</v>
      </c>
      <c r="EX138" s="162">
        <f t="shared" si="3337"/>
        <v>0</v>
      </c>
      <c r="EY138" s="162">
        <f t="shared" si="3337"/>
        <v>0</v>
      </c>
      <c r="EZ138" s="162">
        <f t="shared" si="3337"/>
        <v>0</v>
      </c>
      <c r="FA138" s="162">
        <f t="shared" si="3337"/>
        <v>0</v>
      </c>
      <c r="FB138" s="162">
        <f t="shared" si="3337"/>
        <v>0</v>
      </c>
      <c r="FC138" s="162">
        <f t="shared" si="3337"/>
        <v>0</v>
      </c>
      <c r="FD138" s="162">
        <f t="shared" si="3337"/>
        <v>0</v>
      </c>
      <c r="FE138" s="162">
        <f t="shared" si="3337"/>
        <v>0</v>
      </c>
      <c r="FF138" s="162">
        <f t="shared" si="3337"/>
        <v>0</v>
      </c>
      <c r="FG138" s="162">
        <f t="shared" si="3337"/>
        <v>0</v>
      </c>
      <c r="FH138" s="162">
        <f t="shared" si="3337"/>
        <v>0</v>
      </c>
      <c r="FI138" s="162">
        <f t="shared" si="3337"/>
        <v>0</v>
      </c>
      <c r="FJ138" s="162">
        <f t="shared" si="3337"/>
        <v>0</v>
      </c>
      <c r="FK138" s="162">
        <f t="shared" si="3337"/>
        <v>0</v>
      </c>
      <c r="FL138" s="162">
        <f t="shared" si="3337"/>
        <v>0</v>
      </c>
      <c r="FM138" s="162">
        <f t="shared" si="3337"/>
        <v>0</v>
      </c>
      <c r="FN138" s="162">
        <f t="shared" si="3337"/>
        <v>0</v>
      </c>
      <c r="FO138" s="162">
        <f t="shared" si="3337"/>
        <v>0</v>
      </c>
      <c r="FP138" s="162">
        <f t="shared" si="3337"/>
        <v>0</v>
      </c>
      <c r="FQ138" s="162">
        <f t="shared" si="3337"/>
        <v>0</v>
      </c>
      <c r="FR138" s="162">
        <f t="shared" si="3337"/>
        <v>0</v>
      </c>
      <c r="FS138" s="162">
        <f t="shared" si="3337"/>
        <v>0</v>
      </c>
      <c r="FT138" s="162">
        <f t="shared" si="3337"/>
        <v>0</v>
      </c>
      <c r="FU138" s="162">
        <f t="shared" si="3337"/>
        <v>0</v>
      </c>
      <c r="FV138" s="162">
        <f t="shared" si="3337"/>
        <v>0</v>
      </c>
      <c r="FW138" s="162">
        <f t="shared" si="3337"/>
        <v>0</v>
      </c>
      <c r="FX138" s="162">
        <f t="shared" si="3337"/>
        <v>0</v>
      </c>
      <c r="FY138" s="162">
        <f t="shared" si="3337"/>
        <v>0</v>
      </c>
      <c r="FZ138" s="162">
        <f t="shared" si="3337"/>
        <v>0</v>
      </c>
      <c r="GA138" s="162">
        <f t="shared" si="3337"/>
        <v>0</v>
      </c>
      <c r="GB138" s="162">
        <f t="shared" si="3337"/>
        <v>0</v>
      </c>
      <c r="GC138" s="162">
        <f t="shared" si="3337"/>
        <v>0</v>
      </c>
      <c r="GD138" s="162">
        <f t="shared" si="3337"/>
        <v>0</v>
      </c>
      <c r="GE138" s="162">
        <f t="shared" si="3337"/>
        <v>0</v>
      </c>
      <c r="GF138" s="162">
        <f t="shared" si="3337"/>
        <v>0</v>
      </c>
      <c r="GG138" s="162">
        <f t="shared" si="3337"/>
        <v>0</v>
      </c>
      <c r="GH138" s="162">
        <f t="shared" si="3337"/>
        <v>0</v>
      </c>
      <c r="GI138" s="162">
        <f t="shared" si="3337"/>
        <v>0</v>
      </c>
      <c r="GJ138" s="162">
        <f t="shared" si="3337"/>
        <v>0</v>
      </c>
      <c r="GK138" s="162">
        <f t="shared" si="3337"/>
        <v>0</v>
      </c>
      <c r="GL138" s="162">
        <f t="shared" si="3337"/>
        <v>0</v>
      </c>
      <c r="GM138" s="162">
        <f t="shared" si="3337"/>
        <v>0</v>
      </c>
      <c r="GN138" s="162">
        <f t="shared" si="3337"/>
        <v>0</v>
      </c>
      <c r="GO138" s="162">
        <f t="shared" si="3337"/>
        <v>0</v>
      </c>
      <c r="GP138" s="162">
        <f t="shared" ref="GP138:GQ138" si="3338">SUM(GP125:GP129)</f>
        <v>0</v>
      </c>
      <c r="GQ138" s="162">
        <f t="shared" si="3338"/>
        <v>0</v>
      </c>
    </row>
    <row r="139" spans="2:199" hidden="1" outlineLevel="1" collapsed="1"/>
    <row r="140" spans="2:199" collapsed="1"/>
    <row r="220" spans="2:61">
      <c r="B220" s="1" t="s">
        <v>477</v>
      </c>
    </row>
    <row r="223" spans="2:61">
      <c r="B223" s="319"/>
      <c r="C223" s="319"/>
      <c r="D223" s="319"/>
      <c r="E223" s="319">
        <v>40908</v>
      </c>
      <c r="F223" s="318">
        <f>EOMONTH(E223,3)</f>
        <v>40999</v>
      </c>
      <c r="G223" s="318">
        <f t="shared" ref="G223:BI223" si="3339">EOMONTH(F223,3)</f>
        <v>41090</v>
      </c>
      <c r="H223" s="318">
        <f t="shared" si="3339"/>
        <v>41182</v>
      </c>
      <c r="I223" s="318">
        <f t="shared" si="3339"/>
        <v>41274</v>
      </c>
      <c r="J223" s="318">
        <f t="shared" si="3339"/>
        <v>41364</v>
      </c>
      <c r="K223" s="318">
        <f t="shared" si="3339"/>
        <v>41455</v>
      </c>
      <c r="L223" s="318">
        <f t="shared" si="3339"/>
        <v>41547</v>
      </c>
      <c r="M223" s="318">
        <f t="shared" si="3339"/>
        <v>41639</v>
      </c>
      <c r="N223" s="318">
        <f t="shared" si="3339"/>
        <v>41729</v>
      </c>
      <c r="O223" s="318">
        <f t="shared" si="3339"/>
        <v>41820</v>
      </c>
      <c r="P223" s="318">
        <f t="shared" si="3339"/>
        <v>41912</v>
      </c>
      <c r="Q223" s="318">
        <f t="shared" si="3339"/>
        <v>42004</v>
      </c>
      <c r="R223" s="318">
        <f t="shared" si="3339"/>
        <v>42094</v>
      </c>
      <c r="S223" s="318">
        <f t="shared" si="3339"/>
        <v>42185</v>
      </c>
      <c r="T223" s="318">
        <f t="shared" si="3339"/>
        <v>42277</v>
      </c>
      <c r="U223" s="318">
        <f t="shared" si="3339"/>
        <v>42369</v>
      </c>
      <c r="V223" s="318">
        <f t="shared" si="3339"/>
        <v>42460</v>
      </c>
      <c r="W223" s="318">
        <f t="shared" si="3339"/>
        <v>42551</v>
      </c>
      <c r="X223" s="318">
        <f t="shared" si="3339"/>
        <v>42643</v>
      </c>
      <c r="Y223" s="318">
        <f t="shared" si="3339"/>
        <v>42735</v>
      </c>
      <c r="Z223" s="318">
        <f t="shared" si="3339"/>
        <v>42825</v>
      </c>
      <c r="AA223" s="318">
        <f t="shared" si="3339"/>
        <v>42916</v>
      </c>
      <c r="AB223" s="318">
        <f t="shared" si="3339"/>
        <v>43008</v>
      </c>
      <c r="AC223" s="318">
        <f t="shared" si="3339"/>
        <v>43100</v>
      </c>
      <c r="AD223" s="318">
        <f t="shared" si="3339"/>
        <v>43190</v>
      </c>
      <c r="AE223" s="318">
        <f t="shared" si="3339"/>
        <v>43281</v>
      </c>
      <c r="AF223" s="318">
        <f t="shared" si="3339"/>
        <v>43373</v>
      </c>
      <c r="AG223" s="318">
        <f t="shared" si="3339"/>
        <v>43465</v>
      </c>
      <c r="AH223" s="318">
        <f t="shared" si="3339"/>
        <v>43555</v>
      </c>
      <c r="AI223" s="318">
        <f t="shared" si="3339"/>
        <v>43646</v>
      </c>
      <c r="AJ223" s="318">
        <f t="shared" si="3339"/>
        <v>43738</v>
      </c>
      <c r="AK223" s="318">
        <f t="shared" si="3339"/>
        <v>43830</v>
      </c>
      <c r="AL223" s="318">
        <f t="shared" si="3339"/>
        <v>43921</v>
      </c>
      <c r="AM223" s="318">
        <f t="shared" si="3339"/>
        <v>44012</v>
      </c>
      <c r="AN223" s="318">
        <f t="shared" si="3339"/>
        <v>44104</v>
      </c>
      <c r="AO223" s="318">
        <f t="shared" si="3339"/>
        <v>44196</v>
      </c>
      <c r="AP223" s="318">
        <f t="shared" si="3339"/>
        <v>44286</v>
      </c>
      <c r="AQ223" s="318">
        <f t="shared" si="3339"/>
        <v>44377</v>
      </c>
      <c r="AR223" s="318">
        <f t="shared" si="3339"/>
        <v>44469</v>
      </c>
      <c r="AS223" s="318">
        <f t="shared" si="3339"/>
        <v>44561</v>
      </c>
      <c r="AT223" s="318">
        <f t="shared" si="3339"/>
        <v>44651</v>
      </c>
      <c r="AU223" s="318">
        <f t="shared" si="3339"/>
        <v>44742</v>
      </c>
      <c r="AV223" s="318">
        <f t="shared" si="3339"/>
        <v>44834</v>
      </c>
      <c r="AW223" s="318">
        <f t="shared" si="3339"/>
        <v>44926</v>
      </c>
      <c r="AX223" s="318">
        <f t="shared" si="3339"/>
        <v>45016</v>
      </c>
      <c r="AY223" s="318">
        <f t="shared" si="3339"/>
        <v>45107</v>
      </c>
      <c r="AZ223" s="318">
        <f t="shared" si="3339"/>
        <v>45199</v>
      </c>
      <c r="BA223" s="318">
        <f t="shared" si="3339"/>
        <v>45291</v>
      </c>
      <c r="BB223" s="318">
        <f t="shared" si="3339"/>
        <v>45382</v>
      </c>
      <c r="BC223" s="318">
        <f t="shared" si="3339"/>
        <v>45473</v>
      </c>
      <c r="BD223" s="318">
        <f t="shared" si="3339"/>
        <v>45565</v>
      </c>
      <c r="BE223" s="318">
        <f t="shared" si="3339"/>
        <v>45657</v>
      </c>
      <c r="BF223" s="318">
        <f t="shared" si="3339"/>
        <v>45747</v>
      </c>
      <c r="BG223" s="318">
        <f t="shared" si="3339"/>
        <v>45838</v>
      </c>
      <c r="BH223" s="318">
        <f t="shared" si="3339"/>
        <v>45930</v>
      </c>
      <c r="BI223" s="318">
        <f t="shared" si="3339"/>
        <v>46022</v>
      </c>
    </row>
    <row r="225" spans="2:61">
      <c r="B225" s="315" t="s">
        <v>471</v>
      </c>
      <c r="F225" s="313" t="e">
        <f>#REF!</f>
        <v>#REF!</v>
      </c>
      <c r="G225" s="313" t="e">
        <f>#REF!</f>
        <v>#REF!</v>
      </c>
      <c r="H225" s="313" t="e">
        <f>#REF!</f>
        <v>#REF!</v>
      </c>
      <c r="I225" s="313" t="e">
        <f>#REF!</f>
        <v>#REF!</v>
      </c>
      <c r="J225" s="313" t="e">
        <f>#REF!</f>
        <v>#REF!</v>
      </c>
      <c r="K225" s="313" t="e">
        <f>#REF!</f>
        <v>#REF!</v>
      </c>
      <c r="L225" s="313" t="e">
        <f>#REF!</f>
        <v>#REF!</v>
      </c>
      <c r="M225" s="313" t="e">
        <f>#REF!</f>
        <v>#REF!</v>
      </c>
      <c r="N225" s="313" t="e">
        <f>#REF!</f>
        <v>#REF!</v>
      </c>
      <c r="O225" s="313" t="e">
        <f>#REF!</f>
        <v>#REF!</v>
      </c>
      <c r="P225" s="313" t="e">
        <f>#REF!</f>
        <v>#REF!</v>
      </c>
      <c r="Q225" s="313" t="e">
        <f>#REF!</f>
        <v>#REF!</v>
      </c>
      <c r="R225" s="313" t="e">
        <f>#REF!</f>
        <v>#REF!</v>
      </c>
      <c r="S225" s="313" t="e">
        <f>#REF!</f>
        <v>#REF!</v>
      </c>
      <c r="T225" s="313" t="e">
        <f>#REF!</f>
        <v>#REF!</v>
      </c>
      <c r="U225" s="313" t="e">
        <f>#REF!</f>
        <v>#REF!</v>
      </c>
      <c r="V225" s="313" t="e">
        <f>#REF!</f>
        <v>#REF!</v>
      </c>
      <c r="W225" s="313" t="e">
        <f>#REF!</f>
        <v>#REF!</v>
      </c>
      <c r="X225" s="313" t="e">
        <f>#REF!</f>
        <v>#REF!</v>
      </c>
      <c r="Y225" s="313" t="e">
        <f>#REF!</f>
        <v>#REF!</v>
      </c>
      <c r="Z225" s="313" t="e">
        <f>#REF!</f>
        <v>#REF!</v>
      </c>
      <c r="AA225" s="313" t="e">
        <f>#REF!</f>
        <v>#REF!</v>
      </c>
      <c r="AB225" s="313" t="e">
        <f>#REF!</f>
        <v>#REF!</v>
      </c>
      <c r="AC225" s="313" t="e">
        <f>#REF!</f>
        <v>#REF!</v>
      </c>
      <c r="AD225" s="313" t="e">
        <f>#REF!</f>
        <v>#REF!</v>
      </c>
      <c r="AE225" s="313" t="e">
        <f>#REF!</f>
        <v>#REF!</v>
      </c>
      <c r="AF225" s="313" t="e">
        <f>#REF!</f>
        <v>#REF!</v>
      </c>
      <c r="AG225" s="313" t="e">
        <f>#REF!</f>
        <v>#REF!</v>
      </c>
      <c r="AH225" s="313" t="e">
        <f>#REF!</f>
        <v>#REF!</v>
      </c>
      <c r="AI225" s="313" t="e">
        <f>#REF!</f>
        <v>#REF!</v>
      </c>
      <c r="AJ225" s="313" t="e">
        <f>#REF!</f>
        <v>#REF!</v>
      </c>
      <c r="AK225" s="313" t="e">
        <f>#REF!</f>
        <v>#REF!</v>
      </c>
      <c r="AL225" s="313" t="e">
        <f>#REF!</f>
        <v>#REF!</v>
      </c>
      <c r="AM225" s="313" t="e">
        <f>#REF!</f>
        <v>#REF!</v>
      </c>
      <c r="AN225" s="313" t="e">
        <f>#REF!</f>
        <v>#REF!</v>
      </c>
      <c r="AO225" s="313" t="e">
        <f>#REF!</f>
        <v>#REF!</v>
      </c>
      <c r="AP225" s="313" t="e">
        <f>#REF!</f>
        <v>#REF!</v>
      </c>
      <c r="AQ225" s="313" t="e">
        <f>#REF!</f>
        <v>#REF!</v>
      </c>
      <c r="AR225" s="313" t="e">
        <f>#REF!</f>
        <v>#REF!</v>
      </c>
      <c r="AS225" s="313" t="e">
        <f>#REF!</f>
        <v>#REF!</v>
      </c>
      <c r="AT225" s="313" t="e">
        <f>#REF!</f>
        <v>#REF!</v>
      </c>
      <c r="AU225" s="313" t="e">
        <f>#REF!</f>
        <v>#REF!</v>
      </c>
      <c r="AV225" s="313" t="e">
        <f>#REF!</f>
        <v>#REF!</v>
      </c>
      <c r="AW225" s="313" t="e">
        <f>#REF!</f>
        <v>#REF!</v>
      </c>
      <c r="AX225" s="313" t="e">
        <f>#REF!</f>
        <v>#REF!</v>
      </c>
      <c r="AY225" s="313" t="e">
        <f>#REF!</f>
        <v>#REF!</v>
      </c>
      <c r="AZ225" s="313" t="e">
        <f>#REF!</f>
        <v>#REF!</v>
      </c>
      <c r="BA225" s="313" t="e">
        <f>#REF!</f>
        <v>#REF!</v>
      </c>
      <c r="BB225" s="313" t="e">
        <f>#REF!</f>
        <v>#REF!</v>
      </c>
      <c r="BC225" s="313" t="e">
        <f>#REF!</f>
        <v>#REF!</v>
      </c>
      <c r="BD225" s="313" t="e">
        <f>#REF!</f>
        <v>#REF!</v>
      </c>
      <c r="BE225" s="313" t="e">
        <f>#REF!</f>
        <v>#REF!</v>
      </c>
      <c r="BF225" s="313" t="e">
        <f>#REF!</f>
        <v>#REF!</v>
      </c>
      <c r="BG225" s="313" t="e">
        <f>#REF!</f>
        <v>#REF!</v>
      </c>
      <c r="BH225" s="313" t="e">
        <f>#REF!</f>
        <v>#REF!</v>
      </c>
      <c r="BI225" s="313" t="e">
        <f>#REF!</f>
        <v>#REF!</v>
      </c>
    </row>
    <row r="226" spans="2:61" ht="3" customHeight="1">
      <c r="F226" s="313"/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  <c r="T226" s="313"/>
      <c r="U226" s="313"/>
      <c r="V226" s="313"/>
      <c r="W226" s="313"/>
      <c r="X226" s="313"/>
      <c r="Y226" s="313"/>
      <c r="Z226" s="313"/>
      <c r="AA226" s="313"/>
      <c r="AB226" s="313"/>
      <c r="AC226" s="313"/>
      <c r="AD226" s="313"/>
      <c r="AE226" s="313"/>
      <c r="AF226" s="313"/>
      <c r="AG226" s="313"/>
      <c r="AH226" s="313"/>
      <c r="AI226" s="313"/>
      <c r="AJ226" s="313"/>
      <c r="AK226" s="313"/>
      <c r="AL226" s="313"/>
      <c r="AM226" s="313"/>
      <c r="AN226" s="313"/>
      <c r="AO226" s="313"/>
      <c r="AP226" s="313"/>
      <c r="AQ226" s="313"/>
      <c r="AR226" s="313"/>
      <c r="AS226" s="313"/>
      <c r="AT226" s="313"/>
      <c r="AU226" s="313"/>
      <c r="AV226" s="313"/>
      <c r="AW226" s="313"/>
      <c r="AX226" s="313"/>
      <c r="AY226" s="313"/>
      <c r="AZ226" s="313"/>
      <c r="BA226" s="313"/>
      <c r="BB226" s="313"/>
      <c r="BC226" s="313"/>
      <c r="BD226" s="313"/>
      <c r="BE226" s="313"/>
      <c r="BF226" s="313"/>
      <c r="BG226" s="313"/>
      <c r="BH226" s="313"/>
      <c r="BI226" s="313"/>
    </row>
    <row r="227" spans="2:61">
      <c r="B227" s="315" t="s">
        <v>475</v>
      </c>
      <c r="C227" s="304">
        <v>0.02</v>
      </c>
      <c r="F227" s="306">
        <f>(1+HLOOKUP(F223,Macroeconomics!$B$5:$GB$36,Macroeconomics!$A$24,0))*(1+$C$227)^(1/4)-1</f>
        <v>2.968343533167439E-2</v>
      </c>
      <c r="G227" s="306">
        <f>(1+HLOOKUP(G223,Macroeconomics!$B$5:$GB$36,Macroeconomics!$A$24,0))*(1+$C$227)^(1/4)-1</f>
        <v>2.5969355529880556E-2</v>
      </c>
      <c r="H227" s="306">
        <f>(1+HLOOKUP(H223,Macroeconomics!$B$5:$GB$36,Macroeconomics!$A$24,0))*(1+$C$227)^(1/4)-1</f>
        <v>2.5106095810365714E-2</v>
      </c>
      <c r="I227" s="306">
        <f>(1+HLOOKUP(I223,Macroeconomics!$B$5:$GB$36,Macroeconomics!$A$24,0))*(1+$C$227)^(1/4)-1</f>
        <v>2.4345911424824562E-2</v>
      </c>
      <c r="J227" s="306">
        <f>(1+HLOOKUP(J223,Macroeconomics!$B$5:$GB$36,Macroeconomics!$A$24,0))*(1+$C$227)^(1/4)-1</f>
        <v>2.3708213989851235E-2</v>
      </c>
      <c r="K227" s="306">
        <f>(1+HLOOKUP(K223,Macroeconomics!$B$5:$GB$36,Macroeconomics!$A$24,0))*(1+$C$227)^(1/4)-1</f>
        <v>2.4664909081584918E-2</v>
      </c>
      <c r="L227" s="306">
        <f>(1+HLOOKUP(L223,Macroeconomics!$B$5:$GB$36,Macroeconomics!$A$24,0))*(1+$C$227)^(1/4)-1</f>
        <v>2.5819850139993994E-2</v>
      </c>
      <c r="M227" s="306">
        <f>(1+HLOOKUP(M223,Macroeconomics!$B$5:$GB$36,Macroeconomics!$A$24,0))*(1+$C$227)^(1/4)-1</f>
        <v>2.7969622622962653E-2</v>
      </c>
      <c r="N227" s="306">
        <f>(1+HLOOKUP(N223,Macroeconomics!$B$5:$GB$36,Macroeconomics!$A$24,0))*(1+$C$227)^(1/4)-1</f>
        <v>2.7446939296292383E-2</v>
      </c>
      <c r="O227" s="306">
        <f>(1+HLOOKUP(O223,Macroeconomics!$B$5:$GB$36,Macroeconomics!$A$24,0))*(1+$C$227)^(1/4)-1</f>
        <v>2.7446939315151742E-2</v>
      </c>
      <c r="P227" s="306">
        <f>(1+HLOOKUP(P223,Macroeconomics!$B$5:$GB$36,Macroeconomics!$A$24,0))*(1+$C$227)^(1/4)-1</f>
        <v>2.9329017825510562E-2</v>
      </c>
      <c r="Q227" s="306">
        <f>(1+HLOOKUP(Q223,Macroeconomics!$B$5:$GB$36,Macroeconomics!$A$24,0))*(1+$C$227)^(1/4)-1</f>
        <v>2.8952326510291115E-2</v>
      </c>
      <c r="R227" s="306">
        <f>(1+HLOOKUP(R223,Macroeconomics!$B$5:$GB$36,Macroeconomics!$A$24,0))*(1+$C$227)^(1/4)-1</f>
        <v>2.7446939277390392E-2</v>
      </c>
      <c r="S227" s="306">
        <f>(1+HLOOKUP(S223,Macroeconomics!$B$5:$GB$36,Macroeconomics!$A$24,0))*(1+$C$227)^(1/4)-1</f>
        <v>2.7446939315151742E-2</v>
      </c>
      <c r="T227" s="306">
        <f>(1+HLOOKUP(T223,Macroeconomics!$B$5:$GB$36,Macroeconomics!$A$24,0))*(1+$C$227)^(1/4)-1</f>
        <v>2.8952326519725124E-2</v>
      </c>
      <c r="U227" s="306">
        <f>(1+HLOOKUP(U223,Macroeconomics!$B$5:$GB$36,Macroeconomics!$A$24,0))*(1+$C$227)^(1/4)-1</f>
        <v>2.8199357417408422E-2</v>
      </c>
      <c r="V227" s="306">
        <f>(1+HLOOKUP(V223,Macroeconomics!$B$5:$GB$36,Macroeconomics!$A$24,0))*(1+$C$227)^(1/4)-1</f>
        <v>2.8423528117929475E-2</v>
      </c>
      <c r="W227" s="306">
        <f>(1+HLOOKUP(W223,Macroeconomics!$B$5:$GB$36,Macroeconomics!$A$24,0))*(1+$C$227)^(1/4)-1</f>
        <v>2.8423528117929475E-2</v>
      </c>
      <c r="X227" s="306">
        <f>(1+HLOOKUP(X223,Macroeconomics!$B$5:$GB$36,Macroeconomics!$A$24,0))*(1+$C$227)^(1/4)-1</f>
        <v>2.8423528117929475E-2</v>
      </c>
      <c r="Y227" s="306">
        <f>(1+HLOOKUP(Y223,Macroeconomics!$B$5:$GB$36,Macroeconomics!$A$24,0))*(1+$C$227)^(1/4)-1</f>
        <v>2.8423528117929475E-2</v>
      </c>
      <c r="Z227" s="306">
        <f>(1+HLOOKUP(Z223,Macroeconomics!$B$5:$GB$36,Macroeconomics!$A$24,0))*(1+$C$227)^(1/4)-1</f>
        <v>2.8423528117929475E-2</v>
      </c>
      <c r="AA227" s="306">
        <f>(1+HLOOKUP(AA223,Macroeconomics!$B$5:$GB$36,Macroeconomics!$A$24,0))*(1+$C$227)^(1/4)-1</f>
        <v>2.8423528117929475E-2</v>
      </c>
      <c r="AB227" s="306">
        <f>(1+HLOOKUP(AB223,Macroeconomics!$B$5:$GB$36,Macroeconomics!$A$24,0))*(1+$C$227)^(1/4)-1</f>
        <v>2.8423528117929475E-2</v>
      </c>
      <c r="AC227" s="306">
        <f>(1+HLOOKUP(AC223,Macroeconomics!$B$5:$GB$36,Macroeconomics!$A$24,0))*(1+$C$227)^(1/4)-1</f>
        <v>2.8423528117929475E-2</v>
      </c>
      <c r="AD227" s="306">
        <f>(1+HLOOKUP(AD223,Macroeconomics!$B$5:$GB$36,Macroeconomics!$A$24,0))*(1+$C$227)^(1/4)-1</f>
        <v>2.7860419568760397E-2</v>
      </c>
      <c r="AE227" s="306">
        <f>(1+HLOOKUP(AE223,Macroeconomics!$B$5:$GB$36,Macroeconomics!$A$24,0))*(1+$C$227)^(1/4)-1</f>
        <v>2.7860419568760397E-2</v>
      </c>
      <c r="AF227" s="306">
        <f>(1+HLOOKUP(AF223,Macroeconomics!$B$5:$GB$36,Macroeconomics!$A$24,0))*(1+$C$227)^(1/4)-1</f>
        <v>2.7860419568760397E-2</v>
      </c>
      <c r="AG227" s="306">
        <f>(1+HLOOKUP(AG223,Macroeconomics!$B$5:$GB$36,Macroeconomics!$A$24,0))*(1+$C$227)^(1/4)-1</f>
        <v>2.7860419568760397E-2</v>
      </c>
      <c r="AH227" s="306">
        <f>(1+HLOOKUP(AH223,Macroeconomics!$B$5:$GB$36,Macroeconomics!$A$24,0))*(1+$C$227)^(1/4)-1</f>
        <v>2.783693661973663E-2</v>
      </c>
      <c r="AI227" s="306">
        <f>(1+HLOOKUP(AI223,Macroeconomics!$B$5:$GB$36,Macroeconomics!$A$24,0))*(1+$C$227)^(1/4)-1</f>
        <v>2.783693661973663E-2</v>
      </c>
      <c r="AJ227" s="306">
        <f>(1+HLOOKUP(AJ223,Macroeconomics!$B$5:$GB$36,Macroeconomics!$A$24,0))*(1+$C$227)^(1/4)-1</f>
        <v>2.783693661973663E-2</v>
      </c>
      <c r="AK227" s="306">
        <f>(1+HLOOKUP(AK223,Macroeconomics!$B$5:$GB$36,Macroeconomics!$A$24,0))*(1+$C$227)^(1/4)-1</f>
        <v>2.783693661973663E-2</v>
      </c>
      <c r="AL227" s="306">
        <f>(1+HLOOKUP(AL223,Macroeconomics!$B$5:$GB$36,Macroeconomics!$A$24,0))*(1+$C$227)^(1/4)-1</f>
        <v>2.783693661973663E-2</v>
      </c>
      <c r="AM227" s="306">
        <f>(1+HLOOKUP(AM223,Macroeconomics!$B$5:$GB$36,Macroeconomics!$A$24,0))*(1+$C$227)^(1/4)-1</f>
        <v>2.783693661973663E-2</v>
      </c>
      <c r="AN227" s="306">
        <f>(1+HLOOKUP(AN223,Macroeconomics!$B$5:$GB$36,Macroeconomics!$A$24,0))*(1+$C$227)^(1/4)-1</f>
        <v>2.783693661973663E-2</v>
      </c>
      <c r="AO227" s="306">
        <f>(1+HLOOKUP(AO223,Macroeconomics!$B$5:$GB$36,Macroeconomics!$A$24,0))*(1+$C$227)^(1/4)-1</f>
        <v>2.783693661973663E-2</v>
      </c>
      <c r="AP227" s="306">
        <f>(1+HLOOKUP(AP223,Macroeconomics!$B$5:$GB$36,Macroeconomics!$A$24,0))*(1+$C$227)^(1/4)-1</f>
        <v>2.783693661973663E-2</v>
      </c>
      <c r="AQ227" s="306">
        <f>(1+HLOOKUP(AQ223,Macroeconomics!$B$5:$GB$36,Macroeconomics!$A$24,0))*(1+$C$227)^(1/4)-1</f>
        <v>2.783693661973663E-2</v>
      </c>
      <c r="AR227" s="306">
        <f>(1+HLOOKUP(AR223,Macroeconomics!$B$5:$GB$36,Macroeconomics!$A$24,0))*(1+$C$227)^(1/4)-1</f>
        <v>2.783693661973663E-2</v>
      </c>
      <c r="AS227" s="306">
        <f>(1+HLOOKUP(AS223,Macroeconomics!$B$5:$GB$36,Macroeconomics!$A$24,0))*(1+$C$227)^(1/4)-1</f>
        <v>2.783693661973663E-2</v>
      </c>
      <c r="AT227" s="306">
        <f>(1+HLOOKUP(AT223,Macroeconomics!$B$5:$GB$36,Macroeconomics!$A$24,0))*(1+$C$227)^(1/4)-1</f>
        <v>2.7272862354477789E-2</v>
      </c>
      <c r="AU227" s="306">
        <f>(1+HLOOKUP(AU223,Macroeconomics!$B$5:$GB$36,Macroeconomics!$A$24,0))*(1+$C$227)^(1/4)-1</f>
        <v>2.7272862354477789E-2</v>
      </c>
      <c r="AV227" s="306">
        <f>(1+HLOOKUP(AV223,Macroeconomics!$B$5:$GB$36,Macroeconomics!$A$24,0))*(1+$C$227)^(1/4)-1</f>
        <v>2.7272862354477789E-2</v>
      </c>
      <c r="AW227" s="306">
        <f>(1+HLOOKUP(AW223,Macroeconomics!$B$5:$GB$36,Macroeconomics!$A$24,0))*(1+$C$227)^(1/4)-1</f>
        <v>2.7272862354477789E-2</v>
      </c>
      <c r="AX227" s="306">
        <f>(1+HLOOKUP(AX223,Macroeconomics!$B$5:$GB$36,Macroeconomics!$A$24,0))*(1+$C$227)^(1/4)-1</f>
        <v>2.7272862354477789E-2</v>
      </c>
      <c r="AY227" s="306">
        <f>(1+HLOOKUP(AY223,Macroeconomics!$B$5:$GB$36,Macroeconomics!$A$24,0))*(1+$C$227)^(1/4)-1</f>
        <v>2.7272862354477789E-2</v>
      </c>
      <c r="AZ227" s="306">
        <f>(1+HLOOKUP(AZ223,Macroeconomics!$B$5:$GB$36,Macroeconomics!$A$24,0))*(1+$C$227)^(1/4)-1</f>
        <v>2.7272862354477789E-2</v>
      </c>
      <c r="BA227" s="306">
        <f>(1+HLOOKUP(BA223,Macroeconomics!$B$5:$GB$36,Macroeconomics!$A$24,0))*(1+$C$227)^(1/4)-1</f>
        <v>2.7272862354477789E-2</v>
      </c>
      <c r="BB227" s="306">
        <f>(1+HLOOKUP(BB223,Macroeconomics!$B$5:$GB$36,Macroeconomics!$A$24,0))*(1+$C$227)^(1/4)-1</f>
        <v>2.7272862354477789E-2</v>
      </c>
      <c r="BC227" s="306">
        <f>(1+HLOOKUP(BC223,Macroeconomics!$B$5:$GB$36,Macroeconomics!$A$24,0))*(1+$C$227)^(1/4)-1</f>
        <v>2.7272862354477789E-2</v>
      </c>
      <c r="BD227" s="306">
        <f>(1+HLOOKUP(BD223,Macroeconomics!$B$5:$GB$36,Macroeconomics!$A$24,0))*(1+$C$227)^(1/4)-1</f>
        <v>2.7272862354477789E-2</v>
      </c>
      <c r="BE227" s="306">
        <f>(1+HLOOKUP(BE223,Macroeconomics!$B$5:$GB$36,Macroeconomics!$A$24,0))*(1+$C$227)^(1/4)-1</f>
        <v>2.7272862354477789E-2</v>
      </c>
      <c r="BF227" s="306">
        <f>(1+HLOOKUP(BF223,Macroeconomics!$B$5:$GB$36,Macroeconomics!$A$24,0))*(1+$C$227)^(1/4)-1</f>
        <v>2.7272862354477789E-2</v>
      </c>
      <c r="BG227" s="306">
        <f>(1+HLOOKUP(BG223,Macroeconomics!$B$5:$GB$36,Macroeconomics!$A$24,0))*(1+$C$227)^(1/4)-1</f>
        <v>2.7272862354477789E-2</v>
      </c>
      <c r="BH227" s="306">
        <f>(1+HLOOKUP(BH223,Macroeconomics!$B$5:$GB$36,Macroeconomics!$A$24,0))*(1+$C$227)^(1/4)-1</f>
        <v>2.7272862354477789E-2</v>
      </c>
      <c r="BI227" s="306">
        <f>(1+HLOOKUP(BI223,Macroeconomics!$B$5:$GB$36,Macroeconomics!$A$24,0))*(1+$C$227)^(1/4)-1</f>
        <v>2.7272862354477789E-2</v>
      </c>
    </row>
    <row r="228" spans="2:61">
      <c r="B228" s="308" t="s">
        <v>476</v>
      </c>
      <c r="C228" s="308"/>
      <c r="D228" s="308"/>
      <c r="E228" s="308"/>
      <c r="F228" s="305" t="e">
        <f>F225*-F227</f>
        <v>#REF!</v>
      </c>
      <c r="G228" s="305" t="e">
        <f>(G225*60%)*-G227</f>
        <v>#REF!</v>
      </c>
      <c r="H228" s="305" t="e">
        <f t="shared" ref="H228:BI228" si="3340">(H225*60%)*-H227</f>
        <v>#REF!</v>
      </c>
      <c r="I228" s="305" t="e">
        <f t="shared" si="3340"/>
        <v>#REF!</v>
      </c>
      <c r="J228" s="305" t="e">
        <f t="shared" si="3340"/>
        <v>#REF!</v>
      </c>
      <c r="K228" s="305" t="e">
        <f t="shared" si="3340"/>
        <v>#REF!</v>
      </c>
      <c r="L228" s="305" t="e">
        <f t="shared" si="3340"/>
        <v>#REF!</v>
      </c>
      <c r="M228" s="305" t="e">
        <f t="shared" si="3340"/>
        <v>#REF!</v>
      </c>
      <c r="N228" s="305" t="e">
        <f t="shared" si="3340"/>
        <v>#REF!</v>
      </c>
      <c r="O228" s="305" t="e">
        <f t="shared" si="3340"/>
        <v>#REF!</v>
      </c>
      <c r="P228" s="305" t="e">
        <f t="shared" si="3340"/>
        <v>#REF!</v>
      </c>
      <c r="Q228" s="305" t="e">
        <f t="shared" si="3340"/>
        <v>#REF!</v>
      </c>
      <c r="R228" s="305" t="e">
        <f t="shared" si="3340"/>
        <v>#REF!</v>
      </c>
      <c r="S228" s="305" t="e">
        <f t="shared" si="3340"/>
        <v>#REF!</v>
      </c>
      <c r="T228" s="305" t="e">
        <f t="shared" si="3340"/>
        <v>#REF!</v>
      </c>
      <c r="U228" s="305" t="e">
        <f t="shared" si="3340"/>
        <v>#REF!</v>
      </c>
      <c r="V228" s="305" t="e">
        <f t="shared" si="3340"/>
        <v>#REF!</v>
      </c>
      <c r="W228" s="305" t="e">
        <f t="shared" si="3340"/>
        <v>#REF!</v>
      </c>
      <c r="X228" s="305" t="e">
        <f t="shared" si="3340"/>
        <v>#REF!</v>
      </c>
      <c r="Y228" s="305" t="e">
        <f t="shared" si="3340"/>
        <v>#REF!</v>
      </c>
      <c r="Z228" s="305" t="e">
        <f t="shared" si="3340"/>
        <v>#REF!</v>
      </c>
      <c r="AA228" s="305" t="e">
        <f t="shared" si="3340"/>
        <v>#REF!</v>
      </c>
      <c r="AB228" s="305" t="e">
        <f t="shared" si="3340"/>
        <v>#REF!</v>
      </c>
      <c r="AC228" s="305" t="e">
        <f t="shared" si="3340"/>
        <v>#REF!</v>
      </c>
      <c r="AD228" s="305" t="e">
        <f t="shared" si="3340"/>
        <v>#REF!</v>
      </c>
      <c r="AE228" s="305" t="e">
        <f t="shared" si="3340"/>
        <v>#REF!</v>
      </c>
      <c r="AF228" s="305" t="e">
        <f t="shared" si="3340"/>
        <v>#REF!</v>
      </c>
      <c r="AG228" s="305" t="e">
        <f t="shared" si="3340"/>
        <v>#REF!</v>
      </c>
      <c r="AH228" s="305" t="e">
        <f t="shared" si="3340"/>
        <v>#REF!</v>
      </c>
      <c r="AI228" s="305" t="e">
        <f t="shared" si="3340"/>
        <v>#REF!</v>
      </c>
      <c r="AJ228" s="305" t="e">
        <f t="shared" si="3340"/>
        <v>#REF!</v>
      </c>
      <c r="AK228" s="305" t="e">
        <f t="shared" si="3340"/>
        <v>#REF!</v>
      </c>
      <c r="AL228" s="305" t="e">
        <f t="shared" si="3340"/>
        <v>#REF!</v>
      </c>
      <c r="AM228" s="305" t="e">
        <f t="shared" si="3340"/>
        <v>#REF!</v>
      </c>
      <c r="AN228" s="305" t="e">
        <f t="shared" si="3340"/>
        <v>#REF!</v>
      </c>
      <c r="AO228" s="305" t="e">
        <f t="shared" si="3340"/>
        <v>#REF!</v>
      </c>
      <c r="AP228" s="305" t="e">
        <f t="shared" si="3340"/>
        <v>#REF!</v>
      </c>
      <c r="AQ228" s="305" t="e">
        <f t="shared" si="3340"/>
        <v>#REF!</v>
      </c>
      <c r="AR228" s="305" t="e">
        <f t="shared" si="3340"/>
        <v>#REF!</v>
      </c>
      <c r="AS228" s="305" t="e">
        <f t="shared" si="3340"/>
        <v>#REF!</v>
      </c>
      <c r="AT228" s="305" t="e">
        <f t="shared" si="3340"/>
        <v>#REF!</v>
      </c>
      <c r="AU228" s="305" t="e">
        <f t="shared" si="3340"/>
        <v>#REF!</v>
      </c>
      <c r="AV228" s="305" t="e">
        <f t="shared" si="3340"/>
        <v>#REF!</v>
      </c>
      <c r="AW228" s="305" t="e">
        <f t="shared" si="3340"/>
        <v>#REF!</v>
      </c>
      <c r="AX228" s="305" t="e">
        <f t="shared" si="3340"/>
        <v>#REF!</v>
      </c>
      <c r="AY228" s="305" t="e">
        <f t="shared" si="3340"/>
        <v>#REF!</v>
      </c>
      <c r="AZ228" s="305" t="e">
        <f t="shared" si="3340"/>
        <v>#REF!</v>
      </c>
      <c r="BA228" s="305" t="e">
        <f t="shared" si="3340"/>
        <v>#REF!</v>
      </c>
      <c r="BB228" s="305" t="e">
        <f t="shared" si="3340"/>
        <v>#REF!</v>
      </c>
      <c r="BC228" s="305" t="e">
        <f t="shared" si="3340"/>
        <v>#REF!</v>
      </c>
      <c r="BD228" s="305" t="e">
        <f t="shared" si="3340"/>
        <v>#REF!</v>
      </c>
      <c r="BE228" s="305" t="e">
        <f t="shared" si="3340"/>
        <v>#REF!</v>
      </c>
      <c r="BF228" s="305" t="e">
        <f t="shared" si="3340"/>
        <v>#REF!</v>
      </c>
      <c r="BG228" s="305" t="e">
        <f t="shared" si="3340"/>
        <v>#REF!</v>
      </c>
      <c r="BH228" s="305" t="e">
        <f t="shared" si="3340"/>
        <v>#REF!</v>
      </c>
      <c r="BI228" s="305" t="e">
        <f t="shared" si="3340"/>
        <v>#REF!</v>
      </c>
    </row>
    <row r="229" spans="2:61">
      <c r="F229" s="313"/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  <c r="T229" s="313"/>
      <c r="U229" s="313"/>
      <c r="V229" s="313"/>
      <c r="W229" s="313"/>
      <c r="X229" s="313"/>
      <c r="Y229" s="313"/>
      <c r="Z229" s="313"/>
      <c r="AA229" s="313"/>
      <c r="AB229" s="313"/>
      <c r="AC229" s="313"/>
      <c r="AD229" s="313"/>
      <c r="AE229" s="313"/>
      <c r="AF229" s="313"/>
      <c r="AG229" s="313"/>
      <c r="AH229" s="313"/>
      <c r="AI229" s="313"/>
      <c r="AJ229" s="313"/>
      <c r="AK229" s="313"/>
      <c r="AL229" s="313"/>
      <c r="AM229" s="313"/>
      <c r="AN229" s="313"/>
      <c r="AO229" s="313"/>
      <c r="AP229" s="313"/>
      <c r="AQ229" s="313"/>
      <c r="AR229" s="313"/>
      <c r="AS229" s="313"/>
      <c r="AT229" s="313"/>
      <c r="AU229" s="313"/>
      <c r="AV229" s="313"/>
      <c r="AW229" s="313"/>
      <c r="AX229" s="313"/>
      <c r="AY229" s="313"/>
      <c r="AZ229" s="313"/>
      <c r="BA229" s="313"/>
      <c r="BB229" s="313"/>
      <c r="BC229" s="313"/>
      <c r="BD229" s="313"/>
      <c r="BE229" s="313"/>
      <c r="BF229" s="313"/>
      <c r="BG229" s="313"/>
      <c r="BH229" s="313"/>
      <c r="BI229" s="313"/>
    </row>
    <row r="230" spans="2:61">
      <c r="F230" s="313"/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  <c r="T230" s="313"/>
      <c r="U230" s="313"/>
      <c r="V230" s="313"/>
      <c r="W230" s="313"/>
      <c r="X230" s="313"/>
      <c r="Y230" s="313"/>
      <c r="Z230" s="313"/>
      <c r="AA230" s="313"/>
      <c r="AB230" s="313"/>
      <c r="AC230" s="313"/>
      <c r="AD230" s="313"/>
      <c r="AE230" s="313"/>
      <c r="AF230" s="313"/>
      <c r="AG230" s="313"/>
      <c r="AH230" s="313"/>
      <c r="AI230" s="313"/>
      <c r="AJ230" s="313"/>
      <c r="AK230" s="313"/>
      <c r="AL230" s="313"/>
      <c r="AM230" s="313"/>
      <c r="AN230" s="313"/>
      <c r="AO230" s="313"/>
      <c r="AP230" s="313"/>
      <c r="AQ230" s="313"/>
      <c r="AR230" s="313"/>
      <c r="AS230" s="313"/>
      <c r="AT230" s="313"/>
      <c r="AU230" s="313"/>
      <c r="AV230" s="313"/>
      <c r="AW230" s="313"/>
      <c r="AX230" s="313"/>
      <c r="AY230" s="313"/>
      <c r="AZ230" s="313"/>
      <c r="BA230" s="313"/>
      <c r="BB230" s="313"/>
      <c r="BC230" s="313"/>
      <c r="BD230" s="313"/>
      <c r="BE230" s="313"/>
      <c r="BF230" s="313"/>
      <c r="BG230" s="313"/>
      <c r="BH230" s="313"/>
      <c r="BI230" s="313"/>
    </row>
    <row r="231" spans="2:61" hidden="1">
      <c r="B231" s="315" t="s">
        <v>472</v>
      </c>
      <c r="F231" s="315">
        <v>0</v>
      </c>
      <c r="G231" s="313" t="e">
        <f>MAX(0,G225-F225)</f>
        <v>#REF!</v>
      </c>
      <c r="H231" s="313" t="e">
        <f t="shared" ref="H231:BI231" si="3341">MAX(0,H225-G225)</f>
        <v>#REF!</v>
      </c>
      <c r="I231" s="313" t="e">
        <f t="shared" si="3341"/>
        <v>#REF!</v>
      </c>
      <c r="J231" s="313" t="e">
        <f t="shared" si="3341"/>
        <v>#REF!</v>
      </c>
      <c r="K231" s="313" t="e">
        <f t="shared" si="3341"/>
        <v>#REF!</v>
      </c>
      <c r="L231" s="313" t="e">
        <f t="shared" si="3341"/>
        <v>#REF!</v>
      </c>
      <c r="M231" s="313" t="e">
        <f t="shared" si="3341"/>
        <v>#REF!</v>
      </c>
      <c r="N231" s="313" t="e">
        <f t="shared" si="3341"/>
        <v>#REF!</v>
      </c>
      <c r="O231" s="313" t="e">
        <f t="shared" si="3341"/>
        <v>#REF!</v>
      </c>
      <c r="P231" s="313" t="e">
        <f t="shared" si="3341"/>
        <v>#REF!</v>
      </c>
      <c r="Q231" s="313" t="e">
        <f t="shared" si="3341"/>
        <v>#REF!</v>
      </c>
      <c r="R231" s="313" t="e">
        <f t="shared" si="3341"/>
        <v>#REF!</v>
      </c>
      <c r="S231" s="313" t="e">
        <f t="shared" si="3341"/>
        <v>#REF!</v>
      </c>
      <c r="T231" s="313" t="e">
        <f t="shared" si="3341"/>
        <v>#REF!</v>
      </c>
      <c r="U231" s="313" t="e">
        <f t="shared" si="3341"/>
        <v>#REF!</v>
      </c>
      <c r="V231" s="313" t="e">
        <f t="shared" si="3341"/>
        <v>#REF!</v>
      </c>
      <c r="W231" s="313" t="e">
        <f t="shared" si="3341"/>
        <v>#REF!</v>
      </c>
      <c r="X231" s="313" t="e">
        <f t="shared" si="3341"/>
        <v>#REF!</v>
      </c>
      <c r="Y231" s="313" t="e">
        <f t="shared" si="3341"/>
        <v>#REF!</v>
      </c>
      <c r="Z231" s="313" t="e">
        <f t="shared" si="3341"/>
        <v>#REF!</v>
      </c>
      <c r="AA231" s="313" t="e">
        <f t="shared" si="3341"/>
        <v>#REF!</v>
      </c>
      <c r="AB231" s="313" t="e">
        <f t="shared" si="3341"/>
        <v>#REF!</v>
      </c>
      <c r="AC231" s="313" t="e">
        <f t="shared" si="3341"/>
        <v>#REF!</v>
      </c>
      <c r="AD231" s="313" t="e">
        <f t="shared" si="3341"/>
        <v>#REF!</v>
      </c>
      <c r="AE231" s="313" t="e">
        <f t="shared" si="3341"/>
        <v>#REF!</v>
      </c>
      <c r="AF231" s="313" t="e">
        <f t="shared" si="3341"/>
        <v>#REF!</v>
      </c>
      <c r="AG231" s="313" t="e">
        <f t="shared" si="3341"/>
        <v>#REF!</v>
      </c>
      <c r="AH231" s="313" t="e">
        <f t="shared" si="3341"/>
        <v>#REF!</v>
      </c>
      <c r="AI231" s="313" t="e">
        <f t="shared" si="3341"/>
        <v>#REF!</v>
      </c>
      <c r="AJ231" s="313" t="e">
        <f t="shared" si="3341"/>
        <v>#REF!</v>
      </c>
      <c r="AK231" s="313" t="e">
        <f t="shared" si="3341"/>
        <v>#REF!</v>
      </c>
      <c r="AL231" s="313" t="e">
        <f t="shared" si="3341"/>
        <v>#REF!</v>
      </c>
      <c r="AM231" s="313" t="e">
        <f t="shared" si="3341"/>
        <v>#REF!</v>
      </c>
      <c r="AN231" s="313" t="e">
        <f t="shared" si="3341"/>
        <v>#REF!</v>
      </c>
      <c r="AO231" s="313" t="e">
        <f t="shared" si="3341"/>
        <v>#REF!</v>
      </c>
      <c r="AP231" s="313" t="e">
        <f t="shared" si="3341"/>
        <v>#REF!</v>
      </c>
      <c r="AQ231" s="313" t="e">
        <f t="shared" si="3341"/>
        <v>#REF!</v>
      </c>
      <c r="AR231" s="313" t="e">
        <f t="shared" si="3341"/>
        <v>#REF!</v>
      </c>
      <c r="AS231" s="313" t="e">
        <f t="shared" si="3341"/>
        <v>#REF!</v>
      </c>
      <c r="AT231" s="313" t="e">
        <f t="shared" si="3341"/>
        <v>#REF!</v>
      </c>
      <c r="AU231" s="313" t="e">
        <f t="shared" si="3341"/>
        <v>#REF!</v>
      </c>
      <c r="AV231" s="313" t="e">
        <f t="shared" si="3341"/>
        <v>#REF!</v>
      </c>
      <c r="AW231" s="313" t="e">
        <f t="shared" si="3341"/>
        <v>#REF!</v>
      </c>
      <c r="AX231" s="313" t="e">
        <f t="shared" si="3341"/>
        <v>#REF!</v>
      </c>
      <c r="AY231" s="313" t="e">
        <f t="shared" si="3341"/>
        <v>#REF!</v>
      </c>
      <c r="AZ231" s="313" t="e">
        <f t="shared" si="3341"/>
        <v>#REF!</v>
      </c>
      <c r="BA231" s="313" t="e">
        <f t="shared" si="3341"/>
        <v>#REF!</v>
      </c>
      <c r="BB231" s="313" t="e">
        <f t="shared" si="3341"/>
        <v>#REF!</v>
      </c>
      <c r="BC231" s="313" t="e">
        <f t="shared" si="3341"/>
        <v>#REF!</v>
      </c>
      <c r="BD231" s="313" t="e">
        <f t="shared" si="3341"/>
        <v>#REF!</v>
      </c>
      <c r="BE231" s="313" t="e">
        <f t="shared" si="3341"/>
        <v>#REF!</v>
      </c>
      <c r="BF231" s="313" t="e">
        <f t="shared" si="3341"/>
        <v>#REF!</v>
      </c>
      <c r="BG231" s="313" t="e">
        <f t="shared" si="3341"/>
        <v>#REF!</v>
      </c>
      <c r="BH231" s="313" t="e">
        <f t="shared" si="3341"/>
        <v>#REF!</v>
      </c>
      <c r="BI231" s="313" t="e">
        <f t="shared" si="3341"/>
        <v>#REF!</v>
      </c>
    </row>
    <row r="232" spans="2:61" hidden="1">
      <c r="B232" s="315" t="s">
        <v>433</v>
      </c>
      <c r="C232" s="316">
        <v>8</v>
      </c>
    </row>
    <row r="233" spans="2:61" hidden="1">
      <c r="B233" s="315" t="s">
        <v>474</v>
      </c>
      <c r="C233" s="309"/>
      <c r="F233" s="308">
        <f>SUM(F234:F289)</f>
        <v>0</v>
      </c>
      <c r="G233" s="307" t="e">
        <f t="shared" ref="G233:W233" si="3342">SUM(G234:G289)</f>
        <v>#REF!</v>
      </c>
      <c r="H233" s="307" t="e">
        <f t="shared" si="3342"/>
        <v>#REF!</v>
      </c>
      <c r="I233" s="307" t="e">
        <f t="shared" si="3342"/>
        <v>#REF!</v>
      </c>
      <c r="J233" s="307" t="e">
        <f t="shared" si="3342"/>
        <v>#REF!</v>
      </c>
      <c r="K233" s="307" t="e">
        <f t="shared" si="3342"/>
        <v>#REF!</v>
      </c>
      <c r="L233" s="307" t="e">
        <f t="shared" si="3342"/>
        <v>#REF!</v>
      </c>
      <c r="M233" s="307" t="e">
        <f t="shared" si="3342"/>
        <v>#REF!</v>
      </c>
      <c r="N233" s="307" t="e">
        <f t="shared" si="3342"/>
        <v>#REF!</v>
      </c>
      <c r="O233" s="307" t="e">
        <f t="shared" si="3342"/>
        <v>#REF!</v>
      </c>
      <c r="P233" s="307" t="e">
        <f t="shared" si="3342"/>
        <v>#REF!</v>
      </c>
      <c r="Q233" s="307" t="e">
        <f t="shared" si="3342"/>
        <v>#REF!</v>
      </c>
      <c r="R233" s="307" t="e">
        <f t="shared" si="3342"/>
        <v>#REF!</v>
      </c>
      <c r="S233" s="307" t="e">
        <f t="shared" si="3342"/>
        <v>#REF!</v>
      </c>
      <c r="T233" s="307">
        <f t="shared" si="3342"/>
        <v>0</v>
      </c>
      <c r="U233" s="307">
        <f t="shared" si="3342"/>
        <v>0</v>
      </c>
      <c r="V233" s="307">
        <f t="shared" si="3342"/>
        <v>0</v>
      </c>
      <c r="W233" s="307">
        <f t="shared" si="3342"/>
        <v>0</v>
      </c>
    </row>
    <row r="234" spans="2:61" hidden="1">
      <c r="B234" s="312"/>
      <c r="E234" s="310">
        <f t="array" ref="E234:E289">TRANSPOSE(F223:BI223)</f>
        <v>40999</v>
      </c>
      <c r="F234" s="315">
        <f>F231</f>
        <v>0</v>
      </c>
    </row>
    <row r="235" spans="2:61" hidden="1">
      <c r="E235" s="310">
        <v>41090</v>
      </c>
      <c r="G235" s="313" t="e">
        <f>G231</f>
        <v>#REF!</v>
      </c>
      <c r="H235" s="313" t="e">
        <f>G235*(C232-COUNT($G235:G235))/$C$232</f>
        <v>#REF!</v>
      </c>
      <c r="I235" s="313" t="e">
        <f>H235*($C$232-COUNT($G235:H235))/$C$232</f>
        <v>#REF!</v>
      </c>
      <c r="J235" s="313" t="e">
        <f>I235*($C$232-COUNT($G235:I235))/$C$232</f>
        <v>#REF!</v>
      </c>
      <c r="K235" s="313" t="e">
        <f>J235*($C$232-COUNT($G235:J235))/$C$232</f>
        <v>#REF!</v>
      </c>
      <c r="L235" s="313" t="e">
        <f>K235*($C$232-COUNT($G235:K235))/$C$232</f>
        <v>#REF!</v>
      </c>
      <c r="M235" s="313" t="e">
        <f>L235*($C$232-COUNT($G235:L235))/$C$232</f>
        <v>#REF!</v>
      </c>
      <c r="N235" s="313" t="e">
        <f>M235*($C$232-COUNT($G235:M235))/$C$232</f>
        <v>#REF!</v>
      </c>
      <c r="O235" s="313" t="e">
        <f>N235*($C$232-COUNT($G235:N235))/$C$232</f>
        <v>#REF!</v>
      </c>
      <c r="P235" s="313" t="e">
        <f>O235*($C$232-COUNT($G235:O235))/$C$232</f>
        <v>#REF!</v>
      </c>
      <c r="Q235" s="313" t="e">
        <f>P235*($C$232-COUNT($G235:P235))/$C$232</f>
        <v>#REF!</v>
      </c>
      <c r="R235" s="313" t="e">
        <f>Q235*($C$232-COUNT($G235:Q235))/$C$232</f>
        <v>#REF!</v>
      </c>
    </row>
    <row r="236" spans="2:61" hidden="1">
      <c r="B236" s="315" t="s">
        <v>473</v>
      </c>
      <c r="C236" s="311">
        <v>0.02</v>
      </c>
      <c r="E236" s="310">
        <v>41182</v>
      </c>
      <c r="H236" s="313" t="e">
        <f>H231</f>
        <v>#REF!</v>
      </c>
      <c r="I236" s="313" t="e">
        <f>H236*($C$232-COUNT($G236:H236))/$C$232</f>
        <v>#REF!</v>
      </c>
      <c r="J236" s="313" t="e">
        <f>I236*($C$232-COUNT($G236:I236))/$C$232</f>
        <v>#REF!</v>
      </c>
      <c r="K236" s="313" t="e">
        <f>J236*($C$232-COUNT($G236:J236))/$C$232</f>
        <v>#REF!</v>
      </c>
      <c r="L236" s="313" t="e">
        <f>K236*($C$232-COUNT($G236:K236))/$C$232</f>
        <v>#REF!</v>
      </c>
      <c r="M236" s="313" t="e">
        <f>L236*($C$232-COUNT($G236:L236))/$C$232</f>
        <v>#REF!</v>
      </c>
      <c r="N236" s="313" t="e">
        <f>M236*($C$232-COUNT($G236:M236))/$C$232</f>
        <v>#REF!</v>
      </c>
      <c r="O236" s="313" t="e">
        <f>N236*($C$232-COUNT($G236:N236))/$C$232</f>
        <v>#REF!</v>
      </c>
      <c r="P236" s="313" t="e">
        <f>O236*($C$232-COUNT($G236:O236))/$C$232</f>
        <v>#REF!</v>
      </c>
      <c r="Q236" s="313" t="e">
        <f>P236*($C$232-COUNT($G236:P236))/$C$232</f>
        <v>#REF!</v>
      </c>
      <c r="R236" s="313" t="e">
        <f>Q236*($C$232-COUNT($G236:Q236))/$C$232</f>
        <v>#REF!</v>
      </c>
      <c r="S236" s="313" t="e">
        <f>R236*($C$232-COUNT($G236:R236))/$C$232</f>
        <v>#REF!</v>
      </c>
    </row>
    <row r="237" spans="2:61" hidden="1">
      <c r="E237" s="310">
        <v>41274</v>
      </c>
      <c r="I237" s="313" t="e">
        <f>I231</f>
        <v>#REF!</v>
      </c>
      <c r="J237" s="313" t="e">
        <f>I237*($C$232-COUNT($G237:I237))/$C$232</f>
        <v>#REF!</v>
      </c>
      <c r="K237" s="313" t="e">
        <f>J237*($C$232-COUNT($G237:J237))/$C$232</f>
        <v>#REF!</v>
      </c>
      <c r="L237" s="313" t="e">
        <f>K237*($C$232-COUNT($G237:K237))/$C$232</f>
        <v>#REF!</v>
      </c>
      <c r="M237" s="313" t="e">
        <f>L237*($C$232-COUNT($G237:L237))/$C$232</f>
        <v>#REF!</v>
      </c>
      <c r="N237" s="313" t="e">
        <f>M237*($C$232-COUNT($G237:M237))/$C$232</f>
        <v>#REF!</v>
      </c>
      <c r="O237" s="313" t="e">
        <f>N237*($C$232-COUNT($G237:N237))/$C$232</f>
        <v>#REF!</v>
      </c>
      <c r="P237" s="313" t="e">
        <f>O237*($C$232-COUNT($G237:O237))/$C$232</f>
        <v>#REF!</v>
      </c>
      <c r="Q237" s="313" t="e">
        <f>P237*($C$232-COUNT($G237:P237))/$C$232</f>
        <v>#REF!</v>
      </c>
      <c r="R237" s="313" t="e">
        <f>Q237*($C$232-COUNT($G237:Q237))/$C$232</f>
        <v>#REF!</v>
      </c>
      <c r="S237" s="313" t="e">
        <f>R237*($C$232-COUNT($G237:R237))/$C$232</f>
        <v>#REF!</v>
      </c>
    </row>
    <row r="238" spans="2:61" hidden="1">
      <c r="E238" s="310">
        <v>41364</v>
      </c>
      <c r="J238" s="313" t="e">
        <f>J231</f>
        <v>#REF!</v>
      </c>
      <c r="K238" s="313" t="e">
        <f>J238*($C$232-COUNT($G238:J238))/$C$232</f>
        <v>#REF!</v>
      </c>
      <c r="L238" s="313" t="e">
        <f>K238*($C$232-COUNT($G238:K238))/$C$232</f>
        <v>#REF!</v>
      </c>
      <c r="M238" s="313" t="e">
        <f>L238*($C$232-COUNT($G238:L238))/$C$232</f>
        <v>#REF!</v>
      </c>
      <c r="N238" s="313" t="e">
        <f>M238*($C$232-COUNT($G238:M238))/$C$232</f>
        <v>#REF!</v>
      </c>
      <c r="O238" s="313" t="e">
        <f>N238*($C$232-COUNT($G238:N238))/$C$232</f>
        <v>#REF!</v>
      </c>
      <c r="P238" s="313" t="e">
        <f>O238*($C$232-COUNT($G238:O238))/$C$232</f>
        <v>#REF!</v>
      </c>
      <c r="Q238" s="313" t="e">
        <f>P238*($C$232-COUNT($G238:P238))/$C$232</f>
        <v>#REF!</v>
      </c>
      <c r="R238" s="313" t="e">
        <f>Q238*($C$232-COUNT($G238:Q238))/$C$232</f>
        <v>#REF!</v>
      </c>
      <c r="S238" s="313" t="e">
        <f>R238*($C$232-COUNT($G238:R238))/$C$232</f>
        <v>#REF!</v>
      </c>
    </row>
    <row r="239" spans="2:61" hidden="1">
      <c r="E239" s="310">
        <v>41455</v>
      </c>
      <c r="K239" s="313" t="e">
        <f>K231</f>
        <v>#REF!</v>
      </c>
      <c r="L239" s="313" t="e">
        <f>K239*($C$232-COUNT($G239:K239))/$C$232</f>
        <v>#REF!</v>
      </c>
      <c r="M239" s="313" t="e">
        <f>L239*($C$232-COUNT($G239:L239))/$C$232</f>
        <v>#REF!</v>
      </c>
      <c r="N239" s="313" t="e">
        <f>M239*($C$232-COUNT($G239:M239))/$C$232</f>
        <v>#REF!</v>
      </c>
      <c r="O239" s="313" t="e">
        <f>N239*($C$232-COUNT($G239:N239))/$C$232</f>
        <v>#REF!</v>
      </c>
      <c r="P239" s="313" t="e">
        <f>O239*($C$232-COUNT($G239:O239))/$C$232</f>
        <v>#REF!</v>
      </c>
      <c r="Q239" s="313" t="e">
        <f>P239*($C$232-COUNT($G239:P239))/$C$232</f>
        <v>#REF!</v>
      </c>
      <c r="R239" s="313" t="e">
        <f>Q239*($C$232-COUNT($G239:Q239))/$C$232</f>
        <v>#REF!</v>
      </c>
      <c r="S239" s="313" t="e">
        <f>R239*($C$232-COUNT($G239:R239))/$C$232</f>
        <v>#REF!</v>
      </c>
    </row>
    <row r="240" spans="2:61" hidden="1">
      <c r="E240" s="310">
        <v>41547</v>
      </c>
      <c r="L240" s="313" t="e">
        <f>L231</f>
        <v>#REF!</v>
      </c>
      <c r="M240" s="313" t="e">
        <f>L240*($C$232-COUNT($G240:L240))/$C$232</f>
        <v>#REF!</v>
      </c>
      <c r="N240" s="313" t="e">
        <f>M240*($C$232-COUNT($G240:M240))/$C$232</f>
        <v>#REF!</v>
      </c>
      <c r="O240" s="313" t="e">
        <f>N240*($C$232-COUNT($G240:N240))/$C$232</f>
        <v>#REF!</v>
      </c>
      <c r="P240" s="313" t="e">
        <f>O240*($C$232-COUNT($G240:O240))/$C$232</f>
        <v>#REF!</v>
      </c>
      <c r="Q240" s="313" t="e">
        <f>P240*($C$232-COUNT($G240:P240))/$C$232</f>
        <v>#REF!</v>
      </c>
      <c r="R240" s="313" t="e">
        <f>Q240*($C$232-COUNT($G240:Q240))/$C$232</f>
        <v>#REF!</v>
      </c>
      <c r="S240" s="313" t="e">
        <f>R240*($C$232-COUNT($G240:R240))/$C$232</f>
        <v>#REF!</v>
      </c>
    </row>
    <row r="241" spans="5:19" hidden="1">
      <c r="E241" s="310">
        <v>41639</v>
      </c>
      <c r="M241" s="313" t="e">
        <f>M231</f>
        <v>#REF!</v>
      </c>
      <c r="N241" s="313" t="e">
        <f>M241*($C$232-COUNT($G241:M241))/$C$232</f>
        <v>#REF!</v>
      </c>
      <c r="O241" s="313" t="e">
        <f>N241*($C$232-COUNT($G241:N241))/$C$232</f>
        <v>#REF!</v>
      </c>
      <c r="P241" s="313" t="e">
        <f>O241*($C$232-COUNT($G241:O241))/$C$232</f>
        <v>#REF!</v>
      </c>
      <c r="Q241" s="313" t="e">
        <f>P241*($C$232-COUNT($G241:P241))/$C$232</f>
        <v>#REF!</v>
      </c>
      <c r="R241" s="313" t="e">
        <f>Q241*($C$232-COUNT($G241:Q241))/$C$232</f>
        <v>#REF!</v>
      </c>
      <c r="S241" s="313" t="e">
        <f>R241*($C$232-COUNT($G241:R241))/$C$232</f>
        <v>#REF!</v>
      </c>
    </row>
    <row r="242" spans="5:19" hidden="1">
      <c r="E242" s="310">
        <v>41729</v>
      </c>
      <c r="N242" s="313" t="e">
        <f>N231</f>
        <v>#REF!</v>
      </c>
      <c r="O242" s="313" t="e">
        <f>N242*($C$232-COUNT($G242:N242))/$C$232</f>
        <v>#REF!</v>
      </c>
      <c r="P242" s="313" t="e">
        <f>O242*($C$232-COUNT($G242:O242))/$C$232</f>
        <v>#REF!</v>
      </c>
      <c r="Q242" s="313" t="e">
        <f>P242*($C$232-COUNT($G242:P242))/$C$232</f>
        <v>#REF!</v>
      </c>
      <c r="R242" s="313" t="e">
        <f>Q242*($C$232-COUNT($G242:Q242))/$C$232</f>
        <v>#REF!</v>
      </c>
      <c r="S242" s="313" t="e">
        <f>R242*($C$232-COUNT($G242:R242))/$C$232</f>
        <v>#REF!</v>
      </c>
    </row>
    <row r="243" spans="5:19" hidden="1">
      <c r="E243" s="310">
        <v>41820</v>
      </c>
    </row>
    <row r="244" spans="5:19" hidden="1">
      <c r="E244" s="310">
        <v>41912</v>
      </c>
    </row>
    <row r="245" spans="5:19" hidden="1">
      <c r="E245" s="310">
        <v>42004</v>
      </c>
    </row>
    <row r="246" spans="5:19" hidden="1">
      <c r="E246" s="310">
        <v>42094</v>
      </c>
    </row>
    <row r="247" spans="5:19" hidden="1">
      <c r="E247" s="310">
        <v>42185</v>
      </c>
    </row>
    <row r="248" spans="5:19" hidden="1">
      <c r="E248" s="310">
        <v>42277</v>
      </c>
    </row>
    <row r="249" spans="5:19" hidden="1">
      <c r="E249" s="310">
        <v>42369</v>
      </c>
    </row>
    <row r="250" spans="5:19" hidden="1">
      <c r="E250" s="310">
        <v>42460</v>
      </c>
    </row>
    <row r="251" spans="5:19" hidden="1">
      <c r="E251" s="310">
        <v>42551</v>
      </c>
    </row>
    <row r="252" spans="5:19" hidden="1">
      <c r="E252" s="310">
        <v>42643</v>
      </c>
    </row>
    <row r="253" spans="5:19" hidden="1">
      <c r="E253" s="310">
        <v>42735</v>
      </c>
    </row>
    <row r="254" spans="5:19" hidden="1">
      <c r="E254" s="310">
        <v>42825</v>
      </c>
    </row>
    <row r="255" spans="5:19" hidden="1">
      <c r="E255" s="310">
        <v>42916</v>
      </c>
    </row>
    <row r="256" spans="5:19" hidden="1">
      <c r="E256" s="310">
        <v>43008</v>
      </c>
    </row>
    <row r="257" spans="5:5" hidden="1">
      <c r="E257" s="310">
        <v>43100</v>
      </c>
    </row>
    <row r="258" spans="5:5" hidden="1">
      <c r="E258" s="310">
        <v>43190</v>
      </c>
    </row>
    <row r="259" spans="5:5" hidden="1">
      <c r="E259" s="310">
        <v>43281</v>
      </c>
    </row>
    <row r="260" spans="5:5" hidden="1">
      <c r="E260" s="310">
        <v>43373</v>
      </c>
    </row>
    <row r="261" spans="5:5" hidden="1">
      <c r="E261" s="310">
        <v>43465</v>
      </c>
    </row>
    <row r="262" spans="5:5" hidden="1">
      <c r="E262" s="310">
        <v>43555</v>
      </c>
    </row>
    <row r="263" spans="5:5" hidden="1">
      <c r="E263" s="310">
        <v>43646</v>
      </c>
    </row>
    <row r="264" spans="5:5" hidden="1">
      <c r="E264" s="310">
        <v>43738</v>
      </c>
    </row>
    <row r="265" spans="5:5" hidden="1">
      <c r="E265" s="310">
        <v>43830</v>
      </c>
    </row>
    <row r="266" spans="5:5" hidden="1">
      <c r="E266" s="310">
        <v>43921</v>
      </c>
    </row>
    <row r="267" spans="5:5" hidden="1">
      <c r="E267" s="310">
        <v>44012</v>
      </c>
    </row>
    <row r="268" spans="5:5" hidden="1">
      <c r="E268" s="310">
        <v>44104</v>
      </c>
    </row>
    <row r="269" spans="5:5" hidden="1">
      <c r="E269" s="310">
        <v>44196</v>
      </c>
    </row>
    <row r="270" spans="5:5" hidden="1">
      <c r="E270" s="310">
        <v>44286</v>
      </c>
    </row>
    <row r="271" spans="5:5" hidden="1">
      <c r="E271" s="310">
        <v>44377</v>
      </c>
    </row>
    <row r="272" spans="5:5" hidden="1">
      <c r="E272" s="310">
        <v>44469</v>
      </c>
    </row>
    <row r="273" spans="5:5" hidden="1">
      <c r="E273" s="310">
        <v>44561</v>
      </c>
    </row>
    <row r="274" spans="5:5" hidden="1">
      <c r="E274" s="310">
        <v>44651</v>
      </c>
    </row>
    <row r="275" spans="5:5" hidden="1">
      <c r="E275" s="310">
        <v>44742</v>
      </c>
    </row>
    <row r="276" spans="5:5" hidden="1">
      <c r="E276" s="310">
        <v>44834</v>
      </c>
    </row>
    <row r="277" spans="5:5" hidden="1">
      <c r="E277" s="310">
        <v>44926</v>
      </c>
    </row>
    <row r="278" spans="5:5" hidden="1">
      <c r="E278" s="310">
        <v>45016</v>
      </c>
    </row>
    <row r="279" spans="5:5" hidden="1">
      <c r="E279" s="310">
        <v>45107</v>
      </c>
    </row>
    <row r="280" spans="5:5" hidden="1">
      <c r="E280" s="310">
        <v>45199</v>
      </c>
    </row>
    <row r="281" spans="5:5" hidden="1">
      <c r="E281" s="310">
        <v>45291</v>
      </c>
    </row>
    <row r="282" spans="5:5" hidden="1">
      <c r="E282" s="310">
        <v>45382</v>
      </c>
    </row>
    <row r="283" spans="5:5" hidden="1">
      <c r="E283" s="310">
        <v>45473</v>
      </c>
    </row>
    <row r="284" spans="5:5" hidden="1">
      <c r="E284" s="310">
        <v>45565</v>
      </c>
    </row>
    <row r="285" spans="5:5" hidden="1">
      <c r="E285" s="310">
        <v>45657</v>
      </c>
    </row>
    <row r="286" spans="5:5" hidden="1">
      <c r="E286" s="310">
        <v>45747</v>
      </c>
    </row>
    <row r="287" spans="5:5" hidden="1">
      <c r="E287" s="310">
        <v>45838</v>
      </c>
    </row>
    <row r="288" spans="5:5" hidden="1">
      <c r="E288" s="310">
        <v>45930</v>
      </c>
    </row>
    <row r="289" spans="5:5" hidden="1">
      <c r="E289" s="310">
        <v>46022</v>
      </c>
    </row>
    <row r="290" spans="5:5" hidden="1"/>
  </sheetData>
  <pageMargins left="0.78740157499999996" right="0.78740157499999996" top="0.984251969" bottom="0.984251969" header="0.49212598499999999" footer="0.49212598499999999"/>
  <pageSetup paperSize="8" scale="10" fitToHeight="5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34" enableFormatConditionsCalculation="0">
    <tabColor indexed="8"/>
  </sheetPr>
  <dimension ref="A1"/>
  <sheetViews>
    <sheetView workbookViewId="0">
      <selection activeCell="H127" sqref="H127"/>
    </sheetView>
  </sheetViews>
  <sheetFormatPr defaultRowHeight="12.75"/>
  <cols>
    <col min="1" max="16384" width="9.140625" style="3"/>
  </cols>
  <sheetData/>
  <customSheetViews>
    <customSheetView guid="{E575866E-AC6D-4394-9CD3-8AED20D96A5E}" showRuler="0">
      <pageMargins left="0.75" right="0.75" top="1" bottom="1" header="0.5" footer="0.5"/>
      <headerFooter alignWithMargins="0"/>
    </customSheetView>
    <customSheetView guid="{AF606229-75CD-4176-8017-8565F5ED8E7B}">
      <pageMargins left="0.75" right="0.75" top="1" bottom="1" header="0.5" footer="0.5"/>
      <headerFooter alignWithMargins="0"/>
    </customSheetView>
  </customSheetViews>
  <phoneticPr fontId="13" type="noConversion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"/>
  <dimension ref="A2:GB410"/>
  <sheetViews>
    <sheetView showGridLines="0" zoomScale="60" zoomScaleNormal="60" workbookViewId="0">
      <pane xSplit="2" topLeftCell="C1" activePane="topRight" state="frozen"/>
      <selection activeCell="H127" sqref="H127"/>
      <selection pane="topRight" activeCell="J38" sqref="J38"/>
    </sheetView>
  </sheetViews>
  <sheetFormatPr defaultColWidth="21" defaultRowHeight="12.75"/>
  <cols>
    <col min="1" max="1" width="4.5703125" style="7" customWidth="1"/>
    <col min="2" max="2" width="29.28515625" style="7" customWidth="1"/>
    <col min="3" max="4" width="10.5703125" style="8" customWidth="1"/>
    <col min="5" max="6" width="13.140625" style="8" customWidth="1"/>
    <col min="7" max="13" width="10.5703125" style="8" customWidth="1"/>
    <col min="14" max="14" width="13.5703125" style="8" customWidth="1"/>
    <col min="15" max="48" width="10.5703125" style="8" customWidth="1"/>
    <col min="49" max="49" width="10.42578125" style="8" customWidth="1"/>
    <col min="50" max="53" width="10.5703125" style="9" customWidth="1"/>
    <col min="54" max="54" width="10.5703125" style="8" customWidth="1"/>
    <col min="55" max="58" width="10.5703125" style="9" customWidth="1"/>
    <col min="59" max="59" width="10.5703125" style="8" customWidth="1"/>
    <col min="60" max="63" width="10.5703125" style="9" customWidth="1"/>
    <col min="64" max="64" width="10.5703125" style="8" customWidth="1"/>
    <col min="65" max="68" width="10.5703125" style="9" customWidth="1"/>
    <col min="69" max="69" width="10.5703125" style="8" customWidth="1"/>
    <col min="70" max="73" width="10.5703125" style="9" customWidth="1"/>
    <col min="74" max="74" width="10.5703125" style="8" customWidth="1"/>
    <col min="75" max="78" width="10.5703125" style="9" customWidth="1"/>
    <col min="79" max="79" width="10.5703125" style="8" customWidth="1"/>
    <col min="80" max="83" width="10.5703125" style="9" customWidth="1"/>
    <col min="84" max="84" width="10.5703125" style="8" customWidth="1"/>
    <col min="85" max="156" width="10.5703125" style="9" customWidth="1"/>
    <col min="157" max="157" width="10.140625" style="9" customWidth="1"/>
    <col min="158" max="184" width="10.140625" style="7" customWidth="1"/>
    <col min="185" max="16384" width="21" style="7"/>
  </cols>
  <sheetData>
    <row r="2" spans="1:184" ht="15.75">
      <c r="B2" s="33" t="s">
        <v>351</v>
      </c>
      <c r="W2" s="150">
        <f>139/116-1</f>
        <v>0.19827586206896552</v>
      </c>
    </row>
    <row r="3" spans="1:184">
      <c r="B3" s="144" t="s">
        <v>757</v>
      </c>
      <c r="H3" s="121" t="s">
        <v>758</v>
      </c>
      <c r="I3" s="816">
        <v>41057</v>
      </c>
      <c r="W3" s="151">
        <v>0.52949999999999997</v>
      </c>
      <c r="X3" s="149">
        <f>+W3/W2</f>
        <v>2.6705217391304346</v>
      </c>
      <c r="AX3" s="203"/>
      <c r="BB3" s="55"/>
    </row>
    <row r="5" spans="1:184" s="10" customFormat="1" ht="15" customHeight="1">
      <c r="A5" s="54">
        <v>1</v>
      </c>
      <c r="B5" s="35"/>
      <c r="C5" s="29">
        <v>2001</v>
      </c>
      <c r="D5" s="29">
        <v>2002</v>
      </c>
      <c r="E5" s="36">
        <v>37711</v>
      </c>
      <c r="F5" s="36">
        <v>37802</v>
      </c>
      <c r="G5" s="36">
        <v>37894</v>
      </c>
      <c r="H5" s="36">
        <v>37986</v>
      </c>
      <c r="I5" s="29">
        <v>2003</v>
      </c>
      <c r="J5" s="36">
        <v>38077</v>
      </c>
      <c r="K5" s="36">
        <v>38168</v>
      </c>
      <c r="L5" s="36">
        <v>38260</v>
      </c>
      <c r="M5" s="36">
        <v>38352</v>
      </c>
      <c r="N5" s="29">
        <v>2004</v>
      </c>
      <c r="O5" s="36">
        <v>38442</v>
      </c>
      <c r="P5" s="36">
        <v>38533</v>
      </c>
      <c r="Q5" s="36">
        <v>38625</v>
      </c>
      <c r="R5" s="36">
        <v>38717</v>
      </c>
      <c r="S5" s="29">
        <v>2005</v>
      </c>
      <c r="T5" s="36">
        <v>38807</v>
      </c>
      <c r="U5" s="36">
        <v>38898</v>
      </c>
      <c r="V5" s="36">
        <v>38990</v>
      </c>
      <c r="W5" s="36">
        <v>39082</v>
      </c>
      <c r="X5" s="29">
        <v>2006</v>
      </c>
      <c r="Y5" s="36">
        <v>39172</v>
      </c>
      <c r="Z5" s="36">
        <v>39263</v>
      </c>
      <c r="AA5" s="36">
        <v>39355</v>
      </c>
      <c r="AB5" s="36">
        <v>39447</v>
      </c>
      <c r="AC5" s="29">
        <v>2007</v>
      </c>
      <c r="AD5" s="36">
        <v>39538</v>
      </c>
      <c r="AE5" s="36">
        <v>39629</v>
      </c>
      <c r="AF5" s="36">
        <v>39721</v>
      </c>
      <c r="AG5" s="36">
        <v>39813</v>
      </c>
      <c r="AH5" s="29">
        <v>2008</v>
      </c>
      <c r="AI5" s="36">
        <v>39903</v>
      </c>
      <c r="AJ5" s="36">
        <v>39994</v>
      </c>
      <c r="AK5" s="36">
        <v>40086</v>
      </c>
      <c r="AL5" s="36">
        <v>40178</v>
      </c>
      <c r="AM5" s="29">
        <v>2009</v>
      </c>
      <c r="AN5" s="36">
        <v>40268</v>
      </c>
      <c r="AO5" s="36">
        <v>40359</v>
      </c>
      <c r="AP5" s="36">
        <v>40451</v>
      </c>
      <c r="AQ5" s="36">
        <v>40543</v>
      </c>
      <c r="AR5" s="29">
        <v>2010</v>
      </c>
      <c r="AS5" s="36">
        <v>40633</v>
      </c>
      <c r="AT5" s="36">
        <v>40724</v>
      </c>
      <c r="AU5" s="36">
        <v>40816</v>
      </c>
      <c r="AV5" s="36">
        <v>40908</v>
      </c>
      <c r="AW5" s="29">
        <v>2011</v>
      </c>
      <c r="AX5" s="36">
        <v>40999</v>
      </c>
      <c r="AY5" s="36">
        <v>41090</v>
      </c>
      <c r="AZ5" s="36">
        <v>41182</v>
      </c>
      <c r="BA5" s="36">
        <v>41274</v>
      </c>
      <c r="BB5" s="29">
        <v>2012</v>
      </c>
      <c r="BC5" s="36">
        <v>41364</v>
      </c>
      <c r="BD5" s="36">
        <v>41455</v>
      </c>
      <c r="BE5" s="36">
        <v>41547</v>
      </c>
      <c r="BF5" s="36">
        <v>41639</v>
      </c>
      <c r="BG5" s="29">
        <v>2013</v>
      </c>
      <c r="BH5" s="36">
        <v>41729</v>
      </c>
      <c r="BI5" s="36">
        <v>41820</v>
      </c>
      <c r="BJ5" s="36">
        <v>41912</v>
      </c>
      <c r="BK5" s="36">
        <v>42004</v>
      </c>
      <c r="BL5" s="29">
        <v>2014</v>
      </c>
      <c r="BM5" s="36">
        <v>42094</v>
      </c>
      <c r="BN5" s="36">
        <v>42185</v>
      </c>
      <c r="BO5" s="36">
        <v>42277</v>
      </c>
      <c r="BP5" s="36">
        <v>42369</v>
      </c>
      <c r="BQ5" s="29">
        <v>2015</v>
      </c>
      <c r="BR5" s="36">
        <v>42460</v>
      </c>
      <c r="BS5" s="36">
        <v>42551</v>
      </c>
      <c r="BT5" s="36">
        <v>42643</v>
      </c>
      <c r="BU5" s="36">
        <v>42735</v>
      </c>
      <c r="BV5" s="29">
        <v>2016</v>
      </c>
      <c r="BW5" s="36">
        <v>42825</v>
      </c>
      <c r="BX5" s="36">
        <v>42916</v>
      </c>
      <c r="BY5" s="36">
        <v>43008</v>
      </c>
      <c r="BZ5" s="36">
        <v>43100</v>
      </c>
      <c r="CA5" s="29">
        <v>2017</v>
      </c>
      <c r="CB5" s="36">
        <v>43190</v>
      </c>
      <c r="CC5" s="36">
        <v>43281</v>
      </c>
      <c r="CD5" s="36">
        <v>43373</v>
      </c>
      <c r="CE5" s="36">
        <v>43465</v>
      </c>
      <c r="CF5" s="29">
        <v>2018</v>
      </c>
      <c r="CG5" s="36">
        <v>43555</v>
      </c>
      <c r="CH5" s="36">
        <v>43646</v>
      </c>
      <c r="CI5" s="36">
        <v>43738</v>
      </c>
      <c r="CJ5" s="36">
        <v>43830</v>
      </c>
      <c r="CK5" s="29">
        <v>2019</v>
      </c>
      <c r="CL5" s="36">
        <v>43921</v>
      </c>
      <c r="CM5" s="36">
        <v>44012</v>
      </c>
      <c r="CN5" s="36">
        <v>44104</v>
      </c>
      <c r="CO5" s="36">
        <v>44196</v>
      </c>
      <c r="CP5" s="29">
        <v>2020</v>
      </c>
      <c r="CQ5" s="36">
        <v>44286</v>
      </c>
      <c r="CR5" s="36">
        <v>44377</v>
      </c>
      <c r="CS5" s="36">
        <v>44469</v>
      </c>
      <c r="CT5" s="36">
        <v>44561</v>
      </c>
      <c r="CU5" s="29">
        <v>2021</v>
      </c>
      <c r="CV5" s="36">
        <v>44651</v>
      </c>
      <c r="CW5" s="36">
        <v>44742</v>
      </c>
      <c r="CX5" s="36">
        <v>44834</v>
      </c>
      <c r="CY5" s="36">
        <v>44926</v>
      </c>
      <c r="CZ5" s="29">
        <v>2022</v>
      </c>
      <c r="DA5" s="36">
        <v>45016</v>
      </c>
      <c r="DB5" s="36">
        <v>45107</v>
      </c>
      <c r="DC5" s="36">
        <v>45199</v>
      </c>
      <c r="DD5" s="36">
        <v>45291</v>
      </c>
      <c r="DE5" s="29">
        <v>2023</v>
      </c>
      <c r="DF5" s="36">
        <v>45382</v>
      </c>
      <c r="DG5" s="36">
        <v>45473</v>
      </c>
      <c r="DH5" s="36">
        <v>45565</v>
      </c>
      <c r="DI5" s="36">
        <v>45657</v>
      </c>
      <c r="DJ5" s="29">
        <v>2024</v>
      </c>
      <c r="DK5" s="36">
        <f>DATE(DO5,3,31)</f>
        <v>45747</v>
      </c>
      <c r="DL5" s="36">
        <f>DATE(DO5,6,30)</f>
        <v>45838</v>
      </c>
      <c r="DM5" s="36">
        <f>DATE(DO5,9,30)</f>
        <v>45930</v>
      </c>
      <c r="DN5" s="36">
        <f>DATE(DO5,12,31)</f>
        <v>46022</v>
      </c>
      <c r="DO5" s="29">
        <f>+DJ5+1</f>
        <v>2025</v>
      </c>
      <c r="DP5" s="36">
        <f>DATE(DT5,3,31)</f>
        <v>46112</v>
      </c>
      <c r="DQ5" s="36">
        <f>DATE(DT5,6,30)</f>
        <v>46203</v>
      </c>
      <c r="DR5" s="36">
        <f>DATE(DT5,9,30)</f>
        <v>46295</v>
      </c>
      <c r="DS5" s="36">
        <f>DATE(DT5,12,31)</f>
        <v>46387</v>
      </c>
      <c r="DT5" s="29">
        <f>+DO5+1</f>
        <v>2026</v>
      </c>
      <c r="DU5" s="36">
        <f>DATE(DY5,3,31)</f>
        <v>46477</v>
      </c>
      <c r="DV5" s="36">
        <f>DATE(DY5,6,30)</f>
        <v>46568</v>
      </c>
      <c r="DW5" s="36">
        <f>DATE(DY5,9,30)</f>
        <v>46660</v>
      </c>
      <c r="DX5" s="36">
        <f>DATE(DY5,12,31)</f>
        <v>46752</v>
      </c>
      <c r="DY5" s="29">
        <f>+DT5+1</f>
        <v>2027</v>
      </c>
      <c r="DZ5" s="36">
        <f>DATE(ED5,3,31)</f>
        <v>46843</v>
      </c>
      <c r="EA5" s="36">
        <f>DATE(ED5,6,30)</f>
        <v>46934</v>
      </c>
      <c r="EB5" s="36">
        <f>DATE(ED5,9,30)</f>
        <v>47026</v>
      </c>
      <c r="EC5" s="36">
        <f>DATE(ED5,12,31)</f>
        <v>47118</v>
      </c>
      <c r="ED5" s="29">
        <f>+DY5+1</f>
        <v>2028</v>
      </c>
      <c r="EE5" s="36">
        <f>DATE(EI5,3,31)</f>
        <v>47208</v>
      </c>
      <c r="EF5" s="36">
        <f>DATE(EI5,6,30)</f>
        <v>47299</v>
      </c>
      <c r="EG5" s="36">
        <f>DATE(EI5,9,30)</f>
        <v>47391</v>
      </c>
      <c r="EH5" s="36">
        <f>DATE(EI5,12,31)</f>
        <v>47483</v>
      </c>
      <c r="EI5" s="29">
        <f>+ED5+1</f>
        <v>2029</v>
      </c>
      <c r="EJ5" s="36">
        <f>DATE(EN5,3,31)</f>
        <v>47573</v>
      </c>
      <c r="EK5" s="36">
        <f>DATE(EN5,6,30)</f>
        <v>47664</v>
      </c>
      <c r="EL5" s="36">
        <f>DATE(EN5,9,30)</f>
        <v>47756</v>
      </c>
      <c r="EM5" s="36">
        <f>DATE(EN5,12,31)</f>
        <v>47848</v>
      </c>
      <c r="EN5" s="29">
        <f>+EI5+1</f>
        <v>2030</v>
      </c>
      <c r="EO5" s="36">
        <f>DATE(ES5,3,31)</f>
        <v>47938</v>
      </c>
      <c r="EP5" s="36">
        <f>DATE(ES5,6,30)</f>
        <v>48029</v>
      </c>
      <c r="EQ5" s="36">
        <f>DATE(ES5,9,30)</f>
        <v>48121</v>
      </c>
      <c r="ER5" s="36">
        <f>DATE(ES5,12,31)</f>
        <v>48213</v>
      </c>
      <c r="ES5" s="29">
        <f>+EN5+1</f>
        <v>2031</v>
      </c>
      <c r="ET5" s="36">
        <f>DATE(EX5,3,31)</f>
        <v>48304</v>
      </c>
      <c r="EU5" s="36">
        <f>DATE(EX5,6,30)</f>
        <v>48395</v>
      </c>
      <c r="EV5" s="36">
        <f>DATE(EX5,9,30)</f>
        <v>48487</v>
      </c>
      <c r="EW5" s="36">
        <f>DATE(EX5,12,31)</f>
        <v>48579</v>
      </c>
      <c r="EX5" s="29">
        <f>+ES5+1</f>
        <v>2032</v>
      </c>
      <c r="EY5" s="36">
        <f>DATE(FC5,3,31)</f>
        <v>48669</v>
      </c>
      <c r="EZ5" s="36">
        <f>DATE(FC5,6,30)</f>
        <v>48760</v>
      </c>
      <c r="FA5" s="36">
        <f>DATE(FC5,9,30)</f>
        <v>48852</v>
      </c>
      <c r="FB5" s="36">
        <f>DATE(FC5,12,31)</f>
        <v>48944</v>
      </c>
      <c r="FC5" s="29">
        <f>+EX5+1</f>
        <v>2033</v>
      </c>
      <c r="FD5" s="36">
        <f>DATE(FH5,3,31)</f>
        <v>49034</v>
      </c>
      <c r="FE5" s="36">
        <f>DATE(FH5,6,30)</f>
        <v>49125</v>
      </c>
      <c r="FF5" s="36">
        <f>DATE(FH5,9,30)</f>
        <v>49217</v>
      </c>
      <c r="FG5" s="36">
        <f>DATE(FH5,12,31)</f>
        <v>49309</v>
      </c>
      <c r="FH5" s="29">
        <f>+FC5+1</f>
        <v>2034</v>
      </c>
      <c r="FI5" s="36">
        <f>DATE(FM5,3,31)</f>
        <v>49399</v>
      </c>
      <c r="FJ5" s="36">
        <f>DATE(FM5,6,30)</f>
        <v>49490</v>
      </c>
      <c r="FK5" s="36">
        <f>DATE(FM5,9,30)</f>
        <v>49582</v>
      </c>
      <c r="FL5" s="36">
        <f>DATE(FM5,12,31)</f>
        <v>49674</v>
      </c>
      <c r="FM5" s="29">
        <f>+FH5+1</f>
        <v>2035</v>
      </c>
      <c r="FN5" s="36">
        <f>DATE(FR5,3,31)</f>
        <v>49765</v>
      </c>
      <c r="FO5" s="36">
        <f>DATE(FR5,6,30)</f>
        <v>49856</v>
      </c>
      <c r="FP5" s="36">
        <f>DATE(FR5,9,30)</f>
        <v>49948</v>
      </c>
      <c r="FQ5" s="36">
        <f>DATE(FR5,12,31)</f>
        <v>50040</v>
      </c>
      <c r="FR5" s="29">
        <f>+FM5+1</f>
        <v>2036</v>
      </c>
      <c r="FS5" s="36">
        <f>DATE(FW5,3,31)</f>
        <v>50130</v>
      </c>
      <c r="FT5" s="36">
        <f>DATE(FW5,6,30)</f>
        <v>50221</v>
      </c>
      <c r="FU5" s="36">
        <f>DATE(FW5,9,30)</f>
        <v>50313</v>
      </c>
      <c r="FV5" s="36">
        <f>DATE(FW5,12,31)</f>
        <v>50405</v>
      </c>
      <c r="FW5" s="29">
        <f>+FR5+1</f>
        <v>2037</v>
      </c>
      <c r="FX5" s="36">
        <f>DATE(GB5,3,31)</f>
        <v>50495</v>
      </c>
      <c r="FY5" s="36">
        <f>DATE(GB5,6,30)</f>
        <v>50586</v>
      </c>
      <c r="FZ5" s="36">
        <f>DATE(GB5,9,30)</f>
        <v>50678</v>
      </c>
      <c r="GA5" s="36">
        <f>DATE(GB5,12,31)</f>
        <v>50770</v>
      </c>
      <c r="GB5" s="29">
        <f>+FW5+1</f>
        <v>2038</v>
      </c>
    </row>
    <row r="6" spans="1:184" s="10" customFormat="1" ht="6" customHeight="1">
      <c r="A6" s="54">
        <f>A5+1</f>
        <v>2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2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</row>
    <row r="7" spans="1:184" s="14" customFormat="1">
      <c r="A7" s="54">
        <f t="shared" ref="A7:A36" si="0">A6+1</f>
        <v>3</v>
      </c>
      <c r="B7" s="13" t="s">
        <v>331</v>
      </c>
      <c r="C7" s="38">
        <v>173808.01</v>
      </c>
      <c r="D7" s="38">
        <v>176303.91899999999</v>
      </c>
      <c r="E7" s="39">
        <v>176913.29225</v>
      </c>
      <c r="F7" s="39">
        <v>177522.6655</v>
      </c>
      <c r="G7" s="39">
        <v>178132.03875000001</v>
      </c>
      <c r="H7" s="39">
        <v>178741.41200000001</v>
      </c>
      <c r="I7" s="38">
        <v>178741.41200000001</v>
      </c>
      <c r="J7" s="39">
        <v>179332.45925000001</v>
      </c>
      <c r="K7" s="39">
        <v>179923.50650000002</v>
      </c>
      <c r="L7" s="39">
        <v>180514.55375000002</v>
      </c>
      <c r="M7" s="39">
        <v>181105.60100000002</v>
      </c>
      <c r="N7" s="38">
        <v>181105.601</v>
      </c>
      <c r="O7" s="39">
        <v>181675.00474999999</v>
      </c>
      <c r="P7" s="39">
        <v>182244.40849999999</v>
      </c>
      <c r="Q7" s="39">
        <v>182813.81224999999</v>
      </c>
      <c r="R7" s="39">
        <v>183383.21599999999</v>
      </c>
      <c r="S7" s="38">
        <v>183383.21600000001</v>
      </c>
      <c r="T7" s="39">
        <v>183928.46500000003</v>
      </c>
      <c r="U7" s="39">
        <v>184473.71400000004</v>
      </c>
      <c r="V7" s="39">
        <v>185018.96300000005</v>
      </c>
      <c r="W7" s="39">
        <v>185564.21200000006</v>
      </c>
      <c r="X7" s="38">
        <v>185564.212</v>
      </c>
      <c r="Y7" s="39">
        <v>186083.58749999999</v>
      </c>
      <c r="Z7" s="39">
        <v>186602.96299999999</v>
      </c>
      <c r="AA7" s="39">
        <v>187122.33849999998</v>
      </c>
      <c r="AB7" s="39">
        <v>187641.71399999998</v>
      </c>
      <c r="AC7" s="38">
        <v>187641.71400000001</v>
      </c>
      <c r="AD7" s="39">
        <v>188134.489</v>
      </c>
      <c r="AE7" s="39">
        <v>188627.264</v>
      </c>
      <c r="AF7" s="39">
        <v>189120.03899999999</v>
      </c>
      <c r="AG7" s="39">
        <v>189612.81399999998</v>
      </c>
      <c r="AH7" s="38">
        <v>189612.81399999998</v>
      </c>
      <c r="AI7" s="39">
        <v>190079.76799999998</v>
      </c>
      <c r="AJ7" s="39">
        <v>190546.72199999998</v>
      </c>
      <c r="AK7" s="39">
        <v>191013.67599999998</v>
      </c>
      <c r="AL7" s="39">
        <v>191480.62999999998</v>
      </c>
      <c r="AM7" s="38">
        <v>191480.63</v>
      </c>
      <c r="AN7" s="39">
        <v>191923.62349999999</v>
      </c>
      <c r="AO7" s="39">
        <v>192366.61699999997</v>
      </c>
      <c r="AP7" s="39">
        <v>192809.61049999995</v>
      </c>
      <c r="AQ7" s="39">
        <v>193252.60399999993</v>
      </c>
      <c r="AR7" s="38">
        <v>193252.60399999999</v>
      </c>
      <c r="AS7" s="39">
        <f>AQ7*(1+AS8)</f>
        <v>193671.26182860634</v>
      </c>
      <c r="AT7" s="39">
        <f>AS7*(1+AT8)</f>
        <v>194090.82662753979</v>
      </c>
      <c r="AU7" s="57">
        <f>AT7*(1+AU8)</f>
        <v>194511.30036163915</v>
      </c>
      <c r="AV7" s="57">
        <f>AU7*(1+AV8)</f>
        <v>194932.68499999988</v>
      </c>
      <c r="AW7" s="58">
        <v>194932.685</v>
      </c>
      <c r="AX7" s="57">
        <f>AV7*(1+AX8)</f>
        <v>195329.87141537122</v>
      </c>
      <c r="AY7" s="57">
        <f>AX7*(1+AY8)</f>
        <v>195727.86712061899</v>
      </c>
      <c r="AZ7" s="57">
        <f>AY7*(1+AZ8)</f>
        <v>196126.67376471727</v>
      </c>
      <c r="BA7" s="57">
        <f>AZ7*(1+BA8)</f>
        <v>196526.29300000001</v>
      </c>
      <c r="BB7" s="58">
        <v>196526.29300000001</v>
      </c>
      <c r="BC7" s="57">
        <f>BA7*(1+BC8)</f>
        <v>196904.45683191609</v>
      </c>
      <c r="BD7" s="57">
        <f>BC7*(1+BD8)</f>
        <v>197283.34834195397</v>
      </c>
      <c r="BE7" s="57">
        <f>BD7*(1+BE8)</f>
        <v>197662.96893034125</v>
      </c>
      <c r="BF7" s="57">
        <f>BE7*(1+BF8)</f>
        <v>198043.31999999995</v>
      </c>
      <c r="BG7" s="58">
        <v>198043.32</v>
      </c>
      <c r="BH7" s="57">
        <f>BF7*(1+BH8)</f>
        <v>198404.60840495382</v>
      </c>
      <c r="BI7" s="57">
        <f>BH7*(1+BI8)</f>
        <v>198766.55590465301</v>
      </c>
      <c r="BJ7" s="57">
        <f>BI7*(1+BJ8)</f>
        <v>199129.16370147732</v>
      </c>
      <c r="BK7" s="57">
        <f>BJ7*(1+BK8)</f>
        <v>199492.43300000002</v>
      </c>
      <c r="BL7" s="58">
        <v>199492.43300000002</v>
      </c>
      <c r="BM7" s="57">
        <f>BK7*(1+BM8)</f>
        <v>199838.84266773507</v>
      </c>
      <c r="BN7" s="57">
        <f>BM7*(1+BN8)</f>
        <v>200185.85386033048</v>
      </c>
      <c r="BO7" s="57">
        <f>BN7*(1+BO8)</f>
        <v>200533.46762230719</v>
      </c>
      <c r="BP7" s="57">
        <f>BO7*(1+BP8)</f>
        <v>200881.68499999991</v>
      </c>
      <c r="BQ7" s="58">
        <v>200881.685</v>
      </c>
      <c r="BR7" s="57">
        <f>BP7*(1+BR8)</f>
        <v>201215.19751234906</v>
      </c>
      <c r="BS7" s="57">
        <f>BR7*(1+BS8)</f>
        <v>201549.26373667992</v>
      </c>
      <c r="BT7" s="57">
        <f>BS7*(1+BT8)</f>
        <v>201883.88459228922</v>
      </c>
      <c r="BU7" s="57">
        <f>BT7*(1+BU8)</f>
        <v>202219.06099999996</v>
      </c>
      <c r="BV7" s="58">
        <v>202219.06100000002</v>
      </c>
      <c r="BW7" s="57">
        <f>BU7*(1+BW8)</f>
        <v>202541.13100163144</v>
      </c>
      <c r="BX7" s="57">
        <f>BW7*(1+BX8)</f>
        <v>202863.71395731106</v>
      </c>
      <c r="BY7" s="57">
        <f>BX7*(1+BY8)</f>
        <v>203186.81068400983</v>
      </c>
      <c r="BZ7" s="57">
        <f>BY7*(1+BZ8)</f>
        <v>203510.42199999993</v>
      </c>
      <c r="CA7" s="58">
        <v>203510.42199999999</v>
      </c>
      <c r="CB7" s="57">
        <f>BZ7*(1+CB8)</f>
        <v>203822.0980213834</v>
      </c>
      <c r="CC7" s="57">
        <f>CB7*(1+CC8)</f>
        <v>204134.25137430275</v>
      </c>
      <c r="CD7" s="57">
        <f>CC7*(1+CD8)</f>
        <v>204446.8827897908</v>
      </c>
      <c r="CE7" s="57">
        <f>CD7*(1+CE8)</f>
        <v>204759.99299999996</v>
      </c>
      <c r="CF7" s="58">
        <v>204759.99300000002</v>
      </c>
      <c r="CG7" s="57">
        <f>CE7*(1+CG8)</f>
        <v>205061.87200031558</v>
      </c>
      <c r="CH7" s="57">
        <f>CG7*(1+CH8)</f>
        <v>205364.19606282082</v>
      </c>
      <c r="CI7" s="57">
        <f>CH7*(1+CI8)</f>
        <v>205666.9658436738</v>
      </c>
      <c r="CJ7" s="57">
        <f>CI7*(1+CJ8)</f>
        <v>205970.18199999997</v>
      </c>
      <c r="CK7" s="58">
        <v>205970.182</v>
      </c>
      <c r="CL7" s="57">
        <f>CJ7*(1+CL8)</f>
        <v>206262.82298566893</v>
      </c>
      <c r="CM7" s="57">
        <f>CL7*(1+CM8)</f>
        <v>206555.8797535917</v>
      </c>
      <c r="CN7" s="57">
        <f>CM7*(1+CN8)</f>
        <v>206849.3528945088</v>
      </c>
      <c r="CO7" s="57">
        <f>CN7*(1+CO8)</f>
        <v>207143.24300000005</v>
      </c>
      <c r="CP7" s="58">
        <v>207143.24300000002</v>
      </c>
      <c r="CQ7" s="57">
        <f>CO7*(1+CQ8)</f>
        <v>207426.90928006859</v>
      </c>
      <c r="CR7" s="57">
        <f>CQ7*(1+CR8)</f>
        <v>207710.96401866121</v>
      </c>
      <c r="CS7" s="57">
        <f>CR7*(1+CS8)</f>
        <v>207995.40774774112</v>
      </c>
      <c r="CT7" s="57">
        <f>CS7*(1+CT8)</f>
        <v>208280.24100000001</v>
      </c>
      <c r="CU7" s="58">
        <v>208280.24099999998</v>
      </c>
      <c r="CV7" s="57">
        <f>CT7*(1+CV8)</f>
        <v>208554.72044433281</v>
      </c>
      <c r="CW7" s="57">
        <f>CV7*(1+CW8)</f>
        <v>208829.56160788101</v>
      </c>
      <c r="CX7" s="57">
        <f>CW7*(1+CX8)</f>
        <v>209104.76496733166</v>
      </c>
      <c r="CY7" s="57">
        <f>CX7*(1+CY8)</f>
        <v>209380.33099999998</v>
      </c>
      <c r="CZ7" s="58">
        <v>209380.33100000001</v>
      </c>
      <c r="DA7" s="57">
        <f>CY7*(1+DA8)</f>
        <v>209645.0861640776</v>
      </c>
      <c r="DB7" s="57">
        <f>DA7*(1+DB8)</f>
        <v>209910.17610313898</v>
      </c>
      <c r="DC7" s="57">
        <f>DB7*(1+DC8)</f>
        <v>210175.60124049702</v>
      </c>
      <c r="DD7" s="57">
        <f>DC7*(1+DD8)</f>
        <v>210441.36199999999</v>
      </c>
      <c r="DE7" s="58">
        <v>210441.36199999999</v>
      </c>
      <c r="DF7" s="57">
        <f>DD7*(1+DF8)</f>
        <v>210695.39913315832</v>
      </c>
      <c r="DG7" s="57">
        <f>DF7*(1+DG8)</f>
        <v>210949.74293067394</v>
      </c>
      <c r="DH7" s="57">
        <f>DG7*(1+DH8)</f>
        <v>211204.39376274086</v>
      </c>
      <c r="DI7" s="57">
        <f>DH7*(1+DI8)</f>
        <v>211459.35199999998</v>
      </c>
      <c r="DJ7" s="58">
        <v>211459.35199999998</v>
      </c>
      <c r="DK7" s="57">
        <f>DI7*(1+DK8)</f>
        <v>211701.60961963402</v>
      </c>
      <c r="DL7" s="57">
        <f>DK7*(1+DL8)</f>
        <v>211944.14478080839</v>
      </c>
      <c r="DM7" s="57">
        <f>DL7*(1+DM8)</f>
        <v>212186.95780148753</v>
      </c>
      <c r="DN7" s="57">
        <f>DM7*(1+DN8)</f>
        <v>212430.04900000012</v>
      </c>
      <c r="DO7" s="58">
        <v>212430.049</v>
      </c>
      <c r="DP7" s="57">
        <f>DN7*(1+DP8)</f>
        <v>212659.28417837207</v>
      </c>
      <c r="DQ7" s="57">
        <f>DP7*(1+DQ8)</f>
        <v>212888.76672648877</v>
      </c>
      <c r="DR7" s="57">
        <f>DQ7*(1+DR8)</f>
        <v>213118.49691128917</v>
      </c>
      <c r="DS7" s="57">
        <f>DR7*(1+DS8)</f>
        <v>213348.47500000024</v>
      </c>
      <c r="DT7" s="58">
        <v>213348.47500000001</v>
      </c>
      <c r="DU7" s="57">
        <f>DS7*(1+DU8)</f>
        <v>213563.38480802759</v>
      </c>
      <c r="DV7" s="57">
        <f>DU7*(1+DV8)</f>
        <v>213778.5110986222</v>
      </c>
      <c r="DW7" s="57">
        <f>DV7*(1+DW8)</f>
        <v>213993.85408985088</v>
      </c>
      <c r="DX7" s="57">
        <f>DW7*(1+DX8)</f>
        <v>214209.41400000016</v>
      </c>
      <c r="DY7" s="58">
        <v>214209.41400000002</v>
      </c>
      <c r="DZ7" s="57">
        <f>DX7*(1+DZ8)</f>
        <v>214409.02681035688</v>
      </c>
      <c r="EA7" s="57">
        <f>DZ7*(1+EA8)</f>
        <v>214608.82563155837</v>
      </c>
      <c r="EB7" s="57">
        <f>EA7*(1+EB8)</f>
        <v>214808.81063694038</v>
      </c>
      <c r="EC7" s="57">
        <f>EB7*(1+EC8)</f>
        <v>215008.98200000019</v>
      </c>
      <c r="ED7" s="58">
        <v>215008.98199999999</v>
      </c>
      <c r="EE7" s="57">
        <f>EC7*(1+EE8)</f>
        <v>215192.39717078142</v>
      </c>
      <c r="EF7" s="57">
        <f>EE7*(1+EF8)</f>
        <v>215375.96880537434</v>
      </c>
      <c r="EG7" s="57">
        <f>EF7*(1+EG8)</f>
        <v>215559.6970372517</v>
      </c>
      <c r="EH7" s="57">
        <f>EG7*(1+EH8)</f>
        <v>215743.58200000008</v>
      </c>
      <c r="EI7" s="58">
        <v>215743.58199999999</v>
      </c>
      <c r="EJ7" s="57">
        <f>EH7*(1+EJ8)</f>
        <v>215910.00134321753</v>
      </c>
      <c r="EK7" s="57">
        <f>EJ7*(1+EK8)</f>
        <v>216076.54905826203</v>
      </c>
      <c r="EL7" s="57">
        <f>EK7*(1+EL8)</f>
        <v>216243.22524415649</v>
      </c>
      <c r="EM7" s="57">
        <f>EL7*(1+EM8)</f>
        <v>216410.03000000017</v>
      </c>
      <c r="EN7" s="58">
        <v>216410.03</v>
      </c>
      <c r="EO7" s="57">
        <f t="shared" ref="EO7:EW7" si="1">+EN7</f>
        <v>216410.03</v>
      </c>
      <c r="EP7" s="57">
        <f t="shared" si="1"/>
        <v>216410.03</v>
      </c>
      <c r="EQ7" s="57">
        <f t="shared" si="1"/>
        <v>216410.03</v>
      </c>
      <c r="ER7" s="57">
        <f t="shared" si="1"/>
        <v>216410.03</v>
      </c>
      <c r="ES7" s="58">
        <v>216410.03</v>
      </c>
      <c r="ET7" s="57">
        <f t="shared" si="1"/>
        <v>216410.03</v>
      </c>
      <c r="EU7" s="57">
        <f t="shared" si="1"/>
        <v>216410.03</v>
      </c>
      <c r="EV7" s="57">
        <f t="shared" si="1"/>
        <v>216410.03</v>
      </c>
      <c r="EW7" s="57">
        <f t="shared" si="1"/>
        <v>216410.03</v>
      </c>
      <c r="EX7" s="58">
        <v>216410.03</v>
      </c>
      <c r="EY7" s="57">
        <f t="shared" ref="EY7:GB7" si="2">+EX7</f>
        <v>216410.03</v>
      </c>
      <c r="EZ7" s="57">
        <f t="shared" si="2"/>
        <v>216410.03</v>
      </c>
      <c r="FA7" s="57">
        <f t="shared" si="2"/>
        <v>216410.03</v>
      </c>
      <c r="FB7" s="57">
        <f t="shared" si="2"/>
        <v>216410.03</v>
      </c>
      <c r="FC7" s="58">
        <v>216410.03</v>
      </c>
      <c r="FD7" s="57">
        <f t="shared" si="2"/>
        <v>216410.03</v>
      </c>
      <c r="FE7" s="57">
        <f t="shared" si="2"/>
        <v>216410.03</v>
      </c>
      <c r="FF7" s="57">
        <f t="shared" si="2"/>
        <v>216410.03</v>
      </c>
      <c r="FG7" s="57">
        <f t="shared" si="2"/>
        <v>216410.03</v>
      </c>
      <c r="FH7" s="58">
        <v>216410.03</v>
      </c>
      <c r="FI7" s="57">
        <f t="shared" si="2"/>
        <v>216410.03</v>
      </c>
      <c r="FJ7" s="57">
        <f t="shared" si="2"/>
        <v>216410.03</v>
      </c>
      <c r="FK7" s="57">
        <f t="shared" si="2"/>
        <v>216410.03</v>
      </c>
      <c r="FL7" s="57">
        <f t="shared" si="2"/>
        <v>216410.03</v>
      </c>
      <c r="FM7" s="58">
        <v>216410.03</v>
      </c>
      <c r="FN7" s="57">
        <f t="shared" si="2"/>
        <v>216410.03</v>
      </c>
      <c r="FO7" s="57">
        <f t="shared" si="2"/>
        <v>216410.03</v>
      </c>
      <c r="FP7" s="57">
        <f t="shared" si="2"/>
        <v>216410.03</v>
      </c>
      <c r="FQ7" s="57">
        <f t="shared" si="2"/>
        <v>216410.03</v>
      </c>
      <c r="FR7" s="58">
        <f t="shared" si="2"/>
        <v>216410.03</v>
      </c>
      <c r="FS7" s="57">
        <f t="shared" si="2"/>
        <v>216410.03</v>
      </c>
      <c r="FT7" s="57">
        <f t="shared" si="2"/>
        <v>216410.03</v>
      </c>
      <c r="FU7" s="57">
        <f t="shared" si="2"/>
        <v>216410.03</v>
      </c>
      <c r="FV7" s="57">
        <f t="shared" si="2"/>
        <v>216410.03</v>
      </c>
      <c r="FW7" s="58">
        <f t="shared" si="2"/>
        <v>216410.03</v>
      </c>
      <c r="FX7" s="57">
        <f t="shared" si="2"/>
        <v>216410.03</v>
      </c>
      <c r="FY7" s="57">
        <f t="shared" si="2"/>
        <v>216410.03</v>
      </c>
      <c r="FZ7" s="57">
        <f t="shared" si="2"/>
        <v>216410.03</v>
      </c>
      <c r="GA7" s="57">
        <f t="shared" si="2"/>
        <v>216410.03</v>
      </c>
      <c r="GB7" s="58">
        <f t="shared" si="2"/>
        <v>216410.03</v>
      </c>
    </row>
    <row r="8" spans="1:184" s="17" customFormat="1">
      <c r="A8" s="54">
        <f t="shared" si="0"/>
        <v>4</v>
      </c>
      <c r="B8" s="16" t="s">
        <v>312</v>
      </c>
      <c r="C8" s="40"/>
      <c r="D8" s="40">
        <v>1.4360149454561766E-2</v>
      </c>
      <c r="E8" s="41">
        <v>3.4563794920521307E-3</v>
      </c>
      <c r="F8" s="41">
        <v>3.444474082472393E-3</v>
      </c>
      <c r="G8" s="41">
        <v>3.4326504071109376E-3</v>
      </c>
      <c r="H8" s="41">
        <v>3.420907627151859E-3</v>
      </c>
      <c r="I8" s="40">
        <v>1.3825517968208079E-2</v>
      </c>
      <c r="J8" s="41">
        <v>3.3067169123628393E-3</v>
      </c>
      <c r="K8" s="41">
        <v>3.2958185733462653E-3</v>
      </c>
      <c r="L8" s="41">
        <v>3.2849918362389818E-3</v>
      </c>
      <c r="M8" s="41">
        <v>3.2742359977167013E-3</v>
      </c>
      <c r="N8" s="40">
        <v>1.3226867649450913E-2</v>
      </c>
      <c r="O8" s="41">
        <v>3.1440427400144522E-3</v>
      </c>
      <c r="P8" s="41">
        <v>3.1341887167337656E-3</v>
      </c>
      <c r="Q8" s="41">
        <v>3.1243962692002469E-3</v>
      </c>
      <c r="R8" s="41">
        <v>3.1146648220503614E-3</v>
      </c>
      <c r="S8" s="40">
        <v>1.2576170960057809E-2</v>
      </c>
      <c r="T8" s="41">
        <v>2.9732764638614739E-3</v>
      </c>
      <c r="U8" s="41">
        <v>2.9644622978830526E-3</v>
      </c>
      <c r="V8" s="41">
        <v>2.9557002359696938E-3</v>
      </c>
      <c r="W8" s="41">
        <v>2.9469898174707687E-3</v>
      </c>
      <c r="X8" s="40">
        <v>1.189310585544523E-2</v>
      </c>
      <c r="Y8" s="41">
        <v>2.7988990678871062E-3</v>
      </c>
      <c r="Z8" s="41">
        <v>2.791087096813305E-3</v>
      </c>
      <c r="AA8" s="41">
        <v>2.7833186121486442E-3</v>
      </c>
      <c r="AB8" s="41">
        <v>2.7755932517912196E-3</v>
      </c>
      <c r="AC8" s="40">
        <v>1.1195596271548425E-2</v>
      </c>
      <c r="AD8" s="41">
        <v>2.6261484693110848E-3</v>
      </c>
      <c r="AE8" s="41">
        <v>2.6192698777309786E-3</v>
      </c>
      <c r="AF8" s="41">
        <v>2.6124272257905812E-3</v>
      </c>
      <c r="AG8" s="41">
        <v>2.6056202325550615E-3</v>
      </c>
      <c r="AH8" s="40">
        <v>1.0504593877244117E-2</v>
      </c>
      <c r="AI8" s="41">
        <v>2.4626711146220615E-3</v>
      </c>
      <c r="AJ8" s="41">
        <v>2.4566212643946095E-3</v>
      </c>
      <c r="AK8" s="41">
        <v>2.4506010657061594E-3</v>
      </c>
      <c r="AL8" s="41">
        <v>2.4446103010968834E-3</v>
      </c>
      <c r="AM8" s="40">
        <v>9.8506844584882458E-3</v>
      </c>
      <c r="AN8" s="41">
        <v>2.3135159937586192E-3</v>
      </c>
      <c r="AO8" s="41">
        <v>2.3081759916854239E-3</v>
      </c>
      <c r="AP8" s="41">
        <v>2.3028605841728389E-3</v>
      </c>
      <c r="AQ8" s="41">
        <v>2.297569601697802E-3</v>
      </c>
      <c r="AR8" s="40">
        <v>9.2540639750349207E-3</v>
      </c>
      <c r="AS8" s="41">
        <f>(1+AW8)^(1/4)-1</f>
        <v>2.1663761312442631E-3</v>
      </c>
      <c r="AT8" s="41">
        <f>(1+AW8)^(1/4)-1</f>
        <v>2.1663761312442631E-3</v>
      </c>
      <c r="AU8" s="59">
        <f>(1+AW8)^(1/4)-1</f>
        <v>2.1663761312442631E-3</v>
      </c>
      <c r="AV8" s="59">
        <f>(1+AW8)^(1/4)-1</f>
        <v>2.1663761312442631E-3</v>
      </c>
      <c r="AW8" s="60">
        <f>AW7/AR7-1</f>
        <v>8.693704329076013E-3</v>
      </c>
      <c r="AX8" s="59">
        <f>(1+BB8)^(1/4)-1</f>
        <v>2.0375567872126243E-3</v>
      </c>
      <c r="AY8" s="59">
        <f>(1+BB8)^(1/4)-1</f>
        <v>2.0375567872126243E-3</v>
      </c>
      <c r="AZ8" s="59">
        <f>(1+BB8)^(1/4)-1</f>
        <v>2.0375567872126243E-3</v>
      </c>
      <c r="BA8" s="59">
        <f>(1+BB8)^(1/4)-1</f>
        <v>2.0375567872126243E-3</v>
      </c>
      <c r="BB8" s="60">
        <f>BB7/AW7-1</f>
        <v>8.1751708288428926E-3</v>
      </c>
      <c r="BC8" s="59">
        <f>(1+BG8)^(1/4)-1</f>
        <v>1.9242403962511645E-3</v>
      </c>
      <c r="BD8" s="59">
        <f>(1+BG8)^(1/4)-1</f>
        <v>1.9242403962511645E-3</v>
      </c>
      <c r="BE8" s="59">
        <f>(1+BG8)^(1/4)-1</f>
        <v>1.9242403962511645E-3</v>
      </c>
      <c r="BF8" s="59">
        <f>(1+BG8)^(1/4)-1</f>
        <v>1.9242403962511645E-3</v>
      </c>
      <c r="BG8" s="60">
        <f>BG7/BB7-1</f>
        <v>7.7192063048785453E-3</v>
      </c>
      <c r="BH8" s="59">
        <f>(1+BL8)^(1/4)-1</f>
        <v>1.8242897814169101E-3</v>
      </c>
      <c r="BI8" s="59">
        <f>(1+BL8)^(1/4)-1</f>
        <v>1.8242897814169101E-3</v>
      </c>
      <c r="BJ8" s="59">
        <f>(1+BL8)^(1/4)-1</f>
        <v>1.8242897814169101E-3</v>
      </c>
      <c r="BK8" s="59">
        <f>(1+BL8)^(1/4)-1</f>
        <v>1.8242897814169101E-3</v>
      </c>
      <c r="BL8" s="60">
        <f>BL7/BG7-1</f>
        <v>7.3171516211705256E-3</v>
      </c>
      <c r="BM8" s="59">
        <f>(1+BQ8)^(1/4)-1</f>
        <v>1.736455175395335E-3</v>
      </c>
      <c r="BN8" s="59">
        <f>(1+BQ8)^(1/4)-1</f>
        <v>1.736455175395335E-3</v>
      </c>
      <c r="BO8" s="59">
        <f>(1+BQ8)^(1/4)-1</f>
        <v>1.736455175395335E-3</v>
      </c>
      <c r="BP8" s="59">
        <f>(1+BQ8)^(1/4)-1</f>
        <v>1.736455175395335E-3</v>
      </c>
      <c r="BQ8" s="60">
        <f>BQ7/BL7-1</f>
        <v>6.9639333137010428E-3</v>
      </c>
      <c r="BR8" s="59">
        <f>(1+BV8)^(1/4)-1</f>
        <v>1.6602435027819329E-3</v>
      </c>
      <c r="BS8" s="59">
        <f>(1+BV8)^(1/4)-1</f>
        <v>1.6602435027819329E-3</v>
      </c>
      <c r="BT8" s="59">
        <f>(1+BV8)^(1/4)-1</f>
        <v>1.6602435027819329E-3</v>
      </c>
      <c r="BU8" s="59">
        <f>(1+BV8)^(1/4)-1</f>
        <v>1.6602435027819329E-3</v>
      </c>
      <c r="BV8" s="60">
        <f>BV7/BQ7-1</f>
        <v>6.6575307748937274E-3</v>
      </c>
      <c r="BW8" s="59">
        <f>(1+CA8)^(1/4)-1</f>
        <v>1.5926787516409302E-3</v>
      </c>
      <c r="BX8" s="59">
        <f>(1+CA8)^(1/4)-1</f>
        <v>1.5926787516409302E-3</v>
      </c>
      <c r="BY8" s="59">
        <f>(1+CA8)^(1/4)-1</f>
        <v>1.5926787516409302E-3</v>
      </c>
      <c r="BZ8" s="59">
        <f>(1+CA8)^(1/4)-1</f>
        <v>1.5926787516409302E-3</v>
      </c>
      <c r="CA8" s="60">
        <f>CA7/BV7-1</f>
        <v>6.3859509267525372E-3</v>
      </c>
      <c r="CB8" s="59">
        <f>(1+CF8)^(1/4)-1</f>
        <v>1.5314990668313655E-3</v>
      </c>
      <c r="CC8" s="59">
        <f>(1+CF8)^(1/4)-1</f>
        <v>1.5314990668313655E-3</v>
      </c>
      <c r="CD8" s="59">
        <f>(1+CF8)^(1/4)-1</f>
        <v>1.5314990668313655E-3</v>
      </c>
      <c r="CE8" s="59">
        <f>(1+CF8)^(1/4)-1</f>
        <v>1.5314990668313655E-3</v>
      </c>
      <c r="CF8" s="60">
        <f>CF7/CA7-1</f>
        <v>6.1400835776361795E-3</v>
      </c>
      <c r="CG8" s="59">
        <f>(1+CK8)^(1/4)-1</f>
        <v>1.4743065571194425E-3</v>
      </c>
      <c r="CH8" s="59">
        <f>(1+CK8)^(1/4)-1</f>
        <v>1.4743065571194425E-3</v>
      </c>
      <c r="CI8" s="59">
        <f>(1+CK8)^(1/4)-1</f>
        <v>1.4743065571194425E-3</v>
      </c>
      <c r="CJ8" s="59">
        <f>(1+CK8)^(1/4)-1</f>
        <v>1.4743065571194425E-3</v>
      </c>
      <c r="CK8" s="60">
        <f>CK7/CF7-1</f>
        <v>5.9102805302400085E-3</v>
      </c>
      <c r="CL8" s="59">
        <f>(1+CP8)^(1/4)-1</f>
        <v>1.4207929654057594E-3</v>
      </c>
      <c r="CM8" s="59">
        <f>(1+CP8)^(1/4)-1</f>
        <v>1.4207929654057594E-3</v>
      </c>
      <c r="CN8" s="59">
        <f>(1+CP8)^(1/4)-1</f>
        <v>1.4207929654057594E-3</v>
      </c>
      <c r="CO8" s="59">
        <f>(1+CP8)^(1/4)-1</f>
        <v>1.4207929654057594E-3</v>
      </c>
      <c r="CP8" s="60">
        <f>CP7/CK7-1</f>
        <v>5.6952952539510715E-3</v>
      </c>
      <c r="CQ8" s="59">
        <f>(1+CU8)^(1/4)-1</f>
        <v>1.3694208701200417E-3</v>
      </c>
      <c r="CR8" s="59">
        <f>(1+CU8)^(1/4)-1</f>
        <v>1.3694208701200417E-3</v>
      </c>
      <c r="CS8" s="59">
        <f>(1+CU8)^(1/4)-1</f>
        <v>1.3694208701200417E-3</v>
      </c>
      <c r="CT8" s="59">
        <f>(1+CU8)^(1/4)-1</f>
        <v>1.3694208701200417E-3</v>
      </c>
      <c r="CU8" s="60">
        <f>CU7/CP7-1</f>
        <v>5.4889456374880297E-3</v>
      </c>
      <c r="CV8" s="59">
        <f>(1+CZ8)^(1/4)-1</f>
        <v>1.3178371746400686E-3</v>
      </c>
      <c r="CW8" s="59">
        <f>(1+CZ8)^(1/4)-1</f>
        <v>1.3178371746400686E-3</v>
      </c>
      <c r="CX8" s="59">
        <f>(1+CZ8)^(1/4)-1</f>
        <v>1.3178371746400686E-3</v>
      </c>
      <c r="CY8" s="59">
        <f>(1+CZ8)^(1/4)-1</f>
        <v>1.3178371746400686E-3</v>
      </c>
      <c r="CZ8" s="60">
        <f>CZ7/CU7-1</f>
        <v>5.2817780252136792E-3</v>
      </c>
      <c r="DA8" s="59">
        <f>(1+DE8)^(1/4)-1</f>
        <v>1.2644700808961407E-3</v>
      </c>
      <c r="DB8" s="59">
        <f>(1+DE8)^(1/4)-1</f>
        <v>1.2644700808961407E-3</v>
      </c>
      <c r="DC8" s="59">
        <f>(1+DE8)^(1/4)-1</f>
        <v>1.2644700808961407E-3</v>
      </c>
      <c r="DD8" s="59">
        <f>(1+DE8)^(1/4)-1</f>
        <v>1.2644700808961407E-3</v>
      </c>
      <c r="DE8" s="60">
        <f>DE7/CZ7-1</f>
        <v>5.067481720620659E-3</v>
      </c>
      <c r="DF8" s="59">
        <f>(1+DJ8)^(1/4)-1</f>
        <v>1.2071635097967715E-3</v>
      </c>
      <c r="DG8" s="59">
        <f>(1+DJ8)^(1/4)-1</f>
        <v>1.2071635097967715E-3</v>
      </c>
      <c r="DH8" s="59">
        <f>(1+DJ8)^(1/4)-1</f>
        <v>1.2071635097967715E-3</v>
      </c>
      <c r="DI8" s="59">
        <f>(1+DJ8)^(1/4)-1</f>
        <v>1.2071635097967715E-3</v>
      </c>
      <c r="DJ8" s="60">
        <f>DJ7/DE7-1</f>
        <v>4.8374045402728161E-3</v>
      </c>
      <c r="DK8" s="59">
        <f>(1+DO8)^(1/4)-1</f>
        <v>1.1456462783165922E-3</v>
      </c>
      <c r="DL8" s="59">
        <f>(1+DO8)^(1/4)-1</f>
        <v>1.1456462783165922E-3</v>
      </c>
      <c r="DM8" s="59">
        <f>(1+DO8)^(1/4)-1</f>
        <v>1.1456462783165922E-3</v>
      </c>
      <c r="DN8" s="59">
        <f>(1+DO8)^(1/4)-1</f>
        <v>1.1456462783165922E-3</v>
      </c>
      <c r="DO8" s="60">
        <f>DO7/DJ7-1</f>
        <v>4.5904661620264076E-3</v>
      </c>
      <c r="DP8" s="59">
        <f>(1+DT8)^(1/4)-1</f>
        <v>1.0791090029449446E-3</v>
      </c>
      <c r="DQ8" s="59">
        <f>(1+DT8)^(1/4)-1</f>
        <v>1.0791090029449446E-3</v>
      </c>
      <c r="DR8" s="59">
        <f>(1+DT8)^(1/4)-1</f>
        <v>1.0791090029449446E-3</v>
      </c>
      <c r="DS8" s="59">
        <f>(1+DT8)^(1/4)-1</f>
        <v>1.0791090029449446E-3</v>
      </c>
      <c r="DT8" s="60">
        <f>DT7/DO7-1</f>
        <v>4.3234278969639384E-3</v>
      </c>
      <c r="DU8" s="59">
        <f>(1+DY8)^(1/4)-1</f>
        <v>1.0073182291430172E-3</v>
      </c>
      <c r="DV8" s="59">
        <f>(1+DY8)^(1/4)-1</f>
        <v>1.0073182291430172E-3</v>
      </c>
      <c r="DW8" s="59">
        <f>(1+DY8)^(1/4)-1</f>
        <v>1.0073182291430172E-3</v>
      </c>
      <c r="DX8" s="59">
        <f>(1+DY8)^(1/4)-1</f>
        <v>1.0073182291430172E-3</v>
      </c>
      <c r="DY8" s="60">
        <f>DY7/DT7-1</f>
        <v>4.0353651461535467E-3</v>
      </c>
      <c r="DZ8" s="59">
        <f>(1+ED8)^(1/4)-1</f>
        <v>9.3185825323582883E-4</v>
      </c>
      <c r="EA8" s="59">
        <f>(1+ED8)^(1/4)-1</f>
        <v>9.3185825323582883E-4</v>
      </c>
      <c r="EB8" s="59">
        <f>(1+ED8)^(1/4)-1</f>
        <v>9.3185825323582883E-4</v>
      </c>
      <c r="EC8" s="59">
        <f>(1+ED8)^(1/4)-1</f>
        <v>9.3185825323582883E-4</v>
      </c>
      <c r="ED8" s="60">
        <f>ED7/DY7-1</f>
        <v>3.7326464092748424E-3</v>
      </c>
      <c r="EE8" s="59">
        <f>(1+EI8)^(1/4)-1</f>
        <v>8.5305817959380192E-4</v>
      </c>
      <c r="EF8" s="59">
        <f>(1+EI8)^(1/4)-1</f>
        <v>8.5305817959380192E-4</v>
      </c>
      <c r="EG8" s="59">
        <f>(1+EI8)^(1/4)-1</f>
        <v>8.5305817959380192E-4</v>
      </c>
      <c r="EH8" s="59">
        <f>(1+EI8)^(1/4)-1</f>
        <v>8.5305817959380192E-4</v>
      </c>
      <c r="EI8" s="60">
        <f>EI7/ED7-1</f>
        <v>3.4166014515617515E-3</v>
      </c>
      <c r="EJ8" s="59">
        <f>(1+EN8)^(1/4)-1</f>
        <v>7.71375638036087E-4</v>
      </c>
      <c r="EK8" s="59">
        <f>(1+EN8)^(1/4)-1</f>
        <v>7.71375638036087E-4</v>
      </c>
      <c r="EL8" s="59">
        <f>(1+EN8)^(1/4)-1</f>
        <v>7.71375638036087E-4</v>
      </c>
      <c r="EM8" s="59">
        <f>(1+EN8)^(1/4)-1</f>
        <v>7.71375638036087E-4</v>
      </c>
      <c r="EN8" s="60">
        <f>EN7/EI7-1</f>
        <v>3.0890745106846307E-3</v>
      </c>
      <c r="EO8" s="59">
        <f>(1+ES8)^(1/4)-1</f>
        <v>7.71375638036087E-4</v>
      </c>
      <c r="EP8" s="59">
        <f>(1+ES8)^(1/4)-1</f>
        <v>7.71375638036087E-4</v>
      </c>
      <c r="EQ8" s="59">
        <f>(1+ES8)^(1/4)-1</f>
        <v>7.71375638036087E-4</v>
      </c>
      <c r="ER8" s="59">
        <f>(1+ES8)^(1/4)-1</f>
        <v>7.71375638036087E-4</v>
      </c>
      <c r="ES8" s="60">
        <f>+EN8</f>
        <v>3.0890745106846307E-3</v>
      </c>
      <c r="ET8" s="59">
        <f>(1+EX8)^(1/4)-1</f>
        <v>7.71375638036087E-4</v>
      </c>
      <c r="EU8" s="59">
        <f>(1+EX8)^(1/4)-1</f>
        <v>7.71375638036087E-4</v>
      </c>
      <c r="EV8" s="59">
        <f>(1+EX8)^(1/4)-1</f>
        <v>7.71375638036087E-4</v>
      </c>
      <c r="EW8" s="59">
        <f>(1+EX8)^(1/4)-1</f>
        <v>7.71375638036087E-4</v>
      </c>
      <c r="EX8" s="60">
        <f>+ES8</f>
        <v>3.0890745106846307E-3</v>
      </c>
      <c r="EY8" s="59">
        <f>(1+FC8)^(1/4)-1</f>
        <v>7.71375638036087E-4</v>
      </c>
      <c r="EZ8" s="59">
        <f>(1+FC8)^(1/4)-1</f>
        <v>7.71375638036087E-4</v>
      </c>
      <c r="FA8" s="59">
        <f>(1+FC8)^(1/4)-1</f>
        <v>7.71375638036087E-4</v>
      </c>
      <c r="FB8" s="59">
        <f>(1+FC8)^(1/4)-1</f>
        <v>7.71375638036087E-4</v>
      </c>
      <c r="FC8" s="60">
        <f>+EX8</f>
        <v>3.0890745106846307E-3</v>
      </c>
      <c r="FD8" s="59">
        <f>(1+FH8)^(1/4)-1</f>
        <v>7.71375638036087E-4</v>
      </c>
      <c r="FE8" s="59">
        <f>(1+FH8)^(1/4)-1</f>
        <v>7.71375638036087E-4</v>
      </c>
      <c r="FF8" s="59">
        <f>(1+FH8)^(1/4)-1</f>
        <v>7.71375638036087E-4</v>
      </c>
      <c r="FG8" s="59">
        <f>(1+FH8)^(1/4)-1</f>
        <v>7.71375638036087E-4</v>
      </c>
      <c r="FH8" s="60">
        <f>+FC8</f>
        <v>3.0890745106846307E-3</v>
      </c>
      <c r="FI8" s="59">
        <f>(1+FM8)^(1/4)-1</f>
        <v>7.71375638036087E-4</v>
      </c>
      <c r="FJ8" s="59">
        <f>(1+FM8)^(1/4)-1</f>
        <v>7.71375638036087E-4</v>
      </c>
      <c r="FK8" s="59">
        <f>(1+FM8)^(1/4)-1</f>
        <v>7.71375638036087E-4</v>
      </c>
      <c r="FL8" s="59">
        <f>(1+FM8)^(1/4)-1</f>
        <v>7.71375638036087E-4</v>
      </c>
      <c r="FM8" s="60">
        <f>+FH8</f>
        <v>3.0890745106846307E-3</v>
      </c>
      <c r="FN8" s="59">
        <f>(1+FR8)^(1/4)-1</f>
        <v>7.71375638036087E-4</v>
      </c>
      <c r="FO8" s="59">
        <f>(1+FR8)^(1/4)-1</f>
        <v>7.71375638036087E-4</v>
      </c>
      <c r="FP8" s="59">
        <f>(1+FR8)^(1/4)-1</f>
        <v>7.71375638036087E-4</v>
      </c>
      <c r="FQ8" s="59">
        <f>(1+FR8)^(1/4)-1</f>
        <v>7.71375638036087E-4</v>
      </c>
      <c r="FR8" s="60">
        <f>+FM8</f>
        <v>3.0890745106846307E-3</v>
      </c>
      <c r="FS8" s="59">
        <f>(1+FW8)^(1/4)-1</f>
        <v>7.71375638036087E-4</v>
      </c>
      <c r="FT8" s="59">
        <f>(1+FW8)^(1/4)-1</f>
        <v>7.71375638036087E-4</v>
      </c>
      <c r="FU8" s="59">
        <f>(1+FW8)^(1/4)-1</f>
        <v>7.71375638036087E-4</v>
      </c>
      <c r="FV8" s="59">
        <f>(1+FW8)^(1/4)-1</f>
        <v>7.71375638036087E-4</v>
      </c>
      <c r="FW8" s="60">
        <f>+FR8</f>
        <v>3.0890745106846307E-3</v>
      </c>
      <c r="FX8" s="59">
        <f>(1+GB8)^(1/4)-1</f>
        <v>7.71375638036087E-4</v>
      </c>
      <c r="FY8" s="59">
        <f>(1+GB8)^(1/4)-1</f>
        <v>7.71375638036087E-4</v>
      </c>
      <c r="FZ8" s="59">
        <f>(1+GB8)^(1/4)-1</f>
        <v>7.71375638036087E-4</v>
      </c>
      <c r="GA8" s="59">
        <f>(1+GB8)^(1/4)-1</f>
        <v>7.71375638036087E-4</v>
      </c>
      <c r="GB8" s="60">
        <f>+FW8</f>
        <v>3.0890745106846307E-3</v>
      </c>
    </row>
    <row r="9" spans="1:184" s="18" customFormat="1">
      <c r="A9" s="54">
        <f t="shared" si="0"/>
        <v>5</v>
      </c>
      <c r="C9" s="30"/>
      <c r="D9" s="30"/>
      <c r="E9" s="19"/>
      <c r="F9" s="19"/>
      <c r="G9" s="19"/>
      <c r="H9" s="19"/>
      <c r="I9" s="30"/>
      <c r="J9" s="20"/>
      <c r="K9" s="42"/>
      <c r="L9" s="19"/>
      <c r="M9" s="19"/>
      <c r="N9" s="30"/>
      <c r="O9" s="19"/>
      <c r="P9" s="19"/>
      <c r="Q9" s="19"/>
      <c r="R9" s="19"/>
      <c r="S9" s="30"/>
      <c r="T9" s="19"/>
      <c r="U9" s="19"/>
      <c r="V9" s="19"/>
      <c r="W9" s="19"/>
      <c r="X9" s="30"/>
      <c r="Y9" s="19"/>
      <c r="Z9" s="19"/>
      <c r="AA9" s="19"/>
      <c r="AB9" s="19"/>
      <c r="AC9" s="30"/>
      <c r="AD9" s="19"/>
      <c r="AE9" s="19"/>
      <c r="AF9" s="19"/>
      <c r="AG9" s="19"/>
      <c r="AH9" s="30"/>
      <c r="AI9" s="19"/>
      <c r="AJ9" s="19"/>
      <c r="AK9" s="19"/>
      <c r="AL9" s="19"/>
      <c r="AM9" s="30"/>
      <c r="AN9" s="19"/>
      <c r="AO9" s="19"/>
      <c r="AP9" s="19"/>
      <c r="AQ9" s="19"/>
      <c r="AR9" s="30"/>
      <c r="AS9" s="19"/>
      <c r="AT9" s="19"/>
      <c r="AU9" s="61"/>
      <c r="AV9" s="61"/>
      <c r="AW9" s="62"/>
      <c r="AX9" s="61"/>
      <c r="AY9" s="61"/>
      <c r="AZ9" s="61"/>
      <c r="BA9" s="61"/>
      <c r="BB9" s="62"/>
      <c r="BC9" s="61"/>
      <c r="BD9" s="61"/>
      <c r="BE9" s="61"/>
      <c r="BF9" s="61"/>
      <c r="BG9" s="62"/>
      <c r="BH9" s="61"/>
      <c r="BI9" s="61"/>
      <c r="BJ9" s="61"/>
      <c r="BK9" s="61"/>
      <c r="BL9" s="62"/>
      <c r="BM9" s="61"/>
      <c r="BN9" s="61"/>
      <c r="BO9" s="61"/>
      <c r="BP9" s="61"/>
      <c r="BQ9" s="62"/>
      <c r="BR9" s="61"/>
      <c r="BS9" s="61"/>
      <c r="BT9" s="61"/>
      <c r="BU9" s="61"/>
      <c r="BV9" s="62"/>
      <c r="BW9" s="61"/>
      <c r="BX9" s="61"/>
      <c r="BY9" s="61"/>
      <c r="BZ9" s="61"/>
      <c r="CA9" s="62"/>
      <c r="CB9" s="61"/>
      <c r="CC9" s="61"/>
      <c r="CD9" s="61"/>
      <c r="CE9" s="61"/>
      <c r="CF9" s="62"/>
      <c r="CG9" s="61"/>
      <c r="CH9" s="61"/>
      <c r="CI9" s="61"/>
      <c r="CJ9" s="61"/>
      <c r="CK9" s="62"/>
      <c r="CL9" s="61"/>
      <c r="CM9" s="61"/>
      <c r="CN9" s="61"/>
      <c r="CO9" s="61"/>
      <c r="CP9" s="62"/>
      <c r="CQ9" s="61"/>
      <c r="CR9" s="61"/>
      <c r="CS9" s="61"/>
      <c r="CT9" s="61"/>
      <c r="CU9" s="62"/>
      <c r="CV9" s="61"/>
      <c r="CW9" s="61"/>
      <c r="CX9" s="61"/>
      <c r="CY9" s="61"/>
      <c r="CZ9" s="62"/>
      <c r="DA9" s="61"/>
      <c r="DB9" s="61"/>
      <c r="DC9" s="61"/>
      <c r="DD9" s="61"/>
      <c r="DE9" s="62"/>
      <c r="DF9" s="61"/>
      <c r="DG9" s="61"/>
      <c r="DH9" s="61"/>
      <c r="DI9" s="61"/>
      <c r="DJ9" s="62"/>
      <c r="DK9" s="61"/>
      <c r="DL9" s="61"/>
      <c r="DM9" s="61"/>
      <c r="DN9" s="61"/>
      <c r="DO9" s="62"/>
      <c r="DP9" s="61"/>
      <c r="DQ9" s="61"/>
      <c r="DR9" s="61"/>
      <c r="DS9" s="61"/>
      <c r="DT9" s="62"/>
      <c r="DU9" s="61"/>
      <c r="DV9" s="61"/>
      <c r="DW9" s="61"/>
      <c r="DX9" s="61"/>
      <c r="DY9" s="62"/>
      <c r="DZ9" s="61"/>
      <c r="EA9" s="61"/>
      <c r="EB9" s="61"/>
      <c r="EC9" s="61"/>
      <c r="ED9" s="62"/>
      <c r="EE9" s="61"/>
      <c r="EF9" s="61"/>
      <c r="EG9" s="61"/>
      <c r="EH9" s="61"/>
      <c r="EI9" s="62"/>
      <c r="EJ9" s="61"/>
      <c r="EK9" s="61"/>
      <c r="EL9" s="61"/>
      <c r="EM9" s="61"/>
      <c r="EN9" s="62"/>
      <c r="EO9" s="61"/>
      <c r="EP9" s="61"/>
      <c r="EQ9" s="61"/>
      <c r="ER9" s="61"/>
      <c r="ES9" s="62"/>
      <c r="ET9" s="61"/>
      <c r="EU9" s="61"/>
      <c r="EV9" s="61"/>
      <c r="EW9" s="61"/>
      <c r="EX9" s="62"/>
      <c r="EY9" s="61"/>
      <c r="EZ9" s="61"/>
      <c r="FA9" s="61"/>
      <c r="FB9" s="61"/>
      <c r="FC9" s="62"/>
      <c r="FD9" s="61"/>
      <c r="FE9" s="61"/>
      <c r="FF9" s="61"/>
      <c r="FG9" s="61"/>
      <c r="FH9" s="62"/>
      <c r="FI9" s="61"/>
      <c r="FJ9" s="61"/>
      <c r="FK9" s="61"/>
      <c r="FL9" s="61"/>
      <c r="FM9" s="62"/>
      <c r="FN9" s="61"/>
      <c r="FO9" s="61"/>
      <c r="FP9" s="61"/>
      <c r="FQ9" s="61"/>
      <c r="FR9" s="62"/>
      <c r="FS9" s="61"/>
      <c r="FT9" s="61"/>
      <c r="FU9" s="61"/>
      <c r="FV9" s="61"/>
      <c r="FW9" s="62"/>
      <c r="FX9" s="61"/>
      <c r="FY9" s="61"/>
      <c r="FZ9" s="61"/>
      <c r="GA9" s="61"/>
      <c r="GB9" s="62"/>
    </row>
    <row r="10" spans="1:184" s="18" customFormat="1">
      <c r="A10" s="54">
        <f t="shared" si="0"/>
        <v>6</v>
      </c>
      <c r="B10" s="21" t="s">
        <v>322</v>
      </c>
      <c r="C10" s="30"/>
      <c r="D10" s="30"/>
      <c r="E10" s="19"/>
      <c r="F10" s="19"/>
      <c r="G10" s="19"/>
      <c r="H10" s="19"/>
      <c r="I10" s="30"/>
      <c r="J10" s="19"/>
      <c r="K10" s="19"/>
      <c r="L10" s="19"/>
      <c r="M10" s="19"/>
      <c r="N10" s="30"/>
      <c r="O10" s="19"/>
      <c r="P10" s="19"/>
      <c r="Q10" s="19"/>
      <c r="R10" s="19"/>
      <c r="S10" s="30"/>
      <c r="T10" s="19"/>
      <c r="U10" s="19"/>
      <c r="V10" s="19"/>
      <c r="W10" s="19"/>
      <c r="X10" s="30"/>
      <c r="Y10" s="19"/>
      <c r="Z10" s="19"/>
      <c r="AA10" s="19"/>
      <c r="AB10" s="19"/>
      <c r="AC10" s="30"/>
      <c r="AD10" s="19"/>
      <c r="AE10" s="19"/>
      <c r="AF10" s="19"/>
      <c r="AG10" s="19"/>
      <c r="AH10" s="30"/>
      <c r="AI10" s="19"/>
      <c r="AJ10" s="19"/>
      <c r="AK10" s="19"/>
      <c r="AL10" s="19"/>
      <c r="AM10" s="30"/>
      <c r="AN10" s="19"/>
      <c r="AO10" s="19"/>
      <c r="AP10" s="19"/>
      <c r="AQ10" s="19"/>
      <c r="AR10" s="30"/>
      <c r="AS10" s="19"/>
      <c r="AT10" s="19"/>
      <c r="AU10" s="61"/>
      <c r="AV10" s="61"/>
      <c r="AW10" s="62"/>
      <c r="AX10" s="61"/>
      <c r="AY10" s="61"/>
      <c r="AZ10" s="61"/>
      <c r="BA10" s="61"/>
      <c r="BB10" s="62"/>
      <c r="BC10" s="61"/>
      <c r="BD10" s="61"/>
      <c r="BE10" s="61"/>
      <c r="BF10" s="61"/>
      <c r="BG10" s="62"/>
      <c r="BH10" s="61"/>
      <c r="BI10" s="61"/>
      <c r="BJ10" s="61"/>
      <c r="BK10" s="61"/>
      <c r="BL10" s="62"/>
      <c r="BM10" s="61"/>
      <c r="BN10" s="61"/>
      <c r="BO10" s="61"/>
      <c r="BP10" s="61"/>
      <c r="BQ10" s="62"/>
      <c r="BR10" s="61"/>
      <c r="BS10" s="61"/>
      <c r="BT10" s="61"/>
      <c r="BU10" s="61"/>
      <c r="BV10" s="62"/>
      <c r="BW10" s="61"/>
      <c r="BX10" s="61"/>
      <c r="BY10" s="61"/>
      <c r="BZ10" s="61"/>
      <c r="CA10" s="62"/>
      <c r="CB10" s="61"/>
      <c r="CC10" s="61"/>
      <c r="CD10" s="61"/>
      <c r="CE10" s="61"/>
      <c r="CF10" s="62"/>
      <c r="CG10" s="61"/>
      <c r="CH10" s="61"/>
      <c r="CI10" s="61"/>
      <c r="CJ10" s="61"/>
      <c r="CK10" s="62"/>
      <c r="CL10" s="61"/>
      <c r="CM10" s="61"/>
      <c r="CN10" s="61"/>
      <c r="CO10" s="61"/>
      <c r="CP10" s="62"/>
      <c r="CQ10" s="61"/>
      <c r="CR10" s="61"/>
      <c r="CS10" s="61"/>
      <c r="CT10" s="61"/>
      <c r="CU10" s="62"/>
      <c r="CV10" s="61"/>
      <c r="CW10" s="61"/>
      <c r="CX10" s="61"/>
      <c r="CY10" s="61"/>
      <c r="CZ10" s="62"/>
      <c r="DA10" s="61"/>
      <c r="DB10" s="61"/>
      <c r="DC10" s="61"/>
      <c r="DD10" s="61"/>
      <c r="DE10" s="62"/>
      <c r="DF10" s="61"/>
      <c r="DG10" s="61"/>
      <c r="DH10" s="61"/>
      <c r="DI10" s="61"/>
      <c r="DJ10" s="62"/>
      <c r="DK10" s="61"/>
      <c r="DL10" s="61"/>
      <c r="DM10" s="61"/>
      <c r="DN10" s="61"/>
      <c r="DO10" s="62"/>
      <c r="DP10" s="61"/>
      <c r="DQ10" s="61"/>
      <c r="DR10" s="61"/>
      <c r="DS10" s="61"/>
      <c r="DT10" s="62"/>
      <c r="DU10" s="61"/>
      <c r="DV10" s="61"/>
      <c r="DW10" s="61"/>
      <c r="DX10" s="61"/>
      <c r="DY10" s="62"/>
      <c r="DZ10" s="61"/>
      <c r="EA10" s="61"/>
      <c r="EB10" s="61"/>
      <c r="EC10" s="61"/>
      <c r="ED10" s="62"/>
      <c r="EE10" s="61"/>
      <c r="EF10" s="61"/>
      <c r="EG10" s="61"/>
      <c r="EH10" s="61"/>
      <c r="EI10" s="62"/>
      <c r="EJ10" s="61"/>
      <c r="EK10" s="61"/>
      <c r="EL10" s="61"/>
      <c r="EM10" s="61"/>
      <c r="EN10" s="62"/>
      <c r="EO10" s="61"/>
      <c r="EP10" s="61"/>
      <c r="EQ10" s="61"/>
      <c r="ER10" s="61"/>
      <c r="ES10" s="62"/>
      <c r="ET10" s="61"/>
      <c r="EU10" s="61"/>
      <c r="EV10" s="61"/>
      <c r="EW10" s="61"/>
      <c r="EX10" s="62"/>
      <c r="EY10" s="61"/>
      <c r="EZ10" s="61"/>
      <c r="FA10" s="61"/>
      <c r="FB10" s="61"/>
      <c r="FC10" s="62"/>
      <c r="FD10" s="61"/>
      <c r="FE10" s="61"/>
      <c r="FF10" s="61"/>
      <c r="FG10" s="61"/>
      <c r="FH10" s="62"/>
      <c r="FI10" s="61"/>
      <c r="FJ10" s="61"/>
      <c r="FK10" s="61"/>
      <c r="FL10" s="61"/>
      <c r="FM10" s="62"/>
      <c r="FN10" s="61"/>
      <c r="FO10" s="61"/>
      <c r="FP10" s="61"/>
      <c r="FQ10" s="61"/>
      <c r="FR10" s="62"/>
      <c r="FS10" s="61"/>
      <c r="FT10" s="61"/>
      <c r="FU10" s="61"/>
      <c r="FV10" s="61"/>
      <c r="FW10" s="62"/>
      <c r="FX10" s="61"/>
      <c r="FY10" s="61"/>
      <c r="FZ10" s="61"/>
      <c r="GA10" s="61"/>
      <c r="GB10" s="62"/>
    </row>
    <row r="11" spans="1:184" s="23" customFormat="1">
      <c r="A11" s="54">
        <f t="shared" si="0"/>
        <v>7</v>
      </c>
      <c r="B11" s="22" t="s">
        <v>313</v>
      </c>
      <c r="C11" s="43">
        <v>0.10372331562315452</v>
      </c>
      <c r="D11" s="43">
        <v>0.25309712546940188</v>
      </c>
      <c r="E11" s="44">
        <v>6.2600000000000003E-2</v>
      </c>
      <c r="F11" s="44">
        <v>-3.5000000000000001E-3</v>
      </c>
      <c r="G11" s="44">
        <v>1.14E-2</v>
      </c>
      <c r="H11" s="44">
        <v>1.49E-2</v>
      </c>
      <c r="I11" s="43">
        <v>8.6913680148965819E-2</v>
      </c>
      <c r="J11" s="44">
        <v>2.7199999999999998E-2</v>
      </c>
      <c r="K11" s="44">
        <v>3.95E-2</v>
      </c>
      <c r="L11" s="44">
        <v>3.2500000000000001E-2</v>
      </c>
      <c r="M11" s="44">
        <v>1.9599999999999999E-2</v>
      </c>
      <c r="N11" s="43">
        <v>0.12391423796169301</v>
      </c>
      <c r="O11" s="44">
        <v>1.55E-2</v>
      </c>
      <c r="P11" s="44">
        <v>2E-3</v>
      </c>
      <c r="Q11" s="44">
        <v>-1.52E-2</v>
      </c>
      <c r="R11" s="44">
        <v>9.9000000000000008E-3</v>
      </c>
      <c r="S11" s="43">
        <v>1.21E-2</v>
      </c>
      <c r="T11" s="44">
        <v>7.0000000000000001E-3</v>
      </c>
      <c r="U11" s="44">
        <v>7.1000000000000004E-3</v>
      </c>
      <c r="V11" s="44">
        <v>8.3999999999999995E-3</v>
      </c>
      <c r="W11" s="44">
        <v>1.55E-2</v>
      </c>
      <c r="X11" s="43">
        <v>3.85E-2</v>
      </c>
      <c r="Y11" s="44">
        <v>1.11E-2</v>
      </c>
      <c r="Z11" s="44">
        <v>3.5000000000000001E-3</v>
      </c>
      <c r="AA11" s="44">
        <v>2.5700000000000001E-2</v>
      </c>
      <c r="AB11" s="44">
        <v>3.0599999999999999E-2</v>
      </c>
      <c r="AC11" s="43">
        <v>7.7509820817942554E-2</v>
      </c>
      <c r="AD11" s="44">
        <v>2.3800000000000002E-2</v>
      </c>
      <c r="AE11" s="44">
        <v>4.3400000000000001E-2</v>
      </c>
      <c r="AF11" s="44">
        <v>1.55E-2</v>
      </c>
      <c r="AG11" s="44">
        <v>1.23E-2</v>
      </c>
      <c r="AH11" s="43">
        <v>9.8054312797284382E-2</v>
      </c>
      <c r="AI11" s="44">
        <v>-9.1999999999999998E-3</v>
      </c>
      <c r="AJ11" s="44">
        <v>-3.2000000000000002E-3</v>
      </c>
      <c r="AK11" s="44">
        <v>-3.7000000000000002E-3</v>
      </c>
      <c r="AL11" s="44">
        <v>-1.1000000000000001E-3</v>
      </c>
      <c r="AM11" s="43">
        <v>-1.7122753570905869E-2</v>
      </c>
      <c r="AN11" s="44">
        <v>2.7699999999999999E-2</v>
      </c>
      <c r="AO11" s="44">
        <v>2.8400000000000002E-2</v>
      </c>
      <c r="AP11" s="44">
        <v>2.0817482825000067E-2</v>
      </c>
      <c r="AQ11" s="44">
        <v>3.1817200504999699E-2</v>
      </c>
      <c r="AR11" s="43">
        <v>0.10873468332999976</v>
      </c>
      <c r="AS11" s="44">
        <v>2.4290469799999936E-2</v>
      </c>
      <c r="AT11" s="44">
        <v>7.0034751699998843E-3</v>
      </c>
      <c r="AU11" s="63">
        <v>9.7154856799999134E-3</v>
      </c>
      <c r="AV11" s="63">
        <v>9.1141081999999152E-3</v>
      </c>
      <c r="AW11" s="60">
        <v>5.0977446141180272E-2</v>
      </c>
      <c r="AX11" s="63">
        <v>6.2066635499997691E-3</v>
      </c>
      <c r="AY11" s="63">
        <v>2.2659339999999917E-2</v>
      </c>
      <c r="AZ11" s="63">
        <v>7.5170120000001006E-3</v>
      </c>
      <c r="BA11" s="63">
        <v>1.0532022499999849E-2</v>
      </c>
      <c r="BB11" s="60">
        <v>4.7660684616188664E-2</v>
      </c>
      <c r="BC11" s="63">
        <v>1.1882369336534637E-2</v>
      </c>
      <c r="BD11" s="63">
        <v>1.0913642404244417E-2</v>
      </c>
      <c r="BE11" s="63">
        <v>7.3909530332922913E-3</v>
      </c>
      <c r="BF11" s="63">
        <v>1.3673824916461852E-2</v>
      </c>
      <c r="BG11" s="60">
        <v>4.4999999999999998E-2</v>
      </c>
      <c r="BH11" s="59">
        <f>(1+BL11)^(1/4)-1</f>
        <v>1.1064990499148664E-2</v>
      </c>
      <c r="BI11" s="59">
        <f>(1+BL11)^(1/4)-1</f>
        <v>1.1064990499148664E-2</v>
      </c>
      <c r="BJ11" s="59">
        <f>(1+BL11)^(1/4)-1</f>
        <v>1.1064990499148664E-2</v>
      </c>
      <c r="BK11" s="59">
        <f>(1+BL11)^(1/4)-1</f>
        <v>1.1064990499148664E-2</v>
      </c>
      <c r="BL11" s="60">
        <v>4.4999999999999998E-2</v>
      </c>
      <c r="BM11" s="59">
        <f>(1+BQ11)^(1/4)-1</f>
        <v>1.1064990499148664E-2</v>
      </c>
      <c r="BN11" s="59">
        <f>(1+BQ11)^(1/4)-1</f>
        <v>1.1064990499148664E-2</v>
      </c>
      <c r="BO11" s="59">
        <f>(1+BQ11)^(1/4)-1</f>
        <v>1.1064990499148664E-2</v>
      </c>
      <c r="BP11" s="59">
        <f>(1+BQ11)^(1/4)-1</f>
        <v>1.1064990499148664E-2</v>
      </c>
      <c r="BQ11" s="60">
        <v>4.4999999999999998E-2</v>
      </c>
      <c r="BR11" s="59">
        <f>(1+BV11)^(1/4)-1</f>
        <v>1.1064990499148664E-2</v>
      </c>
      <c r="BS11" s="59">
        <f>(1+BV11)^(1/4)-1</f>
        <v>1.1064990499148664E-2</v>
      </c>
      <c r="BT11" s="59">
        <f>(1+BV11)^(1/4)-1</f>
        <v>1.1064990499148664E-2</v>
      </c>
      <c r="BU11" s="59">
        <f>(1+BV11)^(1/4)-1</f>
        <v>1.1064990499148664E-2</v>
      </c>
      <c r="BV11" s="60">
        <v>4.4999999999999998E-2</v>
      </c>
      <c r="BW11" s="59">
        <f>(1+CA11)^(1/4)-1</f>
        <v>9.8534065489688238E-3</v>
      </c>
      <c r="BX11" s="59">
        <f>(1+CA11)^(1/4)-1</f>
        <v>9.8534065489688238E-3</v>
      </c>
      <c r="BY11" s="59">
        <f>(1+CA11)^(1/4)-1</f>
        <v>9.8534065489688238E-3</v>
      </c>
      <c r="BZ11" s="59">
        <f>(1+CA11)^(1/4)-1</f>
        <v>9.8534065489688238E-3</v>
      </c>
      <c r="CA11" s="60">
        <v>0.04</v>
      </c>
      <c r="CB11" s="59">
        <f>(1+CF11)^(1/4)-1</f>
        <v>9.8534065489688238E-3</v>
      </c>
      <c r="CC11" s="59">
        <f>(1+CF11)^(1/4)-1</f>
        <v>9.8534065489688238E-3</v>
      </c>
      <c r="CD11" s="59">
        <f>(1+CF11)^(1/4)-1</f>
        <v>9.8534065489688238E-3</v>
      </c>
      <c r="CE11" s="59">
        <f>(1+CF11)^(1/4)-1</f>
        <v>9.8534065489688238E-3</v>
      </c>
      <c r="CF11" s="60">
        <v>0.04</v>
      </c>
      <c r="CG11" s="59">
        <f>(1+CK11)^(1/4)-1</f>
        <v>9.8534065489688238E-3</v>
      </c>
      <c r="CH11" s="59">
        <f>(1+CK11)^(1/4)-1</f>
        <v>9.8534065489688238E-3</v>
      </c>
      <c r="CI11" s="59">
        <f>(1+CK11)^(1/4)-1</f>
        <v>9.8534065489688238E-3</v>
      </c>
      <c r="CJ11" s="59">
        <f>(1+CK11)^(1/4)-1</f>
        <v>9.8534065489688238E-3</v>
      </c>
      <c r="CK11" s="60">
        <v>0.04</v>
      </c>
      <c r="CL11" s="59">
        <f>(1+CP11)^(1/4)-1</f>
        <v>9.8534065489688238E-3</v>
      </c>
      <c r="CM11" s="59">
        <f>(1+CP11)^(1/4)-1</f>
        <v>9.8534065489688238E-3</v>
      </c>
      <c r="CN11" s="59">
        <f>(1+CP11)^(1/4)-1</f>
        <v>9.8534065489688238E-3</v>
      </c>
      <c r="CO11" s="59">
        <f>(1+CP11)^(1/4)-1</f>
        <v>9.8534065489688238E-3</v>
      </c>
      <c r="CP11" s="60">
        <v>0.04</v>
      </c>
      <c r="CQ11" s="59">
        <f>(1+CU11)^(1/4)-1</f>
        <v>9.8534065489688238E-3</v>
      </c>
      <c r="CR11" s="59">
        <f>(1+CU11)^(1/4)-1</f>
        <v>9.8534065489688238E-3</v>
      </c>
      <c r="CS11" s="59">
        <f>(1+CU11)^(1/4)-1</f>
        <v>9.8534065489688238E-3</v>
      </c>
      <c r="CT11" s="59">
        <f>(1+CU11)^(1/4)-1</f>
        <v>9.8534065489688238E-3</v>
      </c>
      <c r="CU11" s="60">
        <v>0.04</v>
      </c>
      <c r="CV11" s="59">
        <f>(1+CZ11)^(1/4)-1</f>
        <v>9.8534065489688238E-3</v>
      </c>
      <c r="CW11" s="59">
        <f>(1+CZ11)^(1/4)-1</f>
        <v>9.8534065489688238E-3</v>
      </c>
      <c r="CX11" s="59">
        <f>(1+CZ11)^(1/4)-1</f>
        <v>9.8534065489688238E-3</v>
      </c>
      <c r="CY11" s="59">
        <f>(1+CZ11)^(1/4)-1</f>
        <v>9.8534065489688238E-3</v>
      </c>
      <c r="CZ11" s="60">
        <v>0.04</v>
      </c>
      <c r="DA11" s="59">
        <f>(1+DE11)^(1/4)-1</f>
        <v>9.8534065489688238E-3</v>
      </c>
      <c r="DB11" s="59">
        <f>(1+DE11)^(1/4)-1</f>
        <v>9.8534065489688238E-3</v>
      </c>
      <c r="DC11" s="59">
        <f>(1+DE11)^(1/4)-1</f>
        <v>9.8534065489688238E-3</v>
      </c>
      <c r="DD11" s="59">
        <f>(1+DE11)^(1/4)-1</f>
        <v>9.8534065489688238E-3</v>
      </c>
      <c r="DE11" s="60">
        <v>0.04</v>
      </c>
      <c r="DF11" s="59">
        <f>(1+DJ11)^(1/4)-1</f>
        <v>9.8534065489688238E-3</v>
      </c>
      <c r="DG11" s="59">
        <f>(1+DJ11)^(1/4)-1</f>
        <v>9.8534065489688238E-3</v>
      </c>
      <c r="DH11" s="59">
        <f>(1+DJ11)^(1/4)-1</f>
        <v>9.8534065489688238E-3</v>
      </c>
      <c r="DI11" s="59">
        <f>(1+DJ11)^(1/4)-1</f>
        <v>9.8534065489688238E-3</v>
      </c>
      <c r="DJ11" s="60">
        <v>0.04</v>
      </c>
      <c r="DK11" s="59">
        <f>(1+DO11)^(1/4)-1</f>
        <v>8.6374459977134332E-3</v>
      </c>
      <c r="DL11" s="59">
        <f>(1+DO11)^(1/4)-1</f>
        <v>8.6374459977134332E-3</v>
      </c>
      <c r="DM11" s="59">
        <f>(1+DO11)^(1/4)-1</f>
        <v>8.6374459977134332E-3</v>
      </c>
      <c r="DN11" s="59">
        <f>(1+DO11)^(1/4)-1</f>
        <v>8.6374459977134332E-3</v>
      </c>
      <c r="DO11" s="60">
        <v>3.5000000000000003E-2</v>
      </c>
      <c r="DP11" s="59">
        <f>(1+DT11)^(1/4)-1</f>
        <v>8.6374459977134332E-3</v>
      </c>
      <c r="DQ11" s="59">
        <f>(1+DT11)^(1/4)-1</f>
        <v>8.6374459977134332E-3</v>
      </c>
      <c r="DR11" s="59">
        <f>(1+DT11)^(1/4)-1</f>
        <v>8.6374459977134332E-3</v>
      </c>
      <c r="DS11" s="59">
        <f>(1+DT11)^(1/4)-1</f>
        <v>8.6374459977134332E-3</v>
      </c>
      <c r="DT11" s="60">
        <v>3.5000000000000003E-2</v>
      </c>
      <c r="DU11" s="59">
        <f>(1+DY11)^(1/4)-1</f>
        <v>8.6374459977134332E-3</v>
      </c>
      <c r="DV11" s="59">
        <f>(1+DY11)^(1/4)-1</f>
        <v>8.6374459977134332E-3</v>
      </c>
      <c r="DW11" s="59">
        <f>(1+DY11)^(1/4)-1</f>
        <v>8.6374459977134332E-3</v>
      </c>
      <c r="DX11" s="59">
        <f>(1+DY11)^(1/4)-1</f>
        <v>8.6374459977134332E-3</v>
      </c>
      <c r="DY11" s="60">
        <v>3.5000000000000003E-2</v>
      </c>
      <c r="DZ11" s="59">
        <f>(1+ED11)^(1/4)-1</f>
        <v>8.6374459977134332E-3</v>
      </c>
      <c r="EA11" s="59">
        <f>(1+ED11)^(1/4)-1</f>
        <v>8.6374459977134332E-3</v>
      </c>
      <c r="EB11" s="59">
        <f>(1+ED11)^(1/4)-1</f>
        <v>8.6374459977134332E-3</v>
      </c>
      <c r="EC11" s="59">
        <f>(1+ED11)^(1/4)-1</f>
        <v>8.6374459977134332E-3</v>
      </c>
      <c r="ED11" s="60">
        <v>3.5000000000000003E-2</v>
      </c>
      <c r="EE11" s="59">
        <f>(1+EI11)^(1/4)-1</f>
        <v>8.6374459977134332E-3</v>
      </c>
      <c r="EF11" s="59">
        <f>(1+EI11)^(1/4)-1</f>
        <v>8.6374459977134332E-3</v>
      </c>
      <c r="EG11" s="59">
        <f>(1+EI11)^(1/4)-1</f>
        <v>8.6374459977134332E-3</v>
      </c>
      <c r="EH11" s="59">
        <f>(1+EI11)^(1/4)-1</f>
        <v>8.6374459977134332E-3</v>
      </c>
      <c r="EI11" s="60">
        <v>3.5000000000000003E-2</v>
      </c>
      <c r="EJ11" s="59">
        <f>(1+EN11)^(1/4)-1</f>
        <v>8.6374459977134332E-3</v>
      </c>
      <c r="EK11" s="59">
        <f>(1+EN11)^(1/4)-1</f>
        <v>8.6374459977134332E-3</v>
      </c>
      <c r="EL11" s="59">
        <f>(1+EN11)^(1/4)-1</f>
        <v>8.6374459977134332E-3</v>
      </c>
      <c r="EM11" s="59">
        <f>(1+EN11)^(1/4)-1</f>
        <v>8.6374459977134332E-3</v>
      </c>
      <c r="EN11" s="60">
        <v>3.5000000000000003E-2</v>
      </c>
      <c r="EO11" s="59">
        <f>(1+ES11)^(1/4)-1</f>
        <v>8.6374459977134332E-3</v>
      </c>
      <c r="EP11" s="59">
        <f>(1+ES11)^(1/4)-1</f>
        <v>8.6374459977134332E-3</v>
      </c>
      <c r="EQ11" s="59">
        <f>(1+ES11)^(1/4)-1</f>
        <v>8.6374459977134332E-3</v>
      </c>
      <c r="ER11" s="59">
        <f>(1+ES11)^(1/4)-1</f>
        <v>8.6374459977134332E-3</v>
      </c>
      <c r="ES11" s="60">
        <f>EN11</f>
        <v>3.5000000000000003E-2</v>
      </c>
      <c r="ET11" s="59">
        <f>(1+EX11)^(1/4)-1</f>
        <v>8.6374459977134332E-3</v>
      </c>
      <c r="EU11" s="59">
        <f>(1+EX11)^(1/4)-1</f>
        <v>8.6374459977134332E-3</v>
      </c>
      <c r="EV11" s="59">
        <f>(1+EX11)^(1/4)-1</f>
        <v>8.6374459977134332E-3</v>
      </c>
      <c r="EW11" s="59">
        <f>(1+EX11)^(1/4)-1</f>
        <v>8.6374459977134332E-3</v>
      </c>
      <c r="EX11" s="60">
        <f>ES11</f>
        <v>3.5000000000000003E-2</v>
      </c>
      <c r="EY11" s="59">
        <f>(1+FC11)^(1/4)-1</f>
        <v>8.6374459977134332E-3</v>
      </c>
      <c r="EZ11" s="59">
        <f>(1+FC11)^(1/4)-1</f>
        <v>8.6374459977134332E-3</v>
      </c>
      <c r="FA11" s="59">
        <f>(1+FC11)^(1/4)-1</f>
        <v>8.6374459977134332E-3</v>
      </c>
      <c r="FB11" s="59">
        <f>(1+FC11)^(1/4)-1</f>
        <v>8.6374459977134332E-3</v>
      </c>
      <c r="FC11" s="60">
        <f>EX11</f>
        <v>3.5000000000000003E-2</v>
      </c>
      <c r="FD11" s="59">
        <f>(1+FH11)^(1/4)-1</f>
        <v>8.6374459977134332E-3</v>
      </c>
      <c r="FE11" s="59">
        <f>(1+FH11)^(1/4)-1</f>
        <v>8.6374459977134332E-3</v>
      </c>
      <c r="FF11" s="59">
        <f>(1+FH11)^(1/4)-1</f>
        <v>8.6374459977134332E-3</v>
      </c>
      <c r="FG11" s="59">
        <f>(1+FH11)^(1/4)-1</f>
        <v>8.6374459977134332E-3</v>
      </c>
      <c r="FH11" s="60">
        <f>FC11</f>
        <v>3.5000000000000003E-2</v>
      </c>
      <c r="FI11" s="59">
        <f>(1+FM11)^(1/4)-1</f>
        <v>8.6374459977134332E-3</v>
      </c>
      <c r="FJ11" s="59">
        <f>(1+FM11)^(1/4)-1</f>
        <v>8.6374459977134332E-3</v>
      </c>
      <c r="FK11" s="59">
        <f>(1+FM11)^(1/4)-1</f>
        <v>8.6374459977134332E-3</v>
      </c>
      <c r="FL11" s="59">
        <f>(1+FM11)^(1/4)-1</f>
        <v>8.6374459977134332E-3</v>
      </c>
      <c r="FM11" s="60">
        <f>FH11</f>
        <v>3.5000000000000003E-2</v>
      </c>
      <c r="FN11" s="59">
        <f>(1+FR11)^(1/4)-1</f>
        <v>8.6374459977134332E-3</v>
      </c>
      <c r="FO11" s="59">
        <f>(1+FR11)^(1/4)-1</f>
        <v>8.6374459977134332E-3</v>
      </c>
      <c r="FP11" s="59">
        <f>(1+FR11)^(1/4)-1</f>
        <v>8.6374459977134332E-3</v>
      </c>
      <c r="FQ11" s="59">
        <f>(1+FR11)^(1/4)-1</f>
        <v>8.6374459977134332E-3</v>
      </c>
      <c r="FR11" s="60">
        <f>FM11</f>
        <v>3.5000000000000003E-2</v>
      </c>
      <c r="FS11" s="59">
        <f>(1+FW11)^(1/4)-1</f>
        <v>8.6374459977134332E-3</v>
      </c>
      <c r="FT11" s="59">
        <f>(1+FW11)^(1/4)-1</f>
        <v>8.6374459977134332E-3</v>
      </c>
      <c r="FU11" s="59">
        <f>(1+FW11)^(1/4)-1</f>
        <v>8.6374459977134332E-3</v>
      </c>
      <c r="FV11" s="59">
        <f>(1+FW11)^(1/4)-1</f>
        <v>8.6374459977134332E-3</v>
      </c>
      <c r="FW11" s="60">
        <f>FR11</f>
        <v>3.5000000000000003E-2</v>
      </c>
      <c r="FX11" s="59">
        <f>(1+GB11)^(1/4)-1</f>
        <v>8.6374459977134332E-3</v>
      </c>
      <c r="FY11" s="59">
        <f>(1+GB11)^(1/4)-1</f>
        <v>8.6374459977134332E-3</v>
      </c>
      <c r="FZ11" s="59">
        <f>(1+GB11)^(1/4)-1</f>
        <v>8.6374459977134332E-3</v>
      </c>
      <c r="GA11" s="59">
        <f>(1+GB11)^(1/4)-1</f>
        <v>8.6374459977134332E-3</v>
      </c>
      <c r="GB11" s="60">
        <f>FW11</f>
        <v>3.5000000000000003E-2</v>
      </c>
    </row>
    <row r="12" spans="1:184" s="23" customFormat="1">
      <c r="A12" s="54">
        <f t="shared" si="0"/>
        <v>8</v>
      </c>
      <c r="B12" s="22" t="s">
        <v>330</v>
      </c>
      <c r="C12" s="43">
        <v>7.6732630151519876E-2</v>
      </c>
      <c r="D12" s="43">
        <v>0.12530337079575049</v>
      </c>
      <c r="E12" s="44">
        <v>5.1299999999999998E-2</v>
      </c>
      <c r="F12" s="44">
        <v>1.43E-2</v>
      </c>
      <c r="G12" s="44">
        <v>1.32E-2</v>
      </c>
      <c r="H12" s="44">
        <v>1.15E-2</v>
      </c>
      <c r="I12" s="43">
        <v>9.2999493292351479E-2</v>
      </c>
      <c r="J12" s="44">
        <v>1.8499999999999999E-2</v>
      </c>
      <c r="K12" s="44">
        <v>1.6E-2</v>
      </c>
      <c r="L12" s="44">
        <v>1.9400000000000001E-2</v>
      </c>
      <c r="M12" s="44">
        <v>0.02</v>
      </c>
      <c r="N12" s="43">
        <v>7.6006441380604806E-2</v>
      </c>
      <c r="O12" s="44">
        <v>1.7899999999999999E-2</v>
      </c>
      <c r="P12" s="44">
        <v>1.35E-2</v>
      </c>
      <c r="Q12" s="44">
        <v>7.7000000000000002E-3</v>
      </c>
      <c r="R12" s="44">
        <v>1.67E-2</v>
      </c>
      <c r="S12" s="43">
        <v>5.6900000000000006E-2</v>
      </c>
      <c r="T12" s="44">
        <v>1.44E-2</v>
      </c>
      <c r="U12" s="44">
        <v>1E-3</v>
      </c>
      <c r="V12" s="44">
        <v>4.4999999999999997E-3</v>
      </c>
      <c r="W12" s="44">
        <v>1.12E-2</v>
      </c>
      <c r="X12" s="43">
        <v>3.1400000000000004E-2</v>
      </c>
      <c r="Y12" s="44">
        <v>1.26E-2</v>
      </c>
      <c r="Z12" s="44">
        <v>8.0999999999999996E-3</v>
      </c>
      <c r="AA12" s="44">
        <v>8.8999999999999999E-3</v>
      </c>
      <c r="AB12" s="44">
        <v>8.6E-3</v>
      </c>
      <c r="AC12" s="43">
        <v>4.4600000000000001E-2</v>
      </c>
      <c r="AD12" s="44">
        <v>1.52E-2</v>
      </c>
      <c r="AE12" s="44">
        <v>2.0899999999999998E-2</v>
      </c>
      <c r="AF12" s="44">
        <v>1.0699999999999999E-2</v>
      </c>
      <c r="AG12" s="44">
        <v>1.09E-2</v>
      </c>
      <c r="AH12" s="43">
        <v>5.9023134175254732E-2</v>
      </c>
      <c r="AI12" s="44">
        <v>1.23E-2</v>
      </c>
      <c r="AJ12" s="44">
        <v>1.32E-2</v>
      </c>
      <c r="AK12" s="44">
        <v>6.3E-3</v>
      </c>
      <c r="AL12" s="44">
        <v>1.06E-2</v>
      </c>
      <c r="AM12" s="43">
        <v>4.3120283296899764E-2</v>
      </c>
      <c r="AN12" s="44">
        <v>2.06E-2</v>
      </c>
      <c r="AO12" s="44">
        <v>0.01</v>
      </c>
      <c r="AP12" s="44">
        <v>5.0022901799999797E-3</v>
      </c>
      <c r="AQ12" s="44">
        <v>2.2262182174999978E-2</v>
      </c>
      <c r="AR12" s="43">
        <v>5.786447235499996E-2</v>
      </c>
      <c r="AS12" s="44">
        <v>2.4395694559999903E-2</v>
      </c>
      <c r="AT12" s="44">
        <v>1.3954844285000156E-2</v>
      </c>
      <c r="AU12" s="63">
        <v>1.0634041376000214E-2</v>
      </c>
      <c r="AV12" s="63">
        <v>1.4569971799999859E-2</v>
      </c>
      <c r="AW12" s="67">
        <v>6.5031090406288516E-2</v>
      </c>
      <c r="AX12" s="204">
        <v>1.224646292000009E-2</v>
      </c>
      <c r="AY12" s="63">
        <v>1.2243007439999953E-2</v>
      </c>
      <c r="AZ12" s="63">
        <v>6.6094500000000167E-3</v>
      </c>
      <c r="BA12" s="63">
        <v>1.8411424399999987E-2</v>
      </c>
      <c r="BB12" s="67">
        <v>5.0401465469837703E-2</v>
      </c>
      <c r="BC12" s="63">
        <v>1.8753775170560205E-2</v>
      </c>
      <c r="BD12" s="63">
        <v>1.0674067800319875E-2</v>
      </c>
      <c r="BE12" s="63">
        <v>8.941541608000092E-3</v>
      </c>
      <c r="BF12" s="63">
        <v>2.1106668243200177E-2</v>
      </c>
      <c r="BG12" s="60">
        <v>6.0760818648356141E-2</v>
      </c>
      <c r="BH12" s="59">
        <f>(1+BL12)^(1/4)-1</f>
        <v>1.1064990499148664E-2</v>
      </c>
      <c r="BI12" s="59">
        <f>(1+BL12)^(1/4)-1</f>
        <v>1.1064990499148664E-2</v>
      </c>
      <c r="BJ12" s="59">
        <f>(1+BL12)^(1/4)-1</f>
        <v>1.1064990499148664E-2</v>
      </c>
      <c r="BK12" s="59">
        <f>(1+BL12)^(1/4)-1</f>
        <v>1.1064990499148664E-2</v>
      </c>
      <c r="BL12" s="60">
        <v>4.4999999999999998E-2</v>
      </c>
      <c r="BM12" s="59">
        <f>(1+BQ12)^(1/4)-1</f>
        <v>1.1064990499148664E-2</v>
      </c>
      <c r="BN12" s="59">
        <f>(1+BQ12)^(1/4)-1</f>
        <v>1.1064990499148664E-2</v>
      </c>
      <c r="BO12" s="59">
        <f>(1+BQ12)^(1/4)-1</f>
        <v>1.1064990499148664E-2</v>
      </c>
      <c r="BP12" s="59">
        <f>(1+BQ12)^(1/4)-1</f>
        <v>1.1064990499148664E-2</v>
      </c>
      <c r="BQ12" s="60">
        <v>4.4999999999999998E-2</v>
      </c>
      <c r="BR12" s="59">
        <f>(1+BV12)^(1/4)-1</f>
        <v>1.1064990499148664E-2</v>
      </c>
      <c r="BS12" s="59">
        <f>(1+BV12)^(1/4)-1</f>
        <v>1.1064990499148664E-2</v>
      </c>
      <c r="BT12" s="59">
        <f>(1+BV12)^(1/4)-1</f>
        <v>1.1064990499148664E-2</v>
      </c>
      <c r="BU12" s="59">
        <f>(1+BV12)^(1/4)-1</f>
        <v>1.1064990499148664E-2</v>
      </c>
      <c r="BV12" s="60">
        <v>4.4999999999999998E-2</v>
      </c>
      <c r="BW12" s="59">
        <f>(1+CA12)^(1/4)-1</f>
        <v>9.8534065489688238E-3</v>
      </c>
      <c r="BX12" s="59">
        <f>(1+CA12)^(1/4)-1</f>
        <v>9.8534065489688238E-3</v>
      </c>
      <c r="BY12" s="59">
        <f>(1+CA12)^(1/4)-1</f>
        <v>9.8534065489688238E-3</v>
      </c>
      <c r="BZ12" s="59">
        <f>(1+CA12)^(1/4)-1</f>
        <v>9.8534065489688238E-3</v>
      </c>
      <c r="CA12" s="60">
        <v>0.04</v>
      </c>
      <c r="CB12" s="59">
        <f>(1+CF12)^(1/4)-1</f>
        <v>9.8534065489688238E-3</v>
      </c>
      <c r="CC12" s="59">
        <f>(1+CF12)^(1/4)-1</f>
        <v>9.8534065489688238E-3</v>
      </c>
      <c r="CD12" s="59">
        <f>(1+CF12)^(1/4)-1</f>
        <v>9.8534065489688238E-3</v>
      </c>
      <c r="CE12" s="59">
        <f>(1+CF12)^(1/4)-1</f>
        <v>9.8534065489688238E-3</v>
      </c>
      <c r="CF12" s="60">
        <v>0.04</v>
      </c>
      <c r="CG12" s="59">
        <f>(1+CK12)^(1/4)-1</f>
        <v>9.8534065489688238E-3</v>
      </c>
      <c r="CH12" s="59">
        <f>(1+CK12)^(1/4)-1</f>
        <v>9.8534065489688238E-3</v>
      </c>
      <c r="CI12" s="59">
        <f>(1+CK12)^(1/4)-1</f>
        <v>9.8534065489688238E-3</v>
      </c>
      <c r="CJ12" s="59">
        <f>(1+CK12)^(1/4)-1</f>
        <v>9.8534065489688238E-3</v>
      </c>
      <c r="CK12" s="60">
        <v>0.04</v>
      </c>
      <c r="CL12" s="59">
        <f>(1+CP12)^(1/4)-1</f>
        <v>9.8534065489688238E-3</v>
      </c>
      <c r="CM12" s="59">
        <f>(1+CP12)^(1/4)-1</f>
        <v>9.8534065489688238E-3</v>
      </c>
      <c r="CN12" s="59">
        <f>(1+CP12)^(1/4)-1</f>
        <v>9.8534065489688238E-3</v>
      </c>
      <c r="CO12" s="59">
        <f>(1+CP12)^(1/4)-1</f>
        <v>9.8534065489688238E-3</v>
      </c>
      <c r="CP12" s="60">
        <v>0.04</v>
      </c>
      <c r="CQ12" s="59">
        <f>(1+CU12)^(1/4)-1</f>
        <v>9.8534065489688238E-3</v>
      </c>
      <c r="CR12" s="59">
        <f>(1+CU12)^(1/4)-1</f>
        <v>9.8534065489688238E-3</v>
      </c>
      <c r="CS12" s="59">
        <f>(1+CU12)^(1/4)-1</f>
        <v>9.8534065489688238E-3</v>
      </c>
      <c r="CT12" s="59">
        <f>(1+CU12)^(1/4)-1</f>
        <v>9.8534065489688238E-3</v>
      </c>
      <c r="CU12" s="60">
        <v>0.04</v>
      </c>
      <c r="CV12" s="59">
        <f>(1+CZ12)^(1/4)-1</f>
        <v>9.8534065489688238E-3</v>
      </c>
      <c r="CW12" s="59">
        <f>(1+CZ12)^(1/4)-1</f>
        <v>9.8534065489688238E-3</v>
      </c>
      <c r="CX12" s="59">
        <f>(1+CZ12)^(1/4)-1</f>
        <v>9.8534065489688238E-3</v>
      </c>
      <c r="CY12" s="59">
        <f>(1+CZ12)^(1/4)-1</f>
        <v>9.8534065489688238E-3</v>
      </c>
      <c r="CZ12" s="60">
        <v>0.04</v>
      </c>
      <c r="DA12" s="59">
        <f>(1+DE12)^(1/4)-1</f>
        <v>9.8534065489688238E-3</v>
      </c>
      <c r="DB12" s="59">
        <f>(1+DE12)^(1/4)-1</f>
        <v>9.8534065489688238E-3</v>
      </c>
      <c r="DC12" s="59">
        <f>(1+DE12)^(1/4)-1</f>
        <v>9.8534065489688238E-3</v>
      </c>
      <c r="DD12" s="59">
        <f>(1+DE12)^(1/4)-1</f>
        <v>9.8534065489688238E-3</v>
      </c>
      <c r="DE12" s="60">
        <v>0.04</v>
      </c>
      <c r="DF12" s="59">
        <f>(1+DJ12)^(1/4)-1</f>
        <v>9.8534065489688238E-3</v>
      </c>
      <c r="DG12" s="59">
        <f>(1+DJ12)^(1/4)-1</f>
        <v>9.8534065489688238E-3</v>
      </c>
      <c r="DH12" s="59">
        <f>(1+DJ12)^(1/4)-1</f>
        <v>9.8534065489688238E-3</v>
      </c>
      <c r="DI12" s="59">
        <f>(1+DJ12)^(1/4)-1</f>
        <v>9.8534065489688238E-3</v>
      </c>
      <c r="DJ12" s="60">
        <v>0.04</v>
      </c>
      <c r="DK12" s="59">
        <f>(1+DO12)^(1/4)-1</f>
        <v>8.6374459977134332E-3</v>
      </c>
      <c r="DL12" s="59">
        <f>(1+DO12)^(1/4)-1</f>
        <v>8.6374459977134332E-3</v>
      </c>
      <c r="DM12" s="59">
        <f>(1+DO12)^(1/4)-1</f>
        <v>8.6374459977134332E-3</v>
      </c>
      <c r="DN12" s="59">
        <f>(1+DO12)^(1/4)-1</f>
        <v>8.6374459977134332E-3</v>
      </c>
      <c r="DO12" s="60">
        <v>3.5000000000000003E-2</v>
      </c>
      <c r="DP12" s="59">
        <f>(1+DT12)^(1/4)-1</f>
        <v>8.6374459977134332E-3</v>
      </c>
      <c r="DQ12" s="59">
        <f>(1+DT12)^(1/4)-1</f>
        <v>8.6374459977134332E-3</v>
      </c>
      <c r="DR12" s="59">
        <f>(1+DT12)^(1/4)-1</f>
        <v>8.6374459977134332E-3</v>
      </c>
      <c r="DS12" s="59">
        <f>(1+DT12)^(1/4)-1</f>
        <v>8.6374459977134332E-3</v>
      </c>
      <c r="DT12" s="60">
        <v>3.5000000000000003E-2</v>
      </c>
      <c r="DU12" s="59">
        <f>(1+DY12)^(1/4)-1</f>
        <v>8.6374459977134332E-3</v>
      </c>
      <c r="DV12" s="59">
        <f>(1+DY12)^(1/4)-1</f>
        <v>8.6374459977134332E-3</v>
      </c>
      <c r="DW12" s="59">
        <f>(1+DY12)^(1/4)-1</f>
        <v>8.6374459977134332E-3</v>
      </c>
      <c r="DX12" s="59">
        <f>(1+DY12)^(1/4)-1</f>
        <v>8.6374459977134332E-3</v>
      </c>
      <c r="DY12" s="60">
        <v>3.5000000000000003E-2</v>
      </c>
      <c r="DZ12" s="59">
        <f>(1+ED12)^(1/4)-1</f>
        <v>8.6374459977134332E-3</v>
      </c>
      <c r="EA12" s="59">
        <f>(1+ED12)^(1/4)-1</f>
        <v>8.6374459977134332E-3</v>
      </c>
      <c r="EB12" s="59">
        <f>(1+ED12)^(1/4)-1</f>
        <v>8.6374459977134332E-3</v>
      </c>
      <c r="EC12" s="59">
        <f>(1+ED12)^(1/4)-1</f>
        <v>8.6374459977134332E-3</v>
      </c>
      <c r="ED12" s="60">
        <v>3.5000000000000003E-2</v>
      </c>
      <c r="EE12" s="59">
        <f>(1+EI12)^(1/4)-1</f>
        <v>8.6374459977134332E-3</v>
      </c>
      <c r="EF12" s="59">
        <f>(1+EI12)^(1/4)-1</f>
        <v>8.6374459977134332E-3</v>
      </c>
      <c r="EG12" s="59">
        <f>(1+EI12)^(1/4)-1</f>
        <v>8.6374459977134332E-3</v>
      </c>
      <c r="EH12" s="59">
        <f>(1+EI12)^(1/4)-1</f>
        <v>8.6374459977134332E-3</v>
      </c>
      <c r="EI12" s="60">
        <v>3.5000000000000003E-2</v>
      </c>
      <c r="EJ12" s="59">
        <f>(1+EN12)^(1/4)-1</f>
        <v>8.6374459977134332E-3</v>
      </c>
      <c r="EK12" s="59">
        <f>(1+EN12)^(1/4)-1</f>
        <v>8.6374459977134332E-3</v>
      </c>
      <c r="EL12" s="59">
        <f>(1+EN12)^(1/4)-1</f>
        <v>8.6374459977134332E-3</v>
      </c>
      <c r="EM12" s="59">
        <f>(1+EN12)^(1/4)-1</f>
        <v>8.6374459977134332E-3</v>
      </c>
      <c r="EN12" s="60">
        <v>3.5000000000000003E-2</v>
      </c>
      <c r="EO12" s="59">
        <f>(1+ES12)^(1/4)-1</f>
        <v>8.6374459977134332E-3</v>
      </c>
      <c r="EP12" s="59">
        <f>(1+ES12)^(1/4)-1</f>
        <v>8.6374459977134332E-3</v>
      </c>
      <c r="EQ12" s="59">
        <f>(1+ES12)^(1/4)-1</f>
        <v>8.6374459977134332E-3</v>
      </c>
      <c r="ER12" s="59">
        <f>(1+ES12)^(1/4)-1</f>
        <v>8.6374459977134332E-3</v>
      </c>
      <c r="ES12" s="60">
        <f>EN12</f>
        <v>3.5000000000000003E-2</v>
      </c>
      <c r="ET12" s="59">
        <f>(1+EX12)^(1/4)-1</f>
        <v>8.6374459977134332E-3</v>
      </c>
      <c r="EU12" s="59">
        <f>(1+EX12)^(1/4)-1</f>
        <v>8.6374459977134332E-3</v>
      </c>
      <c r="EV12" s="59">
        <f>(1+EX12)^(1/4)-1</f>
        <v>8.6374459977134332E-3</v>
      </c>
      <c r="EW12" s="59">
        <f>(1+EX12)^(1/4)-1</f>
        <v>8.6374459977134332E-3</v>
      </c>
      <c r="EX12" s="60">
        <f>ES12</f>
        <v>3.5000000000000003E-2</v>
      </c>
      <c r="EY12" s="59">
        <f>(1+FC12)^(1/4)-1</f>
        <v>8.6374459977134332E-3</v>
      </c>
      <c r="EZ12" s="59">
        <f>(1+FC12)^(1/4)-1</f>
        <v>8.6374459977134332E-3</v>
      </c>
      <c r="FA12" s="59">
        <f>(1+FC12)^(1/4)-1</f>
        <v>8.6374459977134332E-3</v>
      </c>
      <c r="FB12" s="59">
        <f>(1+FC12)^(1/4)-1</f>
        <v>8.6374459977134332E-3</v>
      </c>
      <c r="FC12" s="60">
        <f>EX12</f>
        <v>3.5000000000000003E-2</v>
      </c>
      <c r="FD12" s="59">
        <f>(1+FH12)^(1/4)-1</f>
        <v>8.6374459977134332E-3</v>
      </c>
      <c r="FE12" s="59">
        <f>(1+FH12)^(1/4)-1</f>
        <v>8.6374459977134332E-3</v>
      </c>
      <c r="FF12" s="59">
        <f>(1+FH12)^(1/4)-1</f>
        <v>8.6374459977134332E-3</v>
      </c>
      <c r="FG12" s="59">
        <f>(1+FH12)^(1/4)-1</f>
        <v>8.6374459977134332E-3</v>
      </c>
      <c r="FH12" s="60">
        <f>FC12</f>
        <v>3.5000000000000003E-2</v>
      </c>
      <c r="FI12" s="59">
        <f>(1+FM12)^(1/4)-1</f>
        <v>8.6374459977134332E-3</v>
      </c>
      <c r="FJ12" s="59">
        <f>(1+FM12)^(1/4)-1</f>
        <v>8.6374459977134332E-3</v>
      </c>
      <c r="FK12" s="59">
        <f>(1+FM12)^(1/4)-1</f>
        <v>8.6374459977134332E-3</v>
      </c>
      <c r="FL12" s="59">
        <f>(1+FM12)^(1/4)-1</f>
        <v>8.6374459977134332E-3</v>
      </c>
      <c r="FM12" s="60">
        <f>FH12</f>
        <v>3.5000000000000003E-2</v>
      </c>
      <c r="FN12" s="59">
        <f>(1+FR12)^(1/4)-1</f>
        <v>8.6374459977134332E-3</v>
      </c>
      <c r="FO12" s="59">
        <f>(1+FR12)^(1/4)-1</f>
        <v>8.6374459977134332E-3</v>
      </c>
      <c r="FP12" s="59">
        <f>(1+FR12)^(1/4)-1</f>
        <v>8.6374459977134332E-3</v>
      </c>
      <c r="FQ12" s="59">
        <f>(1+FR12)^(1/4)-1</f>
        <v>8.6374459977134332E-3</v>
      </c>
      <c r="FR12" s="60">
        <f>FM12</f>
        <v>3.5000000000000003E-2</v>
      </c>
      <c r="FS12" s="59">
        <f>(1+FW12)^(1/4)-1</f>
        <v>8.6374459977134332E-3</v>
      </c>
      <c r="FT12" s="59">
        <f>(1+FW12)^(1/4)-1</f>
        <v>8.6374459977134332E-3</v>
      </c>
      <c r="FU12" s="59">
        <f>(1+FW12)^(1/4)-1</f>
        <v>8.6374459977134332E-3</v>
      </c>
      <c r="FV12" s="59">
        <f>(1+FW12)^(1/4)-1</f>
        <v>8.6374459977134332E-3</v>
      </c>
      <c r="FW12" s="60">
        <f>FR12</f>
        <v>3.5000000000000003E-2</v>
      </c>
      <c r="FX12" s="59">
        <f>(1+GB12)^(1/4)-1</f>
        <v>8.6374459977134332E-3</v>
      </c>
      <c r="FY12" s="59">
        <f>(1+GB12)^(1/4)-1</f>
        <v>8.6374459977134332E-3</v>
      </c>
      <c r="FZ12" s="59">
        <f>(1+GB12)^(1/4)-1</f>
        <v>8.6374459977134332E-3</v>
      </c>
      <c r="GA12" s="59">
        <f>(1+GB12)^(1/4)-1</f>
        <v>8.6374459977134332E-3</v>
      </c>
      <c r="GB12" s="60">
        <f>FW12</f>
        <v>3.5000000000000003E-2</v>
      </c>
    </row>
    <row r="13" spans="1:184" s="23" customFormat="1">
      <c r="A13" s="54">
        <f t="shared" si="0"/>
        <v>9</v>
      </c>
      <c r="B13" s="22"/>
      <c r="C13" s="43"/>
      <c r="D13" s="43"/>
      <c r="E13" s="44"/>
      <c r="F13" s="44"/>
      <c r="G13" s="44"/>
      <c r="H13" s="44"/>
      <c r="I13" s="43"/>
      <c r="J13" s="44"/>
      <c r="K13" s="44"/>
      <c r="L13" s="44"/>
      <c r="M13" s="44"/>
      <c r="N13" s="43"/>
      <c r="O13" s="44"/>
      <c r="P13" s="44"/>
      <c r="Q13" s="44"/>
      <c r="R13" s="44"/>
      <c r="S13" s="43"/>
      <c r="T13" s="44"/>
      <c r="U13" s="44"/>
      <c r="V13" s="44"/>
      <c r="W13" s="44"/>
      <c r="X13" s="43"/>
      <c r="Y13" s="44"/>
      <c r="Z13" s="44"/>
      <c r="AA13" s="44"/>
      <c r="AB13" s="44"/>
      <c r="AC13" s="43"/>
      <c r="AD13" s="44"/>
      <c r="AE13" s="44"/>
      <c r="AF13" s="44"/>
      <c r="AG13" s="44"/>
      <c r="AH13" s="43"/>
      <c r="AI13" s="44"/>
      <c r="AJ13" s="44"/>
      <c r="AK13" s="44"/>
      <c r="AL13" s="44"/>
      <c r="AM13" s="43"/>
      <c r="AN13" s="44"/>
      <c r="AO13" s="44"/>
      <c r="AP13" s="44"/>
      <c r="AQ13" s="44"/>
      <c r="AR13" s="43"/>
      <c r="AS13" s="44"/>
      <c r="AT13" s="44"/>
      <c r="AU13" s="63"/>
      <c r="AV13" s="63"/>
      <c r="AW13" s="67"/>
      <c r="AX13" s="63"/>
      <c r="AY13" s="63"/>
      <c r="AZ13" s="63"/>
      <c r="BA13" s="63"/>
      <c r="BB13" s="67"/>
      <c r="BC13" s="63"/>
      <c r="BD13" s="63"/>
      <c r="BE13" s="63"/>
      <c r="BF13" s="63"/>
      <c r="BG13" s="60"/>
      <c r="BH13" s="59"/>
      <c r="BI13" s="59"/>
      <c r="BJ13" s="59"/>
      <c r="BK13" s="59"/>
      <c r="BL13" s="60"/>
      <c r="BM13" s="59"/>
      <c r="BN13" s="59"/>
      <c r="BO13" s="59"/>
      <c r="BP13" s="59"/>
      <c r="BQ13" s="60"/>
      <c r="BR13" s="59"/>
      <c r="BS13" s="59"/>
      <c r="BT13" s="59"/>
      <c r="BU13" s="59"/>
      <c r="BV13" s="60"/>
      <c r="BW13" s="59"/>
      <c r="BX13" s="59"/>
      <c r="BY13" s="59"/>
      <c r="BZ13" s="59"/>
      <c r="CA13" s="60"/>
      <c r="CB13" s="59"/>
      <c r="CC13" s="59"/>
      <c r="CD13" s="59"/>
      <c r="CE13" s="59"/>
      <c r="CF13" s="60"/>
      <c r="CG13" s="59"/>
      <c r="CH13" s="59"/>
      <c r="CI13" s="59"/>
      <c r="CJ13" s="59"/>
      <c r="CK13" s="60"/>
      <c r="CL13" s="59"/>
      <c r="CM13" s="59"/>
      <c r="CN13" s="59"/>
      <c r="CO13" s="59"/>
      <c r="CP13" s="60"/>
      <c r="CQ13" s="59"/>
      <c r="CR13" s="59"/>
      <c r="CS13" s="59"/>
      <c r="CT13" s="59"/>
      <c r="CU13" s="60"/>
      <c r="CV13" s="59"/>
      <c r="CW13" s="59"/>
      <c r="CX13" s="59"/>
      <c r="CY13" s="59"/>
      <c r="CZ13" s="60"/>
      <c r="DA13" s="59"/>
      <c r="DB13" s="59"/>
      <c r="DC13" s="59"/>
      <c r="DD13" s="59"/>
      <c r="DE13" s="60"/>
      <c r="DF13" s="59"/>
      <c r="DG13" s="59"/>
      <c r="DH13" s="59"/>
      <c r="DI13" s="59"/>
      <c r="DJ13" s="60"/>
      <c r="DK13" s="59"/>
      <c r="DL13" s="59"/>
      <c r="DM13" s="59"/>
      <c r="DN13" s="59"/>
      <c r="DO13" s="60"/>
      <c r="DP13" s="59"/>
      <c r="DQ13" s="59"/>
      <c r="DR13" s="59"/>
      <c r="DS13" s="59"/>
      <c r="DT13" s="60"/>
      <c r="DU13" s="59"/>
      <c r="DV13" s="59"/>
      <c r="DW13" s="59"/>
      <c r="DX13" s="59"/>
      <c r="DY13" s="60"/>
      <c r="DZ13" s="59"/>
      <c r="EA13" s="59"/>
      <c r="EB13" s="59"/>
      <c r="EC13" s="59"/>
      <c r="ED13" s="60"/>
      <c r="EE13" s="59"/>
      <c r="EF13" s="59"/>
      <c r="EG13" s="59"/>
      <c r="EH13" s="59"/>
      <c r="EI13" s="60"/>
      <c r="EJ13" s="59"/>
      <c r="EK13" s="59"/>
      <c r="EL13" s="59"/>
      <c r="EM13" s="59"/>
      <c r="EN13" s="60"/>
      <c r="EO13" s="59"/>
      <c r="EP13" s="59"/>
      <c r="EQ13" s="59"/>
      <c r="ER13" s="59"/>
      <c r="ES13" s="60"/>
      <c r="ET13" s="59"/>
      <c r="EU13" s="59"/>
      <c r="EV13" s="59"/>
      <c r="EW13" s="59"/>
      <c r="EX13" s="60"/>
      <c r="EY13" s="59"/>
      <c r="EZ13" s="59"/>
      <c r="FA13" s="59"/>
      <c r="FB13" s="59"/>
      <c r="FC13" s="60"/>
      <c r="FD13" s="59"/>
      <c r="FE13" s="59"/>
      <c r="FF13" s="59"/>
      <c r="FG13" s="59"/>
      <c r="FH13" s="60"/>
      <c r="FI13" s="59"/>
      <c r="FJ13" s="59"/>
      <c r="FK13" s="59"/>
      <c r="FL13" s="59"/>
      <c r="FM13" s="60"/>
      <c r="FN13" s="59"/>
      <c r="FO13" s="59"/>
      <c r="FP13" s="59"/>
      <c r="FQ13" s="59"/>
      <c r="FR13" s="60"/>
      <c r="FS13" s="59"/>
      <c r="FT13" s="59"/>
      <c r="FU13" s="59"/>
      <c r="FV13" s="59"/>
      <c r="FW13" s="60"/>
      <c r="FX13" s="59"/>
      <c r="FY13" s="59"/>
      <c r="FZ13" s="59"/>
      <c r="GA13" s="59"/>
      <c r="GB13" s="60"/>
    </row>
    <row r="14" spans="1:184" s="18" customFormat="1">
      <c r="A14" s="54">
        <f t="shared" si="0"/>
        <v>10</v>
      </c>
      <c r="B14" s="18" t="s">
        <v>379</v>
      </c>
      <c r="C14" s="30"/>
      <c r="D14" s="30"/>
      <c r="E14" s="19"/>
      <c r="F14" s="19"/>
      <c r="G14" s="19"/>
      <c r="H14" s="19"/>
      <c r="I14" s="132"/>
      <c r="J14" s="133"/>
      <c r="K14" s="19"/>
      <c r="L14" s="19"/>
      <c r="M14" s="19"/>
      <c r="N14" s="30"/>
      <c r="O14" s="19"/>
      <c r="P14" s="19"/>
      <c r="Q14" s="19"/>
      <c r="R14" s="19"/>
      <c r="S14" s="30"/>
      <c r="T14" s="19"/>
      <c r="U14" s="19"/>
      <c r="V14" s="19"/>
      <c r="W14" s="19"/>
      <c r="X14" s="30"/>
      <c r="Y14" s="19"/>
      <c r="Z14" s="19"/>
      <c r="AA14" s="19"/>
      <c r="AB14" s="19"/>
      <c r="AC14" s="30"/>
      <c r="AD14" s="19"/>
      <c r="AE14" s="19"/>
      <c r="AF14" s="19"/>
      <c r="AG14" s="19"/>
      <c r="AH14" s="30"/>
      <c r="AI14" s="19"/>
      <c r="AJ14" s="19"/>
      <c r="AK14" s="19"/>
      <c r="AL14" s="19"/>
      <c r="AM14" s="30"/>
      <c r="AN14" s="19"/>
      <c r="AO14" s="19"/>
      <c r="AP14" s="19"/>
      <c r="AQ14" s="19"/>
      <c r="AR14" s="30"/>
      <c r="AS14" s="19"/>
      <c r="AT14" s="19"/>
      <c r="AU14" s="61"/>
      <c r="AV14" s="61"/>
      <c r="AW14" s="62"/>
      <c r="AX14" s="61"/>
      <c r="AY14" s="61"/>
      <c r="AZ14" s="61"/>
      <c r="BA14" s="61"/>
      <c r="BB14" s="62"/>
      <c r="BC14" s="61"/>
      <c r="BD14" s="61"/>
      <c r="BE14" s="61"/>
      <c r="BF14" s="61"/>
      <c r="BG14" s="62"/>
      <c r="BH14" s="61"/>
      <c r="BI14" s="61"/>
      <c r="BJ14" s="61"/>
      <c r="BK14" s="61"/>
      <c r="BL14" s="62"/>
      <c r="BM14" s="61"/>
      <c r="BN14" s="61"/>
      <c r="BO14" s="61"/>
      <c r="BP14" s="61"/>
      <c r="BQ14" s="62"/>
      <c r="BR14" s="61"/>
      <c r="BS14" s="61"/>
      <c r="BT14" s="61"/>
      <c r="BU14" s="61"/>
      <c r="BV14" s="62"/>
      <c r="BW14" s="61"/>
      <c r="BX14" s="61"/>
      <c r="BY14" s="61"/>
      <c r="BZ14" s="61"/>
      <c r="CA14" s="62"/>
      <c r="CB14" s="61"/>
      <c r="CC14" s="61"/>
      <c r="CD14" s="61"/>
      <c r="CE14" s="61"/>
      <c r="CF14" s="62"/>
      <c r="CG14" s="61"/>
      <c r="CH14" s="61"/>
      <c r="CI14" s="61"/>
      <c r="CJ14" s="61"/>
      <c r="CK14" s="62"/>
      <c r="CL14" s="61"/>
      <c r="CM14" s="61"/>
      <c r="CN14" s="61"/>
      <c r="CO14" s="61"/>
      <c r="CP14" s="62"/>
      <c r="CQ14" s="61"/>
      <c r="CR14" s="61"/>
      <c r="CS14" s="61"/>
      <c r="CT14" s="61"/>
      <c r="CU14" s="62"/>
      <c r="CV14" s="61"/>
      <c r="CW14" s="61"/>
      <c r="CX14" s="61"/>
      <c r="CY14" s="61"/>
      <c r="CZ14" s="62"/>
      <c r="DA14" s="61"/>
      <c r="DB14" s="61"/>
      <c r="DC14" s="61"/>
      <c r="DD14" s="61"/>
      <c r="DE14" s="62"/>
      <c r="DF14" s="61"/>
      <c r="DG14" s="61"/>
      <c r="DH14" s="61"/>
      <c r="DI14" s="61"/>
      <c r="DJ14" s="62"/>
      <c r="DK14" s="61"/>
      <c r="DL14" s="61"/>
      <c r="DM14" s="61"/>
      <c r="DN14" s="61"/>
      <c r="DO14" s="62"/>
      <c r="DP14" s="61"/>
      <c r="DQ14" s="61"/>
      <c r="DR14" s="61"/>
      <c r="DS14" s="61"/>
      <c r="DT14" s="62"/>
      <c r="DU14" s="61"/>
      <c r="DV14" s="61"/>
      <c r="DW14" s="61"/>
      <c r="DX14" s="61"/>
      <c r="DY14" s="62"/>
      <c r="DZ14" s="61"/>
      <c r="EA14" s="61"/>
      <c r="EB14" s="61"/>
      <c r="EC14" s="61"/>
      <c r="ED14" s="62"/>
      <c r="EE14" s="61"/>
      <c r="EF14" s="61"/>
      <c r="EG14" s="61"/>
      <c r="EH14" s="61"/>
      <c r="EI14" s="62"/>
      <c r="EJ14" s="61"/>
      <c r="EK14" s="61"/>
      <c r="EL14" s="61"/>
      <c r="EM14" s="61"/>
      <c r="EN14" s="62"/>
      <c r="EO14" s="61"/>
      <c r="EP14" s="61"/>
      <c r="EQ14" s="61"/>
      <c r="ER14" s="61"/>
      <c r="ES14" s="62"/>
      <c r="ET14" s="61"/>
      <c r="EU14" s="61"/>
      <c r="EV14" s="61"/>
      <c r="EW14" s="61"/>
      <c r="EX14" s="62"/>
      <c r="EY14" s="61"/>
      <c r="EZ14" s="61"/>
      <c r="FA14" s="61"/>
      <c r="FB14" s="61"/>
      <c r="FC14" s="62"/>
      <c r="FD14" s="61"/>
      <c r="FE14" s="61"/>
      <c r="FF14" s="61"/>
      <c r="FG14" s="61"/>
      <c r="FH14" s="62"/>
      <c r="FI14" s="61"/>
      <c r="FJ14" s="61"/>
      <c r="FK14" s="61"/>
      <c r="FL14" s="61"/>
      <c r="FM14" s="62"/>
      <c r="FN14" s="61"/>
      <c r="FO14" s="61"/>
      <c r="FP14" s="61"/>
      <c r="FQ14" s="61"/>
      <c r="FR14" s="62"/>
      <c r="FS14" s="61"/>
      <c r="FT14" s="61"/>
      <c r="FU14" s="61"/>
      <c r="FV14" s="61"/>
      <c r="FW14" s="62"/>
      <c r="FX14" s="61"/>
      <c r="FY14" s="61"/>
      <c r="FZ14" s="61"/>
      <c r="GA14" s="61"/>
      <c r="GB14" s="62"/>
    </row>
    <row r="15" spans="1:184" s="18" customFormat="1">
      <c r="A15" s="54">
        <f t="shared" si="0"/>
        <v>11</v>
      </c>
      <c r="B15" s="22" t="s">
        <v>380</v>
      </c>
      <c r="C15" s="134">
        <v>1.3148961209432883E-2</v>
      </c>
      <c r="D15" s="134">
        <v>2.6559742667590029E-2</v>
      </c>
      <c r="E15" s="135">
        <v>2.3368349561939672E-2</v>
      </c>
      <c r="F15" s="135">
        <v>8.7657077028857611E-3</v>
      </c>
      <c r="G15" s="135">
        <v>5.7590649727132792E-3</v>
      </c>
      <c r="H15" s="135">
        <v>8.7726895882029865E-3</v>
      </c>
      <c r="I15" s="136">
        <v>1.1467490643223926E-2</v>
      </c>
      <c r="J15" s="137">
        <v>4.2271180368977257E-2</v>
      </c>
      <c r="K15" s="135">
        <v>6.1941580756013748E-2</v>
      </c>
      <c r="L15" s="135">
        <v>6.2817473755502951E-2</v>
      </c>
      <c r="M15" s="135">
        <v>6.0766961651917306E-2</v>
      </c>
      <c r="N15" s="134">
        <v>5.713916915861688E-2</v>
      </c>
      <c r="O15" s="135">
        <v>4.1587901701323204E-2</v>
      </c>
      <c r="P15" s="135">
        <v>4.3281287921689282E-2</v>
      </c>
      <c r="Q15" s="135">
        <v>2.1029154054484689E-2</v>
      </c>
      <c r="R15" s="135">
        <v>2.1293500715080294E-2</v>
      </c>
      <c r="S15" s="134">
        <v>3.1563523881234803E-2</v>
      </c>
      <c r="T15" s="135">
        <v>4.3309684870483478E-2</v>
      </c>
      <c r="U15" s="135">
        <v>1.930831265508659E-2</v>
      </c>
      <c r="V15" s="135">
        <v>4.7433296926197466E-2</v>
      </c>
      <c r="W15" s="135">
        <v>4.8467403142990584E-2</v>
      </c>
      <c r="X15" s="134">
        <v>3.95541526928389E-2</v>
      </c>
      <c r="Y15" s="135">
        <v>5.1632798292085003E-2</v>
      </c>
      <c r="Z15" s="135">
        <v>6.4282997337390846E-2</v>
      </c>
      <c r="AA15" s="135">
        <v>6.0628631014449708E-2</v>
      </c>
      <c r="AB15" s="135">
        <v>6.6780440750908943E-2</v>
      </c>
      <c r="AC15" s="134">
        <v>6.0954549767530321E-2</v>
      </c>
      <c r="AD15" s="135">
        <v>6.2932330827067728E-2</v>
      </c>
      <c r="AE15" s="135">
        <v>6.4546104360257317E-2</v>
      </c>
      <c r="AF15" s="135">
        <v>7.1137640449438155E-2</v>
      </c>
      <c r="AG15" s="135">
        <v>9.5291089935312101E-3</v>
      </c>
      <c r="AH15" s="134">
        <v>5.1692990144346994E-2</v>
      </c>
      <c r="AI15" s="135">
        <v>-2.7092028011600822E-2</v>
      </c>
      <c r="AJ15" s="135">
        <v>-2.3970993083999192E-2</v>
      </c>
      <c r="AK15" s="135">
        <v>-1.4685635612666448E-2</v>
      </c>
      <c r="AL15" s="135">
        <v>5.3121124431583455E-2</v>
      </c>
      <c r="AM15" s="134">
        <v>-3.2824803986596864E-3</v>
      </c>
      <c r="AN15" s="135">
        <v>9.3427366584266411E-2</v>
      </c>
      <c r="AO15" s="135">
        <v>8.7644468904787942E-2</v>
      </c>
      <c r="AP15" s="135">
        <v>6.9266085567902147E-2</v>
      </c>
      <c r="AQ15" s="135">
        <v>5.3320248609748155E-2</v>
      </c>
      <c r="AR15" s="134">
        <v>7.5336154528701224E-2</v>
      </c>
      <c r="AS15" s="135">
        <v>4.235653966354147E-2</v>
      </c>
      <c r="AT15" s="135">
        <v>3.3143580012650276E-2</v>
      </c>
      <c r="AU15" s="135">
        <v>2.1219663970130753E-2</v>
      </c>
      <c r="AV15" s="135">
        <v>1.3694502424403954E-2</v>
      </c>
      <c r="AW15" s="134">
        <v>2.7327619929994773E-2</v>
      </c>
      <c r="AX15" s="135">
        <v>1.9240938896643467E-2</v>
      </c>
      <c r="AY15" s="135">
        <v>1.7968525094058885E-2</v>
      </c>
      <c r="AZ15" s="135">
        <v>4.0904506055455592E-2</v>
      </c>
      <c r="BA15" s="135">
        <v>5.9357031699308171E-2</v>
      </c>
      <c r="BB15" s="134">
        <v>3.4524121051363377E-2</v>
      </c>
      <c r="BC15" s="135">
        <v>5.393745022389318E-2</v>
      </c>
      <c r="BD15" s="135">
        <v>6.3462846749615887E-2</v>
      </c>
      <c r="BE15" s="135">
        <v>5.3237202993786426E-2</v>
      </c>
      <c r="BF15" s="135">
        <v>3.0804211886279242E-2</v>
      </c>
      <c r="BG15" s="134">
        <v>5.0152016667324162E-2</v>
      </c>
      <c r="BH15" s="135">
        <v>4.4000000000000004E-2</v>
      </c>
      <c r="BI15" s="135">
        <v>4.3999999999999997E-2</v>
      </c>
      <c r="BJ15" s="135">
        <v>4.3999999999999997E-2</v>
      </c>
      <c r="BK15" s="135">
        <v>4.3999999999999997E-2</v>
      </c>
      <c r="BL15" s="134">
        <v>4.4000000000000004E-2</v>
      </c>
      <c r="BM15" s="135">
        <v>4.7E-2</v>
      </c>
      <c r="BN15" s="135">
        <v>4.7E-2</v>
      </c>
      <c r="BO15" s="135">
        <v>4.7E-2</v>
      </c>
      <c r="BP15" s="135">
        <v>4.7E-2</v>
      </c>
      <c r="BQ15" s="134">
        <v>4.7E-2</v>
      </c>
      <c r="BR15" s="135">
        <v>0.05</v>
      </c>
      <c r="BS15" s="135">
        <v>0.05</v>
      </c>
      <c r="BT15" s="135">
        <v>0.05</v>
      </c>
      <c r="BU15" s="135">
        <v>0.05</v>
      </c>
      <c r="BV15" s="134">
        <v>0.05</v>
      </c>
      <c r="BW15" s="135">
        <v>4.7E-2</v>
      </c>
      <c r="BX15" s="135">
        <v>4.7E-2</v>
      </c>
      <c r="BY15" s="135">
        <v>4.7E-2</v>
      </c>
      <c r="BZ15" s="135">
        <v>4.7E-2</v>
      </c>
      <c r="CA15" s="134">
        <v>4.7E-2</v>
      </c>
      <c r="CB15" s="135">
        <v>4.8000000000000001E-2</v>
      </c>
      <c r="CC15" s="135">
        <v>4.8000000000000001E-2</v>
      </c>
      <c r="CD15" s="135">
        <v>4.8000000000000001E-2</v>
      </c>
      <c r="CE15" s="135">
        <v>4.8000000000000001E-2</v>
      </c>
      <c r="CF15" s="134">
        <v>4.8000000000000001E-2</v>
      </c>
      <c r="CG15" s="135">
        <v>4.9000000000000002E-2</v>
      </c>
      <c r="CH15" s="135">
        <v>4.9000000000000002E-2</v>
      </c>
      <c r="CI15" s="135">
        <v>4.9000000000000002E-2</v>
      </c>
      <c r="CJ15" s="135">
        <v>4.9000000000000002E-2</v>
      </c>
      <c r="CK15" s="134">
        <v>4.9000000000000002E-2</v>
      </c>
      <c r="CL15" s="135">
        <v>0.05</v>
      </c>
      <c r="CM15" s="135">
        <v>0.05</v>
      </c>
      <c r="CN15" s="135">
        <v>0.05</v>
      </c>
      <c r="CO15" s="135">
        <v>0.05</v>
      </c>
      <c r="CP15" s="134">
        <v>0.05</v>
      </c>
      <c r="CQ15" s="59">
        <f t="shared" ref="CQ15:CT19" si="3">CR15</f>
        <v>5.0478829138844356E-2</v>
      </c>
      <c r="CR15" s="59">
        <f t="shared" si="3"/>
        <v>5.0478829138844356E-2</v>
      </c>
      <c r="CS15" s="59">
        <f t="shared" si="3"/>
        <v>5.0478829138844356E-2</v>
      </c>
      <c r="CT15" s="59">
        <f t="shared" si="3"/>
        <v>5.0478829138844356E-2</v>
      </c>
      <c r="CU15" s="134">
        <v>5.0478829138844356E-2</v>
      </c>
      <c r="CV15" s="59">
        <f t="shared" ref="CV15:CY19" si="4">CW15</f>
        <v>5.0962243824572831E-2</v>
      </c>
      <c r="CW15" s="59">
        <f t="shared" si="4"/>
        <v>5.0962243824572831E-2</v>
      </c>
      <c r="CX15" s="59">
        <f t="shared" si="4"/>
        <v>5.0962243824572831E-2</v>
      </c>
      <c r="CY15" s="59">
        <f t="shared" si="4"/>
        <v>5.0962243824572831E-2</v>
      </c>
      <c r="CZ15" s="134">
        <v>5.0962243824572831E-2</v>
      </c>
      <c r="DA15" s="59">
        <f t="shared" ref="DA15:DD19" si="5">DB15</f>
        <v>5.1450287971054748E-2</v>
      </c>
      <c r="DB15" s="59">
        <f t="shared" si="5"/>
        <v>5.1450287971054748E-2</v>
      </c>
      <c r="DC15" s="59">
        <f t="shared" si="5"/>
        <v>5.1450287971054748E-2</v>
      </c>
      <c r="DD15" s="59">
        <f t="shared" si="5"/>
        <v>5.1450287971054748E-2</v>
      </c>
      <c r="DE15" s="134">
        <v>5.1450287971054748E-2</v>
      </c>
      <c r="DF15" s="59">
        <f t="shared" ref="DF15:DI19" si="6">DG15</f>
        <v>5.1943005912704232E-2</v>
      </c>
      <c r="DG15" s="59">
        <f t="shared" si="6"/>
        <v>5.1943005912704232E-2</v>
      </c>
      <c r="DH15" s="59">
        <f t="shared" si="6"/>
        <v>5.1943005912704232E-2</v>
      </c>
      <c r="DI15" s="59">
        <f t="shared" si="6"/>
        <v>5.1943005912704232E-2</v>
      </c>
      <c r="DJ15" s="134">
        <v>5.1943005912704232E-2</v>
      </c>
      <c r="DK15" s="59">
        <f t="shared" ref="DK15:DN19" si="7">DL15</f>
        <v>5.2440442408507579E-2</v>
      </c>
      <c r="DL15" s="59">
        <f t="shared" si="7"/>
        <v>5.2440442408507579E-2</v>
      </c>
      <c r="DM15" s="59">
        <f t="shared" si="7"/>
        <v>5.2440442408507579E-2</v>
      </c>
      <c r="DN15" s="59">
        <f t="shared" si="7"/>
        <v>5.2440442408507579E-2</v>
      </c>
      <c r="DO15" s="134">
        <v>5.2440442408507579E-2</v>
      </c>
      <c r="DP15" s="59">
        <f t="shared" ref="DP15:DS19" si="8">DQ15</f>
        <v>5.2942642646089222E-2</v>
      </c>
      <c r="DQ15" s="59">
        <f t="shared" si="8"/>
        <v>5.2942642646089222E-2</v>
      </c>
      <c r="DR15" s="59">
        <f t="shared" si="8"/>
        <v>5.2942642646089222E-2</v>
      </c>
      <c r="DS15" s="59">
        <f t="shared" si="8"/>
        <v>5.2942642646089222E-2</v>
      </c>
      <c r="DT15" s="134">
        <v>5.2942642646089222E-2</v>
      </c>
      <c r="DU15" s="59">
        <f t="shared" ref="DU15:DX19" si="9">DV15</f>
        <v>5.3449652245816645E-2</v>
      </c>
      <c r="DV15" s="59">
        <f t="shared" si="9"/>
        <v>5.3449652245816645E-2</v>
      </c>
      <c r="DW15" s="59">
        <f t="shared" si="9"/>
        <v>5.3449652245816645E-2</v>
      </c>
      <c r="DX15" s="59">
        <f t="shared" si="9"/>
        <v>5.3449652245816645E-2</v>
      </c>
      <c r="DY15" s="134">
        <v>5.3449652245816645E-2</v>
      </c>
      <c r="DZ15" s="59">
        <f t="shared" ref="DZ15:EC19" si="10">EA15</f>
        <v>5.3961517264944539E-2</v>
      </c>
      <c r="EA15" s="59">
        <f t="shared" si="10"/>
        <v>5.3961517264944539E-2</v>
      </c>
      <c r="EB15" s="59">
        <f t="shared" si="10"/>
        <v>5.3961517264944539E-2</v>
      </c>
      <c r="EC15" s="59">
        <f t="shared" si="10"/>
        <v>5.3961517264944539E-2</v>
      </c>
      <c r="ED15" s="134">
        <v>5.3961517264944539E-2</v>
      </c>
      <c r="EE15" s="59">
        <f t="shared" ref="EE15:EH19" si="11">EF15</f>
        <v>5.4478284201798691E-2</v>
      </c>
      <c r="EF15" s="59">
        <f t="shared" si="11"/>
        <v>5.4478284201798691E-2</v>
      </c>
      <c r="EG15" s="59">
        <f t="shared" si="11"/>
        <v>5.4478284201798691E-2</v>
      </c>
      <c r="EH15" s="59">
        <f t="shared" si="11"/>
        <v>5.4478284201798691E-2</v>
      </c>
      <c r="EI15" s="134">
        <v>5.4478284201798691E-2</v>
      </c>
      <c r="EJ15" s="59">
        <f t="shared" ref="EJ15:EM19" si="12">EK15</f>
        <v>5.5E-2</v>
      </c>
      <c r="EK15" s="59">
        <f t="shared" si="12"/>
        <v>5.5E-2</v>
      </c>
      <c r="EL15" s="59">
        <f t="shared" si="12"/>
        <v>5.5E-2</v>
      </c>
      <c r="EM15" s="59">
        <f t="shared" si="12"/>
        <v>5.5E-2</v>
      </c>
      <c r="EN15" s="134">
        <v>5.5E-2</v>
      </c>
      <c r="EO15" s="59">
        <f t="shared" ref="EO15:ER19" si="13">EP15</f>
        <v>5.5E-2</v>
      </c>
      <c r="EP15" s="59">
        <f t="shared" si="13"/>
        <v>5.5E-2</v>
      </c>
      <c r="EQ15" s="59">
        <f t="shared" si="13"/>
        <v>5.5E-2</v>
      </c>
      <c r="ER15" s="59">
        <f t="shared" si="13"/>
        <v>5.5E-2</v>
      </c>
      <c r="ES15" s="134">
        <f>EN15</f>
        <v>5.5E-2</v>
      </c>
      <c r="ET15" s="59">
        <f t="shared" ref="ET15:EW19" si="14">EU15</f>
        <v>5.5E-2</v>
      </c>
      <c r="EU15" s="59">
        <f t="shared" si="14"/>
        <v>5.5E-2</v>
      </c>
      <c r="EV15" s="59">
        <f t="shared" si="14"/>
        <v>5.5E-2</v>
      </c>
      <c r="EW15" s="59">
        <f t="shared" si="14"/>
        <v>5.5E-2</v>
      </c>
      <c r="EX15" s="134">
        <f>ES15</f>
        <v>5.5E-2</v>
      </c>
      <c r="EY15" s="59">
        <f t="shared" ref="EY15:FB19" si="15">EZ15</f>
        <v>5.5E-2</v>
      </c>
      <c r="EZ15" s="59">
        <f t="shared" si="15"/>
        <v>5.5E-2</v>
      </c>
      <c r="FA15" s="59">
        <f t="shared" si="15"/>
        <v>5.5E-2</v>
      </c>
      <c r="FB15" s="59">
        <f t="shared" si="15"/>
        <v>5.5E-2</v>
      </c>
      <c r="FC15" s="134">
        <f>EX15</f>
        <v>5.5E-2</v>
      </c>
      <c r="FD15" s="59">
        <f t="shared" ref="FD15:FG19" si="16">FE15</f>
        <v>5.5E-2</v>
      </c>
      <c r="FE15" s="59">
        <f t="shared" si="16"/>
        <v>5.5E-2</v>
      </c>
      <c r="FF15" s="59">
        <f t="shared" si="16"/>
        <v>5.5E-2</v>
      </c>
      <c r="FG15" s="59">
        <f t="shared" si="16"/>
        <v>5.5E-2</v>
      </c>
      <c r="FH15" s="134">
        <f>FC15</f>
        <v>5.5E-2</v>
      </c>
      <c r="FI15" s="59">
        <f t="shared" ref="FI15:FL19" si="17">FJ15</f>
        <v>5.5E-2</v>
      </c>
      <c r="FJ15" s="59">
        <f t="shared" si="17"/>
        <v>5.5E-2</v>
      </c>
      <c r="FK15" s="59">
        <f t="shared" si="17"/>
        <v>5.5E-2</v>
      </c>
      <c r="FL15" s="59">
        <f t="shared" si="17"/>
        <v>5.5E-2</v>
      </c>
      <c r="FM15" s="134">
        <f>FH15</f>
        <v>5.5E-2</v>
      </c>
      <c r="FN15" s="59">
        <f t="shared" ref="FN15:FQ19" si="18">FO15</f>
        <v>5.5E-2</v>
      </c>
      <c r="FO15" s="59">
        <f t="shared" si="18"/>
        <v>5.5E-2</v>
      </c>
      <c r="FP15" s="59">
        <f t="shared" si="18"/>
        <v>5.5E-2</v>
      </c>
      <c r="FQ15" s="59">
        <f t="shared" si="18"/>
        <v>5.5E-2</v>
      </c>
      <c r="FR15" s="134">
        <f>FM15</f>
        <v>5.5E-2</v>
      </c>
      <c r="FS15" s="59">
        <f t="shared" ref="FS15:FV19" si="19">FT15</f>
        <v>5.5E-2</v>
      </c>
      <c r="FT15" s="59">
        <f t="shared" si="19"/>
        <v>5.5E-2</v>
      </c>
      <c r="FU15" s="59">
        <f t="shared" si="19"/>
        <v>5.5E-2</v>
      </c>
      <c r="FV15" s="59">
        <f t="shared" si="19"/>
        <v>5.5E-2</v>
      </c>
      <c r="FW15" s="134">
        <f>FR15</f>
        <v>5.5E-2</v>
      </c>
      <c r="FX15" s="59">
        <f t="shared" ref="FX15:GA19" si="20">FY15</f>
        <v>5.5E-2</v>
      </c>
      <c r="FY15" s="59">
        <f t="shared" si="20"/>
        <v>5.5E-2</v>
      </c>
      <c r="FZ15" s="59">
        <f t="shared" si="20"/>
        <v>5.5E-2</v>
      </c>
      <c r="GA15" s="59">
        <f t="shared" si="20"/>
        <v>5.5E-2</v>
      </c>
      <c r="GB15" s="134">
        <f>FW15</f>
        <v>5.5E-2</v>
      </c>
    </row>
    <row r="16" spans="1:184" s="18" customFormat="1">
      <c r="A16" s="54">
        <f t="shared" si="0"/>
        <v>12</v>
      </c>
      <c r="B16" s="22" t="s">
        <v>381</v>
      </c>
      <c r="C16" s="134">
        <v>6.0621541081311105E-2</v>
      </c>
      <c r="D16" s="134">
        <v>6.57662358513285E-2</v>
      </c>
      <c r="E16" s="135">
        <v>0.13876599742182028</v>
      </c>
      <c r="F16" s="135">
        <v>0.10285559934752597</v>
      </c>
      <c r="G16" s="135">
        <v>-3.5646033075153682E-2</v>
      </c>
      <c r="H16" s="135">
        <v>-4.210754547634421E-4</v>
      </c>
      <c r="I16" s="136">
        <v>5.8054797100084841E-2</v>
      </c>
      <c r="J16" s="137">
        <v>2.7750247770070846E-3</v>
      </c>
      <c r="K16" s="135">
        <v>2.8562030590428167E-2</v>
      </c>
      <c r="L16" s="135">
        <v>4.6199822308375715E-2</v>
      </c>
      <c r="M16" s="135">
        <v>1.5914102195379032E-2</v>
      </c>
      <c r="N16" s="134">
        <v>2.3154410194347434E-2</v>
      </c>
      <c r="O16" s="135">
        <v>2.9254793437438309E-2</v>
      </c>
      <c r="P16" s="135">
        <v>1.0446647478946858E-2</v>
      </c>
      <c r="Q16" s="135">
        <v>-3.466378445147833E-2</v>
      </c>
      <c r="R16" s="135">
        <v>-1.9816929319618204E-3</v>
      </c>
      <c r="S16" s="134">
        <v>2.9570874428152651E-3</v>
      </c>
      <c r="T16" s="135">
        <v>-1.049868766404205E-2</v>
      </c>
      <c r="U16" s="135">
        <v>-1.4822238632767215E-2</v>
      </c>
      <c r="V16" s="135">
        <v>0.14843250159948806</v>
      </c>
      <c r="W16" s="135">
        <v>0.12840393343419065</v>
      </c>
      <c r="X16" s="134">
        <v>4.8023725697636195E-2</v>
      </c>
      <c r="Y16" s="135">
        <v>4.1469884194863083E-2</v>
      </c>
      <c r="Z16" s="135">
        <v>1.322482197355046E-2</v>
      </c>
      <c r="AA16" s="135">
        <v>8.2381615598885904E-2</v>
      </c>
      <c r="AB16" s="135">
        <v>7.156024803083616E-2</v>
      </c>
      <c r="AC16" s="134">
        <v>4.8404713046931676E-2</v>
      </c>
      <c r="AD16" s="135">
        <v>4.4415455336066723E-2</v>
      </c>
      <c r="AE16" s="135">
        <v>0.10304375396322139</v>
      </c>
      <c r="AF16" s="135">
        <v>6.1957151129125698E-2</v>
      </c>
      <c r="AG16" s="135">
        <v>2.9167969971848784E-2</v>
      </c>
      <c r="AH16" s="134">
        <v>6.3154073208845751E-2</v>
      </c>
      <c r="AI16" s="135">
        <v>-6.8399452804377425E-3</v>
      </c>
      <c r="AJ16" s="135">
        <v>-3.3247101657564393E-2</v>
      </c>
      <c r="AK16" s="135">
        <v>-7.4942445171452876E-2</v>
      </c>
      <c r="AL16" s="135">
        <v>-3.8750854798269563E-3</v>
      </c>
      <c r="AM16" s="134">
        <v>-3.1134008373667543E-2</v>
      </c>
      <c r="AN16" s="135">
        <v>6.9828722002635013E-2</v>
      </c>
      <c r="AO16" s="135">
        <v>9.0485629335976162E-2</v>
      </c>
      <c r="AP16" s="135">
        <v>5.5013425895605428E-2</v>
      </c>
      <c r="AQ16" s="135">
        <v>2.280701754385972E-2</v>
      </c>
      <c r="AR16" s="134">
        <v>6.3303553641754745E-2</v>
      </c>
      <c r="AS16" s="135">
        <v>3.3419167039856923E-2</v>
      </c>
      <c r="AT16" s="135">
        <v>-5.9983640825229667E-3</v>
      </c>
      <c r="AU16" s="135">
        <v>6.9215966230057768E-2</v>
      </c>
      <c r="AV16" s="135">
        <v>8.4087939694729164E-2</v>
      </c>
      <c r="AW16" s="134">
        <v>3.902598406616975E-2</v>
      </c>
      <c r="AX16" s="135">
        <v>2.4999999999999911E-2</v>
      </c>
      <c r="AY16" s="135">
        <v>1.0000000000000009E-2</v>
      </c>
      <c r="AZ16" s="135">
        <v>4.0000000000000036E-2</v>
      </c>
      <c r="BA16" s="135">
        <v>4.0000000000000036E-2</v>
      </c>
      <c r="BB16" s="134">
        <v>2.7056904518788727E-2</v>
      </c>
      <c r="BC16" s="135">
        <v>2.4999999999999911E-2</v>
      </c>
      <c r="BD16" s="135">
        <v>3.0000000000000027E-2</v>
      </c>
      <c r="BE16" s="135">
        <v>3.499999999999992E-2</v>
      </c>
      <c r="BF16" s="135">
        <v>3.499999999999992E-2</v>
      </c>
      <c r="BG16" s="134">
        <v>3.0952667464558159E-2</v>
      </c>
      <c r="BH16" s="135">
        <v>4.4000000000000004E-2</v>
      </c>
      <c r="BI16" s="135">
        <v>4.3999999999999997E-2</v>
      </c>
      <c r="BJ16" s="135">
        <v>4.3999999999999997E-2</v>
      </c>
      <c r="BK16" s="135">
        <v>4.3999999999999997E-2</v>
      </c>
      <c r="BL16" s="134">
        <v>4.4249999999999998E-2</v>
      </c>
      <c r="BM16" s="135">
        <v>4.7E-2</v>
      </c>
      <c r="BN16" s="135">
        <v>4.7E-2</v>
      </c>
      <c r="BO16" s="135">
        <v>4.7E-2</v>
      </c>
      <c r="BP16" s="135">
        <v>4.7E-2</v>
      </c>
      <c r="BQ16" s="134">
        <v>4.6500000000000007E-2</v>
      </c>
      <c r="BR16" s="135">
        <v>0.05</v>
      </c>
      <c r="BS16" s="135">
        <v>0.05</v>
      </c>
      <c r="BT16" s="135">
        <v>0.05</v>
      </c>
      <c r="BU16" s="135">
        <v>0.05</v>
      </c>
      <c r="BV16" s="134">
        <v>0.05</v>
      </c>
      <c r="BW16" s="135">
        <v>4.7E-2</v>
      </c>
      <c r="BX16" s="135">
        <v>4.7E-2</v>
      </c>
      <c r="BY16" s="135">
        <v>4.7E-2</v>
      </c>
      <c r="BZ16" s="135">
        <v>4.7E-2</v>
      </c>
      <c r="CA16" s="134">
        <v>4.7E-2</v>
      </c>
      <c r="CB16" s="135">
        <v>4.8000000000000001E-2</v>
      </c>
      <c r="CC16" s="135">
        <v>4.8000000000000001E-2</v>
      </c>
      <c r="CD16" s="135">
        <v>4.8000000000000001E-2</v>
      </c>
      <c r="CE16" s="135">
        <v>4.8000000000000001E-2</v>
      </c>
      <c r="CF16" s="134">
        <v>4.8000000000000001E-2</v>
      </c>
      <c r="CG16" s="135">
        <v>4.9000000000000002E-2</v>
      </c>
      <c r="CH16" s="135">
        <v>4.9000000000000002E-2</v>
      </c>
      <c r="CI16" s="135">
        <v>4.9000000000000002E-2</v>
      </c>
      <c r="CJ16" s="135">
        <v>4.9000000000000002E-2</v>
      </c>
      <c r="CK16" s="134">
        <v>4.9000000000000002E-2</v>
      </c>
      <c r="CL16" s="135">
        <v>0.05</v>
      </c>
      <c r="CM16" s="135">
        <v>0.05</v>
      </c>
      <c r="CN16" s="135">
        <v>0.05</v>
      </c>
      <c r="CO16" s="135">
        <v>0.05</v>
      </c>
      <c r="CP16" s="134">
        <v>0.05</v>
      </c>
      <c r="CQ16" s="59">
        <f t="shared" si="3"/>
        <v>5.0478829138844356E-2</v>
      </c>
      <c r="CR16" s="59">
        <f t="shared" si="3"/>
        <v>5.0478829138844356E-2</v>
      </c>
      <c r="CS16" s="59">
        <f t="shared" si="3"/>
        <v>5.0478829138844356E-2</v>
      </c>
      <c r="CT16" s="59">
        <f t="shared" si="3"/>
        <v>5.0478829138844356E-2</v>
      </c>
      <c r="CU16" s="134">
        <v>5.0478829138844356E-2</v>
      </c>
      <c r="CV16" s="59">
        <f t="shared" si="4"/>
        <v>5.0962243824572831E-2</v>
      </c>
      <c r="CW16" s="59">
        <f t="shared" si="4"/>
        <v>5.0962243824572831E-2</v>
      </c>
      <c r="CX16" s="59">
        <f t="shared" si="4"/>
        <v>5.0962243824572831E-2</v>
      </c>
      <c r="CY16" s="59">
        <f t="shared" si="4"/>
        <v>5.0962243824572831E-2</v>
      </c>
      <c r="CZ16" s="134">
        <v>5.0962243824572831E-2</v>
      </c>
      <c r="DA16" s="59">
        <f t="shared" si="5"/>
        <v>5.1450287971054748E-2</v>
      </c>
      <c r="DB16" s="59">
        <f t="shared" si="5"/>
        <v>5.1450287971054748E-2</v>
      </c>
      <c r="DC16" s="59">
        <f t="shared" si="5"/>
        <v>5.1450287971054748E-2</v>
      </c>
      <c r="DD16" s="59">
        <f t="shared" si="5"/>
        <v>5.1450287971054748E-2</v>
      </c>
      <c r="DE16" s="134">
        <v>5.1450287971054748E-2</v>
      </c>
      <c r="DF16" s="59">
        <f t="shared" si="6"/>
        <v>5.1943005912704232E-2</v>
      </c>
      <c r="DG16" s="59">
        <f t="shared" si="6"/>
        <v>5.1943005912704232E-2</v>
      </c>
      <c r="DH16" s="59">
        <f t="shared" si="6"/>
        <v>5.1943005912704232E-2</v>
      </c>
      <c r="DI16" s="59">
        <f t="shared" si="6"/>
        <v>5.1943005912704232E-2</v>
      </c>
      <c r="DJ16" s="134">
        <v>5.1943005912704232E-2</v>
      </c>
      <c r="DK16" s="59">
        <f t="shared" si="7"/>
        <v>5.2440442408507579E-2</v>
      </c>
      <c r="DL16" s="59">
        <f t="shared" si="7"/>
        <v>5.2440442408507579E-2</v>
      </c>
      <c r="DM16" s="59">
        <f t="shared" si="7"/>
        <v>5.2440442408507579E-2</v>
      </c>
      <c r="DN16" s="59">
        <f t="shared" si="7"/>
        <v>5.2440442408507579E-2</v>
      </c>
      <c r="DO16" s="134">
        <v>5.2440442408507579E-2</v>
      </c>
      <c r="DP16" s="59">
        <f t="shared" si="8"/>
        <v>5.2942642646089222E-2</v>
      </c>
      <c r="DQ16" s="59">
        <f t="shared" si="8"/>
        <v>5.2942642646089222E-2</v>
      </c>
      <c r="DR16" s="59">
        <f t="shared" si="8"/>
        <v>5.2942642646089222E-2</v>
      </c>
      <c r="DS16" s="59">
        <f t="shared" si="8"/>
        <v>5.2942642646089222E-2</v>
      </c>
      <c r="DT16" s="134">
        <v>5.2942642646089222E-2</v>
      </c>
      <c r="DU16" s="59">
        <f t="shared" si="9"/>
        <v>5.3449652245816645E-2</v>
      </c>
      <c r="DV16" s="59">
        <f t="shared" si="9"/>
        <v>5.3449652245816645E-2</v>
      </c>
      <c r="DW16" s="59">
        <f t="shared" si="9"/>
        <v>5.3449652245816645E-2</v>
      </c>
      <c r="DX16" s="59">
        <f t="shared" si="9"/>
        <v>5.3449652245816645E-2</v>
      </c>
      <c r="DY16" s="134">
        <v>5.3449652245816645E-2</v>
      </c>
      <c r="DZ16" s="59">
        <f t="shared" si="10"/>
        <v>5.3961517264944539E-2</v>
      </c>
      <c r="EA16" s="59">
        <f t="shared" si="10"/>
        <v>5.3961517264944539E-2</v>
      </c>
      <c r="EB16" s="59">
        <f t="shared" si="10"/>
        <v>5.3961517264944539E-2</v>
      </c>
      <c r="EC16" s="59">
        <f t="shared" si="10"/>
        <v>5.3961517264944539E-2</v>
      </c>
      <c r="ED16" s="134">
        <v>5.3961517264944539E-2</v>
      </c>
      <c r="EE16" s="59">
        <f t="shared" si="11"/>
        <v>5.4478284201798691E-2</v>
      </c>
      <c r="EF16" s="59">
        <f t="shared" si="11"/>
        <v>5.4478284201798691E-2</v>
      </c>
      <c r="EG16" s="59">
        <f t="shared" si="11"/>
        <v>5.4478284201798691E-2</v>
      </c>
      <c r="EH16" s="59">
        <f t="shared" si="11"/>
        <v>5.4478284201798691E-2</v>
      </c>
      <c r="EI16" s="134">
        <v>5.4478284201798691E-2</v>
      </c>
      <c r="EJ16" s="59">
        <f t="shared" si="12"/>
        <v>5.5E-2</v>
      </c>
      <c r="EK16" s="59">
        <f t="shared" si="12"/>
        <v>5.5E-2</v>
      </c>
      <c r="EL16" s="59">
        <f t="shared" si="12"/>
        <v>5.5E-2</v>
      </c>
      <c r="EM16" s="59">
        <f t="shared" si="12"/>
        <v>5.5E-2</v>
      </c>
      <c r="EN16" s="134">
        <v>5.5E-2</v>
      </c>
      <c r="EO16" s="59">
        <f t="shared" si="13"/>
        <v>5.5E-2</v>
      </c>
      <c r="EP16" s="59">
        <f t="shared" si="13"/>
        <v>5.5E-2</v>
      </c>
      <c r="EQ16" s="59">
        <f t="shared" si="13"/>
        <v>5.5E-2</v>
      </c>
      <c r="ER16" s="59">
        <f t="shared" si="13"/>
        <v>5.5E-2</v>
      </c>
      <c r="ES16" s="134">
        <f>EN16</f>
        <v>5.5E-2</v>
      </c>
      <c r="ET16" s="59">
        <f t="shared" si="14"/>
        <v>5.5E-2</v>
      </c>
      <c r="EU16" s="59">
        <f t="shared" si="14"/>
        <v>5.5E-2</v>
      </c>
      <c r="EV16" s="59">
        <f t="shared" si="14"/>
        <v>5.5E-2</v>
      </c>
      <c r="EW16" s="59">
        <f t="shared" si="14"/>
        <v>5.5E-2</v>
      </c>
      <c r="EX16" s="134">
        <f>ES16</f>
        <v>5.5E-2</v>
      </c>
      <c r="EY16" s="59">
        <f t="shared" si="15"/>
        <v>5.5E-2</v>
      </c>
      <c r="EZ16" s="59">
        <f t="shared" si="15"/>
        <v>5.5E-2</v>
      </c>
      <c r="FA16" s="59">
        <f t="shared" si="15"/>
        <v>5.5E-2</v>
      </c>
      <c r="FB16" s="59">
        <f t="shared" si="15"/>
        <v>5.5E-2</v>
      </c>
      <c r="FC16" s="134">
        <f>EX16</f>
        <v>5.5E-2</v>
      </c>
      <c r="FD16" s="59">
        <f t="shared" si="16"/>
        <v>5.5E-2</v>
      </c>
      <c r="FE16" s="59">
        <f t="shared" si="16"/>
        <v>5.5E-2</v>
      </c>
      <c r="FF16" s="59">
        <f t="shared" si="16"/>
        <v>5.5E-2</v>
      </c>
      <c r="FG16" s="59">
        <f t="shared" si="16"/>
        <v>5.5E-2</v>
      </c>
      <c r="FH16" s="134">
        <f>FC16</f>
        <v>5.5E-2</v>
      </c>
      <c r="FI16" s="59">
        <f t="shared" si="17"/>
        <v>5.5E-2</v>
      </c>
      <c r="FJ16" s="59">
        <f t="shared" si="17"/>
        <v>5.5E-2</v>
      </c>
      <c r="FK16" s="59">
        <f t="shared" si="17"/>
        <v>5.5E-2</v>
      </c>
      <c r="FL16" s="59">
        <f t="shared" si="17"/>
        <v>5.5E-2</v>
      </c>
      <c r="FM16" s="134">
        <f>FH16</f>
        <v>5.5E-2</v>
      </c>
      <c r="FN16" s="59">
        <f t="shared" si="18"/>
        <v>5.5E-2</v>
      </c>
      <c r="FO16" s="59">
        <f t="shared" si="18"/>
        <v>5.5E-2</v>
      </c>
      <c r="FP16" s="59">
        <f t="shared" si="18"/>
        <v>5.5E-2</v>
      </c>
      <c r="FQ16" s="59">
        <f t="shared" si="18"/>
        <v>5.5E-2</v>
      </c>
      <c r="FR16" s="134">
        <f>FM16</f>
        <v>5.5E-2</v>
      </c>
      <c r="FS16" s="59">
        <f t="shared" si="19"/>
        <v>5.5E-2</v>
      </c>
      <c r="FT16" s="59">
        <f t="shared" si="19"/>
        <v>5.5E-2</v>
      </c>
      <c r="FU16" s="59">
        <f t="shared" si="19"/>
        <v>5.5E-2</v>
      </c>
      <c r="FV16" s="59">
        <f t="shared" si="19"/>
        <v>5.5E-2</v>
      </c>
      <c r="FW16" s="134">
        <f>FR16</f>
        <v>5.5E-2</v>
      </c>
      <c r="FX16" s="59">
        <f t="shared" si="20"/>
        <v>5.5E-2</v>
      </c>
      <c r="FY16" s="59">
        <f t="shared" si="20"/>
        <v>5.5E-2</v>
      </c>
      <c r="FZ16" s="59">
        <f t="shared" si="20"/>
        <v>5.5E-2</v>
      </c>
      <c r="GA16" s="59">
        <f t="shared" si="20"/>
        <v>5.5E-2</v>
      </c>
      <c r="GB16" s="134">
        <f>FW16</f>
        <v>5.5E-2</v>
      </c>
    </row>
    <row r="17" spans="1:184" s="18" customFormat="1">
      <c r="A17" s="54">
        <f t="shared" si="0"/>
        <v>13</v>
      </c>
      <c r="B17" s="22" t="s">
        <v>382</v>
      </c>
      <c r="C17" s="134">
        <v>-6.1599696739953911E-3</v>
      </c>
      <c r="D17" s="134">
        <v>2.0787641842280779E-2</v>
      </c>
      <c r="E17" s="135">
        <v>4.8992796373847902E-4</v>
      </c>
      <c r="F17" s="135">
        <v>-4.5887969993890776E-3</v>
      </c>
      <c r="G17" s="135">
        <v>3.8644345378565648E-2</v>
      </c>
      <c r="H17" s="135">
        <v>1.4017726790243934E-2</v>
      </c>
      <c r="I17" s="136">
        <v>1.2751050910789558E-2</v>
      </c>
      <c r="J17" s="137">
        <v>8.5266522321888902E-2</v>
      </c>
      <c r="K17" s="135">
        <v>8.2672706681766753E-2</v>
      </c>
      <c r="L17" s="135">
        <v>7.6352981730437808E-2</v>
      </c>
      <c r="M17" s="135">
        <v>7.2643237115200154E-2</v>
      </c>
      <c r="N17" s="134">
        <v>7.8909744961490419E-2</v>
      </c>
      <c r="O17" s="135">
        <v>4.0851225536766123E-2</v>
      </c>
      <c r="P17" s="135">
        <v>5.1516736401673535E-2</v>
      </c>
      <c r="Q17" s="135">
        <v>-9.5276220976782122E-3</v>
      </c>
      <c r="R17" s="135">
        <v>5.8536585365853711E-3</v>
      </c>
      <c r="S17" s="134">
        <v>2.0817303582115018E-2</v>
      </c>
      <c r="T17" s="135">
        <v>3.7422416940489089E-2</v>
      </c>
      <c r="U17" s="135">
        <v>-1.3926883859736283E-2</v>
      </c>
      <c r="V17" s="135">
        <v>2.772613369978183E-2</v>
      </c>
      <c r="W17" s="135">
        <v>3.7989007436145972E-2</v>
      </c>
      <c r="X17" s="134">
        <v>2.2088689753360313E-2</v>
      </c>
      <c r="Y17" s="135">
        <v>3.290515572760877E-2</v>
      </c>
      <c r="Z17" s="135">
        <v>7.6082387557797393E-2</v>
      </c>
      <c r="AA17" s="135">
        <v>5.8439515494730143E-2</v>
      </c>
      <c r="AB17" s="135">
        <v>4.2828219903441767E-2</v>
      </c>
      <c r="AC17" s="134">
        <v>5.2686564106766129E-2</v>
      </c>
      <c r="AD17" s="135">
        <v>7.0698466780238389E-2</v>
      </c>
      <c r="AE17" s="135">
        <v>5.3281249999999947E-2</v>
      </c>
      <c r="AF17" s="135">
        <v>6.8068663149290387E-2</v>
      </c>
      <c r="AG17" s="135">
        <v>-2.5089605734766929E-2</v>
      </c>
      <c r="AH17" s="134">
        <v>4.0709101169510833E-2</v>
      </c>
      <c r="AI17" s="135">
        <v>-0.1162291169451074</v>
      </c>
      <c r="AJ17" s="135">
        <v>-9.0491025070464234E-2</v>
      </c>
      <c r="AK17" s="135">
        <v>-6.7696375147846544E-2</v>
      </c>
      <c r="AL17" s="135">
        <v>5.0321691176470562E-2</v>
      </c>
      <c r="AM17" s="134">
        <v>-5.6038593145228931E-2</v>
      </c>
      <c r="AN17" s="135">
        <v>0.15374921235034633</v>
      </c>
      <c r="AO17" s="135">
        <v>0.13872125265046487</v>
      </c>
      <c r="AP17" s="135">
        <v>8.858208955223891E-2</v>
      </c>
      <c r="AQ17" s="135">
        <v>4.8931670677459405E-2</v>
      </c>
      <c r="AR17" s="134">
        <v>0.10433008477933597</v>
      </c>
      <c r="AS17" s="135">
        <v>3.8386517905906414E-2</v>
      </c>
      <c r="AT17" s="135">
        <v>2.1127264914416743E-2</v>
      </c>
      <c r="AU17" s="135">
        <v>9.8718036607938764E-3</v>
      </c>
      <c r="AV17" s="135">
        <v>-3.5526710070186152E-3</v>
      </c>
      <c r="AW17" s="134">
        <v>1.5787547226145282E-2</v>
      </c>
      <c r="AX17" s="135">
        <v>-1.4104317661976506E-2</v>
      </c>
      <c r="AY17" s="135">
        <v>-1.6559006388075947E-2</v>
      </c>
      <c r="AZ17" s="135">
        <v>2.8619821976651583E-2</v>
      </c>
      <c r="BA17" s="135">
        <v>7.0355321974670426E-2</v>
      </c>
      <c r="BB17" s="134">
        <v>1.7766906306967645E-2</v>
      </c>
      <c r="BC17" s="135">
        <v>6.4697039202737727E-2</v>
      </c>
      <c r="BD17" s="135">
        <v>8.6515243702498745E-2</v>
      </c>
      <c r="BE17" s="135">
        <v>5.3742823583489585E-2</v>
      </c>
      <c r="BF17" s="135">
        <v>1.3019718230586674E-2</v>
      </c>
      <c r="BG17" s="134">
        <v>5.3370427575257784E-2</v>
      </c>
      <c r="BH17" s="135">
        <v>4.4000000000000004E-2</v>
      </c>
      <c r="BI17" s="135">
        <v>4.3999999999999997E-2</v>
      </c>
      <c r="BJ17" s="135">
        <v>4.3999999999999997E-2</v>
      </c>
      <c r="BK17" s="135">
        <v>4.3999999999999997E-2</v>
      </c>
      <c r="BL17" s="134">
        <v>4.4249999999999998E-2</v>
      </c>
      <c r="BM17" s="135">
        <v>4.7E-2</v>
      </c>
      <c r="BN17" s="135">
        <v>4.7E-2</v>
      </c>
      <c r="BO17" s="135">
        <v>4.7E-2</v>
      </c>
      <c r="BP17" s="135">
        <v>4.7E-2</v>
      </c>
      <c r="BQ17" s="134">
        <v>4.6500000000000007E-2</v>
      </c>
      <c r="BR17" s="135">
        <v>0.05</v>
      </c>
      <c r="BS17" s="135">
        <v>0.05</v>
      </c>
      <c r="BT17" s="135">
        <v>0.05</v>
      </c>
      <c r="BU17" s="135">
        <v>0.05</v>
      </c>
      <c r="BV17" s="134">
        <v>0.05</v>
      </c>
      <c r="BW17" s="135">
        <v>4.7E-2</v>
      </c>
      <c r="BX17" s="135">
        <v>4.7E-2</v>
      </c>
      <c r="BY17" s="135">
        <v>4.7E-2</v>
      </c>
      <c r="BZ17" s="135">
        <v>4.7E-2</v>
      </c>
      <c r="CA17" s="134">
        <v>4.7E-2</v>
      </c>
      <c r="CB17" s="135">
        <v>4.8000000000000001E-2</v>
      </c>
      <c r="CC17" s="135">
        <v>4.8000000000000001E-2</v>
      </c>
      <c r="CD17" s="135">
        <v>4.8000000000000001E-2</v>
      </c>
      <c r="CE17" s="135">
        <v>4.8000000000000001E-2</v>
      </c>
      <c r="CF17" s="134">
        <v>4.8000000000000001E-2</v>
      </c>
      <c r="CG17" s="135">
        <v>4.9000000000000002E-2</v>
      </c>
      <c r="CH17" s="135">
        <v>4.9000000000000002E-2</v>
      </c>
      <c r="CI17" s="135">
        <v>4.9000000000000002E-2</v>
      </c>
      <c r="CJ17" s="135">
        <v>4.9000000000000002E-2</v>
      </c>
      <c r="CK17" s="134">
        <v>4.9000000000000002E-2</v>
      </c>
      <c r="CL17" s="135">
        <v>0.05</v>
      </c>
      <c r="CM17" s="135">
        <v>0.05</v>
      </c>
      <c r="CN17" s="135">
        <v>0.05</v>
      </c>
      <c r="CO17" s="135">
        <v>0.05</v>
      </c>
      <c r="CP17" s="134">
        <v>0.05</v>
      </c>
      <c r="CQ17" s="59">
        <f t="shared" si="3"/>
        <v>5.0478829138844356E-2</v>
      </c>
      <c r="CR17" s="59">
        <f t="shared" si="3"/>
        <v>5.0478829138844356E-2</v>
      </c>
      <c r="CS17" s="59">
        <f t="shared" si="3"/>
        <v>5.0478829138844356E-2</v>
      </c>
      <c r="CT17" s="59">
        <f t="shared" si="3"/>
        <v>5.0478829138844356E-2</v>
      </c>
      <c r="CU17" s="134">
        <v>5.0478829138844356E-2</v>
      </c>
      <c r="CV17" s="59">
        <f t="shared" si="4"/>
        <v>5.0962243824572831E-2</v>
      </c>
      <c r="CW17" s="59">
        <f t="shared" si="4"/>
        <v>5.0962243824572831E-2</v>
      </c>
      <c r="CX17" s="59">
        <f t="shared" si="4"/>
        <v>5.0962243824572831E-2</v>
      </c>
      <c r="CY17" s="59">
        <f t="shared" si="4"/>
        <v>5.0962243824572831E-2</v>
      </c>
      <c r="CZ17" s="134">
        <v>5.0962243824572831E-2</v>
      </c>
      <c r="DA17" s="59">
        <f t="shared" si="5"/>
        <v>5.1450287971054748E-2</v>
      </c>
      <c r="DB17" s="59">
        <f t="shared" si="5"/>
        <v>5.1450287971054748E-2</v>
      </c>
      <c r="DC17" s="59">
        <f t="shared" si="5"/>
        <v>5.1450287971054748E-2</v>
      </c>
      <c r="DD17" s="59">
        <f t="shared" si="5"/>
        <v>5.1450287971054748E-2</v>
      </c>
      <c r="DE17" s="134">
        <v>5.1450287971054748E-2</v>
      </c>
      <c r="DF17" s="59">
        <f t="shared" si="6"/>
        <v>5.1943005912704232E-2</v>
      </c>
      <c r="DG17" s="59">
        <f t="shared" si="6"/>
        <v>5.1943005912704232E-2</v>
      </c>
      <c r="DH17" s="59">
        <f t="shared" si="6"/>
        <v>5.1943005912704232E-2</v>
      </c>
      <c r="DI17" s="59">
        <f t="shared" si="6"/>
        <v>5.1943005912704232E-2</v>
      </c>
      <c r="DJ17" s="134">
        <v>5.1943005912704232E-2</v>
      </c>
      <c r="DK17" s="59">
        <f t="shared" si="7"/>
        <v>5.2440442408507579E-2</v>
      </c>
      <c r="DL17" s="59">
        <f t="shared" si="7"/>
        <v>5.2440442408507579E-2</v>
      </c>
      <c r="DM17" s="59">
        <f t="shared" si="7"/>
        <v>5.2440442408507579E-2</v>
      </c>
      <c r="DN17" s="59">
        <f t="shared" si="7"/>
        <v>5.2440442408507579E-2</v>
      </c>
      <c r="DO17" s="134">
        <v>5.2440442408507579E-2</v>
      </c>
      <c r="DP17" s="59">
        <f t="shared" si="8"/>
        <v>5.2942642646089222E-2</v>
      </c>
      <c r="DQ17" s="59">
        <f t="shared" si="8"/>
        <v>5.2942642646089222E-2</v>
      </c>
      <c r="DR17" s="59">
        <f t="shared" si="8"/>
        <v>5.2942642646089222E-2</v>
      </c>
      <c r="DS17" s="59">
        <f t="shared" si="8"/>
        <v>5.2942642646089222E-2</v>
      </c>
      <c r="DT17" s="134">
        <v>5.2942642646089222E-2</v>
      </c>
      <c r="DU17" s="59">
        <f t="shared" si="9"/>
        <v>5.3449652245816645E-2</v>
      </c>
      <c r="DV17" s="59">
        <f t="shared" si="9"/>
        <v>5.3449652245816645E-2</v>
      </c>
      <c r="DW17" s="59">
        <f t="shared" si="9"/>
        <v>5.3449652245816645E-2</v>
      </c>
      <c r="DX17" s="59">
        <f t="shared" si="9"/>
        <v>5.3449652245816645E-2</v>
      </c>
      <c r="DY17" s="134">
        <v>5.3449652245816645E-2</v>
      </c>
      <c r="DZ17" s="59">
        <f t="shared" si="10"/>
        <v>5.3961517264944539E-2</v>
      </c>
      <c r="EA17" s="59">
        <f t="shared" si="10"/>
        <v>5.3961517264944539E-2</v>
      </c>
      <c r="EB17" s="59">
        <f t="shared" si="10"/>
        <v>5.3961517264944539E-2</v>
      </c>
      <c r="EC17" s="59">
        <f t="shared" si="10"/>
        <v>5.3961517264944539E-2</v>
      </c>
      <c r="ED17" s="134">
        <v>5.3961517264944539E-2</v>
      </c>
      <c r="EE17" s="59">
        <f t="shared" si="11"/>
        <v>5.4478284201798691E-2</v>
      </c>
      <c r="EF17" s="59">
        <f t="shared" si="11"/>
        <v>5.4478284201798691E-2</v>
      </c>
      <c r="EG17" s="59">
        <f t="shared" si="11"/>
        <v>5.4478284201798691E-2</v>
      </c>
      <c r="EH17" s="59">
        <f t="shared" si="11"/>
        <v>5.4478284201798691E-2</v>
      </c>
      <c r="EI17" s="134">
        <v>5.4478284201798691E-2</v>
      </c>
      <c r="EJ17" s="59">
        <f t="shared" si="12"/>
        <v>5.5E-2</v>
      </c>
      <c r="EK17" s="59">
        <f t="shared" si="12"/>
        <v>5.5E-2</v>
      </c>
      <c r="EL17" s="59">
        <f t="shared" si="12"/>
        <v>5.5E-2</v>
      </c>
      <c r="EM17" s="59">
        <f t="shared" si="12"/>
        <v>5.5E-2</v>
      </c>
      <c r="EN17" s="134">
        <v>5.5E-2</v>
      </c>
      <c r="EO17" s="59">
        <f t="shared" si="13"/>
        <v>5.5E-2</v>
      </c>
      <c r="EP17" s="59">
        <f t="shared" si="13"/>
        <v>5.5E-2</v>
      </c>
      <c r="EQ17" s="59">
        <f t="shared" si="13"/>
        <v>5.5E-2</v>
      </c>
      <c r="ER17" s="59">
        <f t="shared" si="13"/>
        <v>5.5E-2</v>
      </c>
      <c r="ES17" s="134">
        <f>EN17</f>
        <v>5.5E-2</v>
      </c>
      <c r="ET17" s="59">
        <f t="shared" si="14"/>
        <v>5.5E-2</v>
      </c>
      <c r="EU17" s="59">
        <f t="shared" si="14"/>
        <v>5.5E-2</v>
      </c>
      <c r="EV17" s="59">
        <f t="shared" si="14"/>
        <v>5.5E-2</v>
      </c>
      <c r="EW17" s="59">
        <f t="shared" si="14"/>
        <v>5.5E-2</v>
      </c>
      <c r="EX17" s="134">
        <f>ES17</f>
        <v>5.5E-2</v>
      </c>
      <c r="EY17" s="59">
        <f t="shared" si="15"/>
        <v>5.5E-2</v>
      </c>
      <c r="EZ17" s="59">
        <f t="shared" si="15"/>
        <v>5.5E-2</v>
      </c>
      <c r="FA17" s="59">
        <f t="shared" si="15"/>
        <v>5.5E-2</v>
      </c>
      <c r="FB17" s="59">
        <f t="shared" si="15"/>
        <v>5.5E-2</v>
      </c>
      <c r="FC17" s="134">
        <f>EX17</f>
        <v>5.5E-2</v>
      </c>
      <c r="FD17" s="59">
        <f t="shared" si="16"/>
        <v>5.5E-2</v>
      </c>
      <c r="FE17" s="59">
        <f t="shared" si="16"/>
        <v>5.5E-2</v>
      </c>
      <c r="FF17" s="59">
        <f t="shared" si="16"/>
        <v>5.5E-2</v>
      </c>
      <c r="FG17" s="59">
        <f t="shared" si="16"/>
        <v>5.5E-2</v>
      </c>
      <c r="FH17" s="134">
        <f>FC17</f>
        <v>5.5E-2</v>
      </c>
      <c r="FI17" s="59">
        <f t="shared" si="17"/>
        <v>5.5E-2</v>
      </c>
      <c r="FJ17" s="59">
        <f t="shared" si="17"/>
        <v>5.5E-2</v>
      </c>
      <c r="FK17" s="59">
        <f t="shared" si="17"/>
        <v>5.5E-2</v>
      </c>
      <c r="FL17" s="59">
        <f t="shared" si="17"/>
        <v>5.5E-2</v>
      </c>
      <c r="FM17" s="134">
        <f>FH17</f>
        <v>5.5E-2</v>
      </c>
      <c r="FN17" s="59">
        <f t="shared" si="18"/>
        <v>5.5E-2</v>
      </c>
      <c r="FO17" s="59">
        <f t="shared" si="18"/>
        <v>5.5E-2</v>
      </c>
      <c r="FP17" s="59">
        <f t="shared" si="18"/>
        <v>5.5E-2</v>
      </c>
      <c r="FQ17" s="59">
        <f t="shared" si="18"/>
        <v>5.5E-2</v>
      </c>
      <c r="FR17" s="134">
        <f>FM17</f>
        <v>5.5E-2</v>
      </c>
      <c r="FS17" s="59">
        <f t="shared" si="19"/>
        <v>5.5E-2</v>
      </c>
      <c r="FT17" s="59">
        <f t="shared" si="19"/>
        <v>5.5E-2</v>
      </c>
      <c r="FU17" s="59">
        <f t="shared" si="19"/>
        <v>5.5E-2</v>
      </c>
      <c r="FV17" s="59">
        <f t="shared" si="19"/>
        <v>5.5E-2</v>
      </c>
      <c r="FW17" s="134">
        <f>FR17</f>
        <v>5.5E-2</v>
      </c>
      <c r="FX17" s="59">
        <f t="shared" si="20"/>
        <v>5.5E-2</v>
      </c>
      <c r="FY17" s="59">
        <f t="shared" si="20"/>
        <v>5.5E-2</v>
      </c>
      <c r="FZ17" s="59">
        <f t="shared" si="20"/>
        <v>5.5E-2</v>
      </c>
      <c r="GA17" s="59">
        <f t="shared" si="20"/>
        <v>5.5E-2</v>
      </c>
      <c r="GB17" s="134">
        <f>FW17</f>
        <v>5.5E-2</v>
      </c>
    </row>
    <row r="18" spans="1:184" s="18" customFormat="1">
      <c r="A18" s="54">
        <f t="shared" si="0"/>
        <v>14</v>
      </c>
      <c r="B18" s="22" t="s">
        <v>383</v>
      </c>
      <c r="C18" s="134">
        <v>1.8990189901898873E-2</v>
      </c>
      <c r="D18" s="134">
        <v>3.2171877760113009E-2</v>
      </c>
      <c r="E18" s="135">
        <v>1.6583272520193537E-2</v>
      </c>
      <c r="F18" s="135">
        <v>4.9736844624050924E-3</v>
      </c>
      <c r="G18" s="135">
        <v>5.9339965038374132E-4</v>
      </c>
      <c r="H18" s="135">
        <v>8.8177529341491034E-3</v>
      </c>
      <c r="I18" s="136">
        <v>7.6371804471067149E-3</v>
      </c>
      <c r="J18" s="137">
        <v>3.3981432825363367E-2</v>
      </c>
      <c r="K18" s="135">
        <v>5.4002760524499704E-2</v>
      </c>
      <c r="L18" s="135">
        <v>5.2910052910053018E-2</v>
      </c>
      <c r="M18" s="135">
        <v>5.8350430857611935E-2</v>
      </c>
      <c r="N18" s="134">
        <v>4.9997876947900297E-2</v>
      </c>
      <c r="O18" s="135">
        <v>4.5824157208199212E-2</v>
      </c>
      <c r="P18" s="135">
        <v>4.2887542969389347E-2</v>
      </c>
      <c r="Q18" s="135">
        <v>3.5335407194703627E-2</v>
      </c>
      <c r="R18" s="135">
        <v>2.3960918114144025E-2</v>
      </c>
      <c r="S18" s="134">
        <v>3.6738985381240069E-2</v>
      </c>
      <c r="T18" s="135">
        <v>4.5274155665343763E-2</v>
      </c>
      <c r="U18" s="135">
        <v>3.5708679956050871E-2</v>
      </c>
      <c r="V18" s="135">
        <v>4.3220338983050777E-2</v>
      </c>
      <c r="W18" s="135">
        <v>4.5285876561908189E-2</v>
      </c>
      <c r="X18" s="134">
        <v>4.2380153684128175E-2</v>
      </c>
      <c r="Y18" s="135">
        <v>5.9119789245312138E-2</v>
      </c>
      <c r="Z18" s="135">
        <v>6.2893081761006275E-2</v>
      </c>
      <c r="AA18" s="135">
        <v>5.8045934569086688E-2</v>
      </c>
      <c r="AB18" s="135">
        <v>6.542056074766367E-2</v>
      </c>
      <c r="AC18" s="134">
        <v>6.1406627125937946E-2</v>
      </c>
      <c r="AD18" s="135">
        <v>5.5527105128392762E-2</v>
      </c>
      <c r="AE18" s="135">
        <v>5.9171597633135953E-2</v>
      </c>
      <c r="AF18" s="135">
        <v>6.3865428910448552E-2</v>
      </c>
      <c r="AG18" s="135">
        <v>1.9991840065279431E-2</v>
      </c>
      <c r="AH18" s="134">
        <v>4.932221615046984E-2</v>
      </c>
      <c r="AI18" s="135">
        <v>9.1488771832546334E-3</v>
      </c>
      <c r="AJ18" s="135">
        <v>6.8654506293330808E-3</v>
      </c>
      <c r="AK18" s="135">
        <v>1.4105760398897882E-2</v>
      </c>
      <c r="AL18" s="135">
        <v>5.4200000000000026E-2</v>
      </c>
      <c r="AM18" s="134">
        <v>2.1200463655148098E-2</v>
      </c>
      <c r="AN18" s="135">
        <v>6.2019230769230882E-2</v>
      </c>
      <c r="AO18" s="135">
        <v>5.8493214787084691E-2</v>
      </c>
      <c r="AP18" s="135">
        <v>5.2015268163291939E-2</v>
      </c>
      <c r="AQ18" s="135">
        <v>4.7872004047302852E-2</v>
      </c>
      <c r="AR18" s="134">
        <v>5.4927700735330376E-2</v>
      </c>
      <c r="AS18" s="135">
        <v>3.9707689322900031E-2</v>
      </c>
      <c r="AT18" s="135">
        <v>3.7008968043450663E-2</v>
      </c>
      <c r="AU18" s="135">
        <v>1.980198019801982E-2</v>
      </c>
      <c r="AV18" s="135">
        <v>1.3855564033614209E-2</v>
      </c>
      <c r="AW18" s="134">
        <v>2.730731251630969E-2</v>
      </c>
      <c r="AX18" s="135">
        <v>2.6918879436863552E-2</v>
      </c>
      <c r="AY18" s="135">
        <v>2.8659308492990254E-2</v>
      </c>
      <c r="AZ18" s="135">
        <v>3.692629251379298E-2</v>
      </c>
      <c r="BA18" s="135">
        <v>4.6856299949026292E-2</v>
      </c>
      <c r="BB18" s="134">
        <v>3.4955811460140707E-2</v>
      </c>
      <c r="BC18" s="135">
        <v>4.5393261994208567E-2</v>
      </c>
      <c r="BD18" s="135">
        <v>4.6735934334243723E-2</v>
      </c>
      <c r="BE18" s="135">
        <v>5.1016171419381084E-2</v>
      </c>
      <c r="BF18" s="135">
        <v>3.8461663316973427E-2</v>
      </c>
      <c r="BG18" s="134">
        <v>4.5355997510609702E-2</v>
      </c>
      <c r="BH18" s="135">
        <v>4.4000000000000004E-2</v>
      </c>
      <c r="BI18" s="135">
        <v>4.3999999999999997E-2</v>
      </c>
      <c r="BJ18" s="135">
        <v>4.3999999999999997E-2</v>
      </c>
      <c r="BK18" s="135">
        <v>4.3999999999999997E-2</v>
      </c>
      <c r="BL18" s="134">
        <v>4.4249999999999998E-2</v>
      </c>
      <c r="BM18" s="135">
        <v>4.7E-2</v>
      </c>
      <c r="BN18" s="135">
        <v>4.7E-2</v>
      </c>
      <c r="BO18" s="135">
        <v>4.7E-2</v>
      </c>
      <c r="BP18" s="135">
        <v>4.7E-2</v>
      </c>
      <c r="BQ18" s="134">
        <v>4.6500000000000007E-2</v>
      </c>
      <c r="BR18" s="135">
        <v>0.05</v>
      </c>
      <c r="BS18" s="135">
        <v>0.05</v>
      </c>
      <c r="BT18" s="135">
        <v>0.05</v>
      </c>
      <c r="BU18" s="135">
        <v>0.05</v>
      </c>
      <c r="BV18" s="134">
        <v>0.05</v>
      </c>
      <c r="BW18" s="135">
        <v>4.7E-2</v>
      </c>
      <c r="BX18" s="135">
        <v>4.7E-2</v>
      </c>
      <c r="BY18" s="135">
        <v>4.7E-2</v>
      </c>
      <c r="BZ18" s="135">
        <v>4.7E-2</v>
      </c>
      <c r="CA18" s="134">
        <v>4.7E-2</v>
      </c>
      <c r="CB18" s="135">
        <v>4.8000000000000001E-2</v>
      </c>
      <c r="CC18" s="135">
        <v>4.8000000000000001E-2</v>
      </c>
      <c r="CD18" s="135">
        <v>4.8000000000000001E-2</v>
      </c>
      <c r="CE18" s="135">
        <v>4.8000000000000001E-2</v>
      </c>
      <c r="CF18" s="134">
        <v>4.8000000000000001E-2</v>
      </c>
      <c r="CG18" s="135">
        <v>4.9000000000000002E-2</v>
      </c>
      <c r="CH18" s="135">
        <v>4.9000000000000002E-2</v>
      </c>
      <c r="CI18" s="135">
        <v>4.9000000000000002E-2</v>
      </c>
      <c r="CJ18" s="135">
        <v>4.9000000000000002E-2</v>
      </c>
      <c r="CK18" s="134">
        <v>4.9000000000000002E-2</v>
      </c>
      <c r="CL18" s="135">
        <v>0.05</v>
      </c>
      <c r="CM18" s="135">
        <v>0.05</v>
      </c>
      <c r="CN18" s="135">
        <v>0.05</v>
      </c>
      <c r="CO18" s="135">
        <v>0.05</v>
      </c>
      <c r="CP18" s="134">
        <v>0.05</v>
      </c>
      <c r="CQ18" s="59">
        <f t="shared" si="3"/>
        <v>5.0478829138844356E-2</v>
      </c>
      <c r="CR18" s="59">
        <f t="shared" si="3"/>
        <v>5.0478829138844356E-2</v>
      </c>
      <c r="CS18" s="59">
        <f t="shared" si="3"/>
        <v>5.0478829138844356E-2</v>
      </c>
      <c r="CT18" s="59">
        <f t="shared" si="3"/>
        <v>5.0478829138844356E-2</v>
      </c>
      <c r="CU18" s="134">
        <v>5.0478829138844356E-2</v>
      </c>
      <c r="CV18" s="59">
        <f t="shared" si="4"/>
        <v>5.0962243824572831E-2</v>
      </c>
      <c r="CW18" s="59">
        <f t="shared" si="4"/>
        <v>5.0962243824572831E-2</v>
      </c>
      <c r="CX18" s="59">
        <f t="shared" si="4"/>
        <v>5.0962243824572831E-2</v>
      </c>
      <c r="CY18" s="59">
        <f t="shared" si="4"/>
        <v>5.0962243824572831E-2</v>
      </c>
      <c r="CZ18" s="134">
        <v>5.0962243824572831E-2</v>
      </c>
      <c r="DA18" s="59">
        <f t="shared" si="5"/>
        <v>5.1450287971054748E-2</v>
      </c>
      <c r="DB18" s="59">
        <f t="shared" si="5"/>
        <v>5.1450287971054748E-2</v>
      </c>
      <c r="DC18" s="59">
        <f t="shared" si="5"/>
        <v>5.1450287971054748E-2</v>
      </c>
      <c r="DD18" s="59">
        <f t="shared" si="5"/>
        <v>5.1450287971054748E-2</v>
      </c>
      <c r="DE18" s="134">
        <v>5.1450287971054748E-2</v>
      </c>
      <c r="DF18" s="59">
        <f t="shared" si="6"/>
        <v>5.1943005912704232E-2</v>
      </c>
      <c r="DG18" s="59">
        <f t="shared" si="6"/>
        <v>5.1943005912704232E-2</v>
      </c>
      <c r="DH18" s="59">
        <f t="shared" si="6"/>
        <v>5.1943005912704232E-2</v>
      </c>
      <c r="DI18" s="59">
        <f t="shared" si="6"/>
        <v>5.1943005912704232E-2</v>
      </c>
      <c r="DJ18" s="134">
        <v>5.1943005912704232E-2</v>
      </c>
      <c r="DK18" s="59">
        <f t="shared" si="7"/>
        <v>5.2440442408507579E-2</v>
      </c>
      <c r="DL18" s="59">
        <f t="shared" si="7"/>
        <v>5.2440442408507579E-2</v>
      </c>
      <c r="DM18" s="59">
        <f t="shared" si="7"/>
        <v>5.2440442408507579E-2</v>
      </c>
      <c r="DN18" s="59">
        <f t="shared" si="7"/>
        <v>5.2440442408507579E-2</v>
      </c>
      <c r="DO18" s="134">
        <v>5.2440442408507579E-2</v>
      </c>
      <c r="DP18" s="59">
        <f t="shared" si="8"/>
        <v>5.2942642646089222E-2</v>
      </c>
      <c r="DQ18" s="59">
        <f t="shared" si="8"/>
        <v>5.2942642646089222E-2</v>
      </c>
      <c r="DR18" s="59">
        <f t="shared" si="8"/>
        <v>5.2942642646089222E-2</v>
      </c>
      <c r="DS18" s="59">
        <f t="shared" si="8"/>
        <v>5.2942642646089222E-2</v>
      </c>
      <c r="DT18" s="134">
        <v>5.2942642646089222E-2</v>
      </c>
      <c r="DU18" s="59">
        <f t="shared" si="9"/>
        <v>5.3449652245816645E-2</v>
      </c>
      <c r="DV18" s="59">
        <f t="shared" si="9"/>
        <v>5.3449652245816645E-2</v>
      </c>
      <c r="DW18" s="59">
        <f t="shared" si="9"/>
        <v>5.3449652245816645E-2</v>
      </c>
      <c r="DX18" s="59">
        <f t="shared" si="9"/>
        <v>5.3449652245816645E-2</v>
      </c>
      <c r="DY18" s="134">
        <v>5.3449652245816645E-2</v>
      </c>
      <c r="DZ18" s="59">
        <f t="shared" si="10"/>
        <v>5.3961517264944539E-2</v>
      </c>
      <c r="EA18" s="59">
        <f t="shared" si="10"/>
        <v>5.3961517264944539E-2</v>
      </c>
      <c r="EB18" s="59">
        <f t="shared" si="10"/>
        <v>5.3961517264944539E-2</v>
      </c>
      <c r="EC18" s="59">
        <f t="shared" si="10"/>
        <v>5.3961517264944539E-2</v>
      </c>
      <c r="ED18" s="134">
        <v>5.3961517264944539E-2</v>
      </c>
      <c r="EE18" s="59">
        <f t="shared" si="11"/>
        <v>5.4478284201798691E-2</v>
      </c>
      <c r="EF18" s="59">
        <f t="shared" si="11"/>
        <v>5.4478284201798691E-2</v>
      </c>
      <c r="EG18" s="59">
        <f t="shared" si="11"/>
        <v>5.4478284201798691E-2</v>
      </c>
      <c r="EH18" s="59">
        <f t="shared" si="11"/>
        <v>5.4478284201798691E-2</v>
      </c>
      <c r="EI18" s="134">
        <v>5.4478284201798691E-2</v>
      </c>
      <c r="EJ18" s="59">
        <f t="shared" si="12"/>
        <v>5.5E-2</v>
      </c>
      <c r="EK18" s="59">
        <f t="shared" si="12"/>
        <v>5.5E-2</v>
      </c>
      <c r="EL18" s="59">
        <f t="shared" si="12"/>
        <v>5.5E-2</v>
      </c>
      <c r="EM18" s="59">
        <f t="shared" si="12"/>
        <v>5.5E-2</v>
      </c>
      <c r="EN18" s="134">
        <v>5.5E-2</v>
      </c>
      <c r="EO18" s="59">
        <f t="shared" si="13"/>
        <v>5.5E-2</v>
      </c>
      <c r="EP18" s="59">
        <f t="shared" si="13"/>
        <v>5.5E-2</v>
      </c>
      <c r="EQ18" s="59">
        <f t="shared" si="13"/>
        <v>5.5E-2</v>
      </c>
      <c r="ER18" s="59">
        <f t="shared" si="13"/>
        <v>5.5E-2</v>
      </c>
      <c r="ES18" s="134">
        <f>EN18</f>
        <v>5.5E-2</v>
      </c>
      <c r="ET18" s="59">
        <f t="shared" si="14"/>
        <v>5.5E-2</v>
      </c>
      <c r="EU18" s="59">
        <f t="shared" si="14"/>
        <v>5.5E-2</v>
      </c>
      <c r="EV18" s="59">
        <f t="shared" si="14"/>
        <v>5.5E-2</v>
      </c>
      <c r="EW18" s="59">
        <f t="shared" si="14"/>
        <v>5.5E-2</v>
      </c>
      <c r="EX18" s="134">
        <f>ES18</f>
        <v>5.5E-2</v>
      </c>
      <c r="EY18" s="59">
        <f t="shared" si="15"/>
        <v>5.5E-2</v>
      </c>
      <c r="EZ18" s="59">
        <f t="shared" si="15"/>
        <v>5.5E-2</v>
      </c>
      <c r="FA18" s="59">
        <f t="shared" si="15"/>
        <v>5.5E-2</v>
      </c>
      <c r="FB18" s="59">
        <f t="shared" si="15"/>
        <v>5.5E-2</v>
      </c>
      <c r="FC18" s="134">
        <f>EX18</f>
        <v>5.5E-2</v>
      </c>
      <c r="FD18" s="59">
        <f t="shared" si="16"/>
        <v>5.5E-2</v>
      </c>
      <c r="FE18" s="59">
        <f t="shared" si="16"/>
        <v>5.5E-2</v>
      </c>
      <c r="FF18" s="59">
        <f t="shared" si="16"/>
        <v>5.5E-2</v>
      </c>
      <c r="FG18" s="59">
        <f t="shared" si="16"/>
        <v>5.5E-2</v>
      </c>
      <c r="FH18" s="134">
        <f>FC18</f>
        <v>5.5E-2</v>
      </c>
      <c r="FI18" s="59">
        <f t="shared" si="17"/>
        <v>5.5E-2</v>
      </c>
      <c r="FJ18" s="59">
        <f t="shared" si="17"/>
        <v>5.5E-2</v>
      </c>
      <c r="FK18" s="59">
        <f t="shared" si="17"/>
        <v>5.5E-2</v>
      </c>
      <c r="FL18" s="59">
        <f t="shared" si="17"/>
        <v>5.5E-2</v>
      </c>
      <c r="FM18" s="134">
        <f>FH18</f>
        <v>5.5E-2</v>
      </c>
      <c r="FN18" s="59">
        <f t="shared" si="18"/>
        <v>5.5E-2</v>
      </c>
      <c r="FO18" s="59">
        <f t="shared" si="18"/>
        <v>5.5E-2</v>
      </c>
      <c r="FP18" s="59">
        <f t="shared" si="18"/>
        <v>5.5E-2</v>
      </c>
      <c r="FQ18" s="59">
        <f t="shared" si="18"/>
        <v>5.5E-2</v>
      </c>
      <c r="FR18" s="134">
        <f>FM18</f>
        <v>5.5E-2</v>
      </c>
      <c r="FS18" s="59">
        <f t="shared" si="19"/>
        <v>5.5E-2</v>
      </c>
      <c r="FT18" s="59">
        <f t="shared" si="19"/>
        <v>5.5E-2</v>
      </c>
      <c r="FU18" s="59">
        <f t="shared" si="19"/>
        <v>5.5E-2</v>
      </c>
      <c r="FV18" s="59">
        <f t="shared" si="19"/>
        <v>5.5E-2</v>
      </c>
      <c r="FW18" s="134">
        <f>FR18</f>
        <v>5.5E-2</v>
      </c>
      <c r="FX18" s="59">
        <f t="shared" si="20"/>
        <v>5.5E-2</v>
      </c>
      <c r="FY18" s="59">
        <f t="shared" si="20"/>
        <v>5.5E-2</v>
      </c>
      <c r="FZ18" s="59">
        <f t="shared" si="20"/>
        <v>5.5E-2</v>
      </c>
      <c r="GA18" s="59">
        <f t="shared" si="20"/>
        <v>5.5E-2</v>
      </c>
      <c r="GB18" s="134">
        <f>FW18</f>
        <v>5.5E-2</v>
      </c>
    </row>
    <row r="19" spans="1:184" s="18" customFormat="1">
      <c r="A19" s="54">
        <f t="shared" si="0"/>
        <v>15</v>
      </c>
      <c r="B19" s="22" t="s">
        <v>384</v>
      </c>
      <c r="C19" s="134">
        <v>6.8238494672409897E-3</v>
      </c>
      <c r="D19" s="134">
        <v>1.9251987120307776E-2</v>
      </c>
      <c r="E19" s="135">
        <v>8.1498700609623498E-3</v>
      </c>
      <c r="F19" s="135">
        <v>-2.9743492328186738E-2</v>
      </c>
      <c r="G19" s="135">
        <v>-1.5255744542661875E-2</v>
      </c>
      <c r="H19" s="135">
        <v>6.5524326221206852E-3</v>
      </c>
      <c r="I19" s="136">
        <v>-7.7541642734060192E-3</v>
      </c>
      <c r="J19" s="137">
        <v>7.3384642921068277E-3</v>
      </c>
      <c r="K19" s="135">
        <v>2.8034863869170534E-2</v>
      </c>
      <c r="L19" s="135">
        <v>4.6123824729465968E-2</v>
      </c>
      <c r="M19" s="135">
        <v>7.0735579467278376E-2</v>
      </c>
      <c r="N19" s="134">
        <v>3.820549927641096E-2</v>
      </c>
      <c r="O19" s="135">
        <v>4.7885572139303445E-2</v>
      </c>
      <c r="P19" s="135">
        <v>5.3317017743204298E-2</v>
      </c>
      <c r="Q19" s="135">
        <v>4.31575377310498E-2</v>
      </c>
      <c r="R19" s="135">
        <v>3.5008237232289963E-2</v>
      </c>
      <c r="S19" s="134">
        <v>4.466985481761071E-2</v>
      </c>
      <c r="T19" s="135">
        <v>5.3666807969478647E-2</v>
      </c>
      <c r="U19" s="135">
        <v>5.2858683926644945E-2</v>
      </c>
      <c r="V19" s="135">
        <v>5.1694708607656459E-2</v>
      </c>
      <c r="W19" s="135">
        <v>4.974134500596894E-2</v>
      </c>
      <c r="X19" s="134">
        <v>5.1956316459333893E-2</v>
      </c>
      <c r="Y19" s="135">
        <v>6.1795944641132916E-2</v>
      </c>
      <c r="Z19" s="135">
        <v>5.989911727616648E-2</v>
      </c>
      <c r="AA19" s="135">
        <v>5.5568436509776831E-2</v>
      </c>
      <c r="AB19" s="135">
        <v>6.5579984836997784E-2</v>
      </c>
      <c r="AC19" s="134">
        <v>6.0727875890330692E-2</v>
      </c>
      <c r="AD19" s="135">
        <v>5.9336162473476728E-2</v>
      </c>
      <c r="AE19" s="135">
        <v>6.4619274241522806E-2</v>
      </c>
      <c r="AF19" s="135">
        <v>7.6951237370039394E-2</v>
      </c>
      <c r="AG19" s="135">
        <v>2.6965492707221594E-2</v>
      </c>
      <c r="AH19" s="134">
        <v>5.6699229170116328E-2</v>
      </c>
      <c r="AI19" s="135">
        <v>2.2605336576293045E-2</v>
      </c>
      <c r="AJ19" s="135">
        <v>3.226933016693434E-2</v>
      </c>
      <c r="AK19" s="135">
        <v>4.6570127133047645E-2</v>
      </c>
      <c r="AL19" s="135">
        <v>7.5377580712207237E-2</v>
      </c>
      <c r="AM19" s="134">
        <v>4.4412333083793387E-2</v>
      </c>
      <c r="AN19" s="135">
        <v>8.4644980762504485E-2</v>
      </c>
      <c r="AO19" s="135">
        <v>6.1573854793964378E-2</v>
      </c>
      <c r="AP19" s="135">
        <v>5.9113940496297257E-2</v>
      </c>
      <c r="AQ19" s="135">
        <v>7.3186445045741566E-2</v>
      </c>
      <c r="AR19" s="134">
        <v>6.9444907484580931E-2</v>
      </c>
      <c r="AS19" s="135">
        <v>6.0045146726862342E-2</v>
      </c>
      <c r="AT19" s="135">
        <v>5.6153993243673872E-2</v>
      </c>
      <c r="AU19" s="135">
        <v>2.8029931305201261E-2</v>
      </c>
      <c r="AV19" s="135">
        <v>2.1470093559526449E-2</v>
      </c>
      <c r="AW19" s="134">
        <v>4.0924071861840883E-2</v>
      </c>
      <c r="AX19" s="135">
        <v>3.3999797227218576E-2</v>
      </c>
      <c r="AY19" s="135">
        <v>5.4112958743239847E-2</v>
      </c>
      <c r="AZ19" s="135">
        <v>5.7646975337946493E-2</v>
      </c>
      <c r="BA19" s="135">
        <v>5.2955779760385235E-2</v>
      </c>
      <c r="BB19" s="134">
        <v>4.9754942690597881E-2</v>
      </c>
      <c r="BC19" s="135">
        <v>4.488681816817941E-2</v>
      </c>
      <c r="BD19" s="135">
        <v>5.3814783623167051E-2</v>
      </c>
      <c r="BE19" s="135">
        <v>5.351267271337723E-2</v>
      </c>
      <c r="BF19" s="135">
        <v>5.6282452119150728E-2</v>
      </c>
      <c r="BG19" s="134">
        <v>5.2204743486607086E-2</v>
      </c>
      <c r="BH19" s="135">
        <v>4.4000000000000004E-2</v>
      </c>
      <c r="BI19" s="135">
        <v>4.3999999999999997E-2</v>
      </c>
      <c r="BJ19" s="135">
        <v>4.3999999999999997E-2</v>
      </c>
      <c r="BK19" s="135">
        <v>4.3999999999999997E-2</v>
      </c>
      <c r="BL19" s="134">
        <v>4.3999999999999997E-2</v>
      </c>
      <c r="BM19" s="135">
        <v>4.7E-2</v>
      </c>
      <c r="BN19" s="135">
        <v>4.7E-2</v>
      </c>
      <c r="BO19" s="135">
        <v>4.7E-2</v>
      </c>
      <c r="BP19" s="135">
        <v>4.7E-2</v>
      </c>
      <c r="BQ19" s="134">
        <v>4.7E-2</v>
      </c>
      <c r="BR19" s="135">
        <v>0.05</v>
      </c>
      <c r="BS19" s="135">
        <v>0.05</v>
      </c>
      <c r="BT19" s="135">
        <v>0.05</v>
      </c>
      <c r="BU19" s="135">
        <v>0.05</v>
      </c>
      <c r="BV19" s="134">
        <v>0.05</v>
      </c>
      <c r="BW19" s="135">
        <v>4.7E-2</v>
      </c>
      <c r="BX19" s="135">
        <v>4.7E-2</v>
      </c>
      <c r="BY19" s="135">
        <v>4.7E-2</v>
      </c>
      <c r="BZ19" s="135">
        <v>4.7E-2</v>
      </c>
      <c r="CA19" s="134">
        <v>4.7E-2</v>
      </c>
      <c r="CB19" s="135">
        <v>4.8000000000000001E-2</v>
      </c>
      <c r="CC19" s="135">
        <v>4.8000000000000001E-2</v>
      </c>
      <c r="CD19" s="135">
        <v>4.8000000000000001E-2</v>
      </c>
      <c r="CE19" s="135">
        <v>4.8000000000000001E-2</v>
      </c>
      <c r="CF19" s="134">
        <v>4.8000000000000001E-2</v>
      </c>
      <c r="CG19" s="135">
        <v>4.9000000000000002E-2</v>
      </c>
      <c r="CH19" s="135">
        <v>4.9000000000000002E-2</v>
      </c>
      <c r="CI19" s="135">
        <v>4.9000000000000002E-2</v>
      </c>
      <c r="CJ19" s="135">
        <v>4.9000000000000002E-2</v>
      </c>
      <c r="CK19" s="134">
        <v>4.9000000000000002E-2</v>
      </c>
      <c r="CL19" s="135">
        <v>0.05</v>
      </c>
      <c r="CM19" s="135">
        <v>0.05</v>
      </c>
      <c r="CN19" s="135">
        <v>0.05</v>
      </c>
      <c r="CO19" s="135">
        <v>0.05</v>
      </c>
      <c r="CP19" s="134">
        <v>0.05</v>
      </c>
      <c r="CQ19" s="59">
        <f t="shared" si="3"/>
        <v>5.0478829138844356E-2</v>
      </c>
      <c r="CR19" s="59">
        <f t="shared" si="3"/>
        <v>5.0478829138844356E-2</v>
      </c>
      <c r="CS19" s="59">
        <f t="shared" si="3"/>
        <v>5.0478829138844356E-2</v>
      </c>
      <c r="CT19" s="59">
        <f t="shared" si="3"/>
        <v>5.0478829138844356E-2</v>
      </c>
      <c r="CU19" s="134">
        <v>5.0478829138844356E-2</v>
      </c>
      <c r="CV19" s="59">
        <f t="shared" si="4"/>
        <v>5.0962243824572831E-2</v>
      </c>
      <c r="CW19" s="59">
        <f t="shared" si="4"/>
        <v>5.0962243824572831E-2</v>
      </c>
      <c r="CX19" s="59">
        <f t="shared" si="4"/>
        <v>5.0962243824572831E-2</v>
      </c>
      <c r="CY19" s="59">
        <f t="shared" si="4"/>
        <v>5.0962243824572831E-2</v>
      </c>
      <c r="CZ19" s="134">
        <v>5.0962243824572831E-2</v>
      </c>
      <c r="DA19" s="59">
        <f t="shared" si="5"/>
        <v>5.1450287971054748E-2</v>
      </c>
      <c r="DB19" s="59">
        <f t="shared" si="5"/>
        <v>5.1450287971054748E-2</v>
      </c>
      <c r="DC19" s="59">
        <f t="shared" si="5"/>
        <v>5.1450287971054748E-2</v>
      </c>
      <c r="DD19" s="59">
        <f t="shared" si="5"/>
        <v>5.1450287971054748E-2</v>
      </c>
      <c r="DE19" s="134">
        <v>5.1450287971054748E-2</v>
      </c>
      <c r="DF19" s="59">
        <f t="shared" si="6"/>
        <v>5.1943005912704232E-2</v>
      </c>
      <c r="DG19" s="59">
        <f t="shared" si="6"/>
        <v>5.1943005912704232E-2</v>
      </c>
      <c r="DH19" s="59">
        <f t="shared" si="6"/>
        <v>5.1943005912704232E-2</v>
      </c>
      <c r="DI19" s="59">
        <f t="shared" si="6"/>
        <v>5.1943005912704232E-2</v>
      </c>
      <c r="DJ19" s="134">
        <v>5.1943005912704232E-2</v>
      </c>
      <c r="DK19" s="59">
        <f t="shared" si="7"/>
        <v>5.2440442408507579E-2</v>
      </c>
      <c r="DL19" s="59">
        <f t="shared" si="7"/>
        <v>5.2440442408507579E-2</v>
      </c>
      <c r="DM19" s="59">
        <f t="shared" si="7"/>
        <v>5.2440442408507579E-2</v>
      </c>
      <c r="DN19" s="59">
        <f t="shared" si="7"/>
        <v>5.2440442408507579E-2</v>
      </c>
      <c r="DO19" s="134">
        <v>5.2440442408507579E-2</v>
      </c>
      <c r="DP19" s="59">
        <f t="shared" si="8"/>
        <v>5.2942642646089222E-2</v>
      </c>
      <c r="DQ19" s="59">
        <f t="shared" si="8"/>
        <v>5.2942642646089222E-2</v>
      </c>
      <c r="DR19" s="59">
        <f t="shared" si="8"/>
        <v>5.2942642646089222E-2</v>
      </c>
      <c r="DS19" s="59">
        <f t="shared" si="8"/>
        <v>5.2942642646089222E-2</v>
      </c>
      <c r="DT19" s="134">
        <v>5.2942642646089222E-2</v>
      </c>
      <c r="DU19" s="59">
        <f t="shared" si="9"/>
        <v>5.3449652245816645E-2</v>
      </c>
      <c r="DV19" s="59">
        <f t="shared" si="9"/>
        <v>5.3449652245816645E-2</v>
      </c>
      <c r="DW19" s="59">
        <f t="shared" si="9"/>
        <v>5.3449652245816645E-2</v>
      </c>
      <c r="DX19" s="59">
        <f t="shared" si="9"/>
        <v>5.3449652245816645E-2</v>
      </c>
      <c r="DY19" s="134">
        <v>5.3449652245816645E-2</v>
      </c>
      <c r="DZ19" s="59">
        <f t="shared" si="10"/>
        <v>5.3961517264944539E-2</v>
      </c>
      <c r="EA19" s="59">
        <f t="shared" si="10"/>
        <v>5.3961517264944539E-2</v>
      </c>
      <c r="EB19" s="59">
        <f t="shared" si="10"/>
        <v>5.3961517264944539E-2</v>
      </c>
      <c r="EC19" s="59">
        <f t="shared" si="10"/>
        <v>5.3961517264944539E-2</v>
      </c>
      <c r="ED19" s="134">
        <v>5.3961517264944539E-2</v>
      </c>
      <c r="EE19" s="59">
        <f t="shared" si="11"/>
        <v>5.4478284201798691E-2</v>
      </c>
      <c r="EF19" s="59">
        <f t="shared" si="11"/>
        <v>5.4478284201798691E-2</v>
      </c>
      <c r="EG19" s="59">
        <f t="shared" si="11"/>
        <v>5.4478284201798691E-2</v>
      </c>
      <c r="EH19" s="59">
        <f t="shared" si="11"/>
        <v>5.4478284201798691E-2</v>
      </c>
      <c r="EI19" s="134">
        <v>5.4478284201798691E-2</v>
      </c>
      <c r="EJ19" s="59">
        <f t="shared" si="12"/>
        <v>5.5E-2</v>
      </c>
      <c r="EK19" s="59">
        <f t="shared" si="12"/>
        <v>5.5E-2</v>
      </c>
      <c r="EL19" s="59">
        <f t="shared" si="12"/>
        <v>5.5E-2</v>
      </c>
      <c r="EM19" s="59">
        <f t="shared" si="12"/>
        <v>5.5E-2</v>
      </c>
      <c r="EN19" s="134">
        <v>5.5E-2</v>
      </c>
      <c r="EO19" s="59">
        <f t="shared" si="13"/>
        <v>5.5E-2</v>
      </c>
      <c r="EP19" s="59">
        <f t="shared" si="13"/>
        <v>5.5E-2</v>
      </c>
      <c r="EQ19" s="59">
        <f t="shared" si="13"/>
        <v>5.5E-2</v>
      </c>
      <c r="ER19" s="59">
        <f t="shared" si="13"/>
        <v>5.5E-2</v>
      </c>
      <c r="ES19" s="134">
        <f>EN19</f>
        <v>5.5E-2</v>
      </c>
      <c r="ET19" s="59">
        <f t="shared" si="14"/>
        <v>5.5E-2</v>
      </c>
      <c r="EU19" s="59">
        <f t="shared" si="14"/>
        <v>5.5E-2</v>
      </c>
      <c r="EV19" s="59">
        <f t="shared" si="14"/>
        <v>5.5E-2</v>
      </c>
      <c r="EW19" s="59">
        <f t="shared" si="14"/>
        <v>5.5E-2</v>
      </c>
      <c r="EX19" s="134">
        <f>ES19</f>
        <v>5.5E-2</v>
      </c>
      <c r="EY19" s="59">
        <f t="shared" si="15"/>
        <v>5.5E-2</v>
      </c>
      <c r="EZ19" s="59">
        <f t="shared" si="15"/>
        <v>5.5E-2</v>
      </c>
      <c r="FA19" s="59">
        <f t="shared" si="15"/>
        <v>5.5E-2</v>
      </c>
      <c r="FB19" s="59">
        <f t="shared" si="15"/>
        <v>5.5E-2</v>
      </c>
      <c r="FC19" s="134">
        <f>EX19</f>
        <v>5.5E-2</v>
      </c>
      <c r="FD19" s="59">
        <f t="shared" si="16"/>
        <v>5.5E-2</v>
      </c>
      <c r="FE19" s="59">
        <f t="shared" si="16"/>
        <v>5.5E-2</v>
      </c>
      <c r="FF19" s="59">
        <f t="shared" si="16"/>
        <v>5.5E-2</v>
      </c>
      <c r="FG19" s="59">
        <f t="shared" si="16"/>
        <v>5.5E-2</v>
      </c>
      <c r="FH19" s="134">
        <f>FC19</f>
        <v>5.5E-2</v>
      </c>
      <c r="FI19" s="59">
        <f t="shared" si="17"/>
        <v>5.5E-2</v>
      </c>
      <c r="FJ19" s="59">
        <f t="shared" si="17"/>
        <v>5.5E-2</v>
      </c>
      <c r="FK19" s="59">
        <f t="shared" si="17"/>
        <v>5.5E-2</v>
      </c>
      <c r="FL19" s="59">
        <f t="shared" si="17"/>
        <v>5.5E-2</v>
      </c>
      <c r="FM19" s="134">
        <f>FH19</f>
        <v>5.5E-2</v>
      </c>
      <c r="FN19" s="59">
        <f t="shared" si="18"/>
        <v>5.5E-2</v>
      </c>
      <c r="FO19" s="59">
        <f t="shared" si="18"/>
        <v>5.5E-2</v>
      </c>
      <c r="FP19" s="59">
        <f t="shared" si="18"/>
        <v>5.5E-2</v>
      </c>
      <c r="FQ19" s="59">
        <f t="shared" si="18"/>
        <v>5.5E-2</v>
      </c>
      <c r="FR19" s="134">
        <f>FM19</f>
        <v>5.5E-2</v>
      </c>
      <c r="FS19" s="59">
        <f t="shared" si="19"/>
        <v>5.5E-2</v>
      </c>
      <c r="FT19" s="59">
        <f t="shared" si="19"/>
        <v>5.5E-2</v>
      </c>
      <c r="FU19" s="59">
        <f t="shared" si="19"/>
        <v>5.5E-2</v>
      </c>
      <c r="FV19" s="59">
        <f t="shared" si="19"/>
        <v>5.5E-2</v>
      </c>
      <c r="FW19" s="134">
        <f>FR19</f>
        <v>5.5E-2</v>
      </c>
      <c r="FX19" s="59">
        <f t="shared" si="20"/>
        <v>5.5E-2</v>
      </c>
      <c r="FY19" s="59">
        <f t="shared" si="20"/>
        <v>5.5E-2</v>
      </c>
      <c r="FZ19" s="59">
        <f t="shared" si="20"/>
        <v>5.5E-2</v>
      </c>
      <c r="GA19" s="59">
        <f t="shared" si="20"/>
        <v>5.5E-2</v>
      </c>
      <c r="GB19" s="134">
        <f>FW19</f>
        <v>5.5E-2</v>
      </c>
    </row>
    <row r="20" spans="1:184" s="24" customFormat="1">
      <c r="A20" s="54">
        <f t="shared" si="0"/>
        <v>16</v>
      </c>
      <c r="B20" s="22" t="s">
        <v>385</v>
      </c>
      <c r="C20" s="38">
        <v>105.94435042951993</v>
      </c>
      <c r="D20" s="38">
        <v>108.76045094211349</v>
      </c>
      <c r="E20" s="39">
        <v>109.07221816462305</v>
      </c>
      <c r="F20" s="39">
        <v>109.38398538713261</v>
      </c>
      <c r="G20" s="39">
        <v>109.69575260964217</v>
      </c>
      <c r="H20" s="39">
        <v>110.00751983215173</v>
      </c>
      <c r="I20" s="138">
        <v>110.00751983215174</v>
      </c>
      <c r="J20" s="139">
        <v>111.57850762425198</v>
      </c>
      <c r="K20" s="39">
        <v>113.14949541635222</v>
      </c>
      <c r="L20" s="39">
        <v>114.72048320845246</v>
      </c>
      <c r="M20" s="39">
        <v>116.2914710005527</v>
      </c>
      <c r="N20" s="38">
        <v>116.29147100055272</v>
      </c>
      <c r="O20" s="39">
        <v>117.21007873135245</v>
      </c>
      <c r="P20" s="39">
        <v>118.12868646215219</v>
      </c>
      <c r="Q20" s="39">
        <v>119.04729419295192</v>
      </c>
      <c r="R20" s="39">
        <v>119.96590192375166</v>
      </c>
      <c r="S20" s="38">
        <v>119.96590192375166</v>
      </c>
      <c r="T20" s="39">
        <v>121.15686536090661</v>
      </c>
      <c r="U20" s="39">
        <v>122.34782879806156</v>
      </c>
      <c r="V20" s="39">
        <v>123.5387922352165</v>
      </c>
      <c r="W20" s="39">
        <v>124.72975567237145</v>
      </c>
      <c r="X20" s="38">
        <v>124.72975567237143</v>
      </c>
      <c r="Y20" s="39">
        <v>126.62483665097912</v>
      </c>
      <c r="Z20" s="39">
        <v>128.51991762958681</v>
      </c>
      <c r="AA20" s="39">
        <v>130.41499860819451</v>
      </c>
      <c r="AB20" s="39">
        <v>132.3100795868022</v>
      </c>
      <c r="AC20" s="38">
        <v>132.3100795868022</v>
      </c>
      <c r="AD20" s="39">
        <v>134.00895253225525</v>
      </c>
      <c r="AE20" s="39">
        <v>135.7078254777083</v>
      </c>
      <c r="AF20" s="39">
        <v>137.40669842316134</v>
      </c>
      <c r="AG20" s="39">
        <v>139.10557136861439</v>
      </c>
      <c r="AH20" s="38">
        <v>139.10557136861445</v>
      </c>
      <c r="AI20" s="39">
        <v>139.04104211094455</v>
      </c>
      <c r="AJ20" s="39">
        <v>138.97651285327464</v>
      </c>
      <c r="AK20" s="39">
        <v>138.91198359560474</v>
      </c>
      <c r="AL20" s="39">
        <v>138.84745433793483</v>
      </c>
      <c r="AM20" s="38">
        <v>138.84745433793481</v>
      </c>
      <c r="AN20" s="39">
        <v>141.5445661384492</v>
      </c>
      <c r="AO20" s="39">
        <v>144.24167793896359</v>
      </c>
      <c r="AP20" s="39">
        <v>146.93878973947798</v>
      </c>
      <c r="AQ20" s="39">
        <v>149.63590153999237</v>
      </c>
      <c r="AR20" s="38">
        <v>149.63590153999235</v>
      </c>
      <c r="AS20" s="39">
        <f>AQ20*(1+AS21)</f>
        <v>150.52403595986115</v>
      </c>
      <c r="AT20" s="39">
        <f>AS20*(1+AT21)</f>
        <v>151.41744172664357</v>
      </c>
      <c r="AU20" s="57">
        <f>AT20*(1+AU21)</f>
        <v>152.31615012738098</v>
      </c>
      <c r="AV20" s="57">
        <f>AU20*(1+AV21)</f>
        <v>153.22019263481272</v>
      </c>
      <c r="AW20" s="58">
        <v>153.22019263481275</v>
      </c>
      <c r="AX20" s="57">
        <f>AV20*(1+AX21)</f>
        <v>154.52585644569621</v>
      </c>
      <c r="AY20" s="57">
        <f>AX20*(1+AY21)</f>
        <v>155.8426464531843</v>
      </c>
      <c r="AZ20" s="57">
        <f>AY20*(1+AZ21)</f>
        <v>157.17065746901173</v>
      </c>
      <c r="BA20" s="57">
        <f>AZ20*(1+BA21)</f>
        <v>158.50998511285016</v>
      </c>
      <c r="BB20" s="58">
        <v>158.50998511285025</v>
      </c>
      <c r="BC20" s="57">
        <f>BA20*(1+BC21)</f>
        <v>160.46106408312505</v>
      </c>
      <c r="BD20" s="57">
        <f>BC20*(1+BD21)</f>
        <v>162.43615863289509</v>
      </c>
      <c r="BE20" s="57">
        <f>BD20*(1+BE21)</f>
        <v>164.43556436683195</v>
      </c>
      <c r="BF20" s="57">
        <f>BE20*(1+BF21)</f>
        <v>166.45958052816715</v>
      </c>
      <c r="BG20" s="58">
        <v>166.45958052816721</v>
      </c>
      <c r="BH20" s="57">
        <f>BF20*(1+BH21)</f>
        <v>168.26117624271566</v>
      </c>
      <c r="BI20" s="57">
        <f>BH20*(1+BI21)</f>
        <v>170.08227066745187</v>
      </c>
      <c r="BJ20" s="57">
        <f>BI20*(1+BJ21)</f>
        <v>171.92307483734652</v>
      </c>
      <c r="BK20" s="57">
        <f>BJ20*(1+BK21)</f>
        <v>173.78380207140654</v>
      </c>
      <c r="BL20" s="58">
        <v>173.78380207140657</v>
      </c>
      <c r="BM20" s="57">
        <f>BK20*(1+BM21)</f>
        <v>175.79072812013331</v>
      </c>
      <c r="BN20" s="57">
        <f>BM20*(1+BN21)</f>
        <v>177.82083096737094</v>
      </c>
      <c r="BO20" s="57">
        <f>BN20*(1+BO21)</f>
        <v>179.8743782682179</v>
      </c>
      <c r="BP20" s="57">
        <f>BO20*(1+BP21)</f>
        <v>181.95164076876262</v>
      </c>
      <c r="BQ20" s="58">
        <v>181.95164076876267</v>
      </c>
      <c r="BR20" s="57">
        <f>BP20*(1+BR21)</f>
        <v>184.18459395902522</v>
      </c>
      <c r="BS20" s="57">
        <f>BR20*(1+BS21)</f>
        <v>186.4449504743078</v>
      </c>
      <c r="BT20" s="57">
        <f>BS20*(1+BT21)</f>
        <v>188.73304661463914</v>
      </c>
      <c r="BU20" s="57">
        <f>BT20*(1+BU21)</f>
        <v>191.04922280720081</v>
      </c>
      <c r="BV20" s="58">
        <v>191.04922280720081</v>
      </c>
      <c r="BW20" s="57">
        <f>BU20*(1+BW21)</f>
        <v>193.25553695886859</v>
      </c>
      <c r="BX20" s="57">
        <f>BW20*(1+BX21)</f>
        <v>195.48733052397927</v>
      </c>
      <c r="BY20" s="57">
        <f>BX20*(1+BY21)</f>
        <v>197.74489774916535</v>
      </c>
      <c r="BZ20" s="57">
        <f>BY20*(1+BZ21)</f>
        <v>200.02853627913919</v>
      </c>
      <c r="CA20" s="58">
        <v>200.02853627913922</v>
      </c>
      <c r="CB20" s="57">
        <f>BZ20*(1+CB21)</f>
        <v>202.38684378541004</v>
      </c>
      <c r="CC20" s="57">
        <f>CB20*(1+CC21)</f>
        <v>204.77295539602315</v>
      </c>
      <c r="CD20" s="57">
        <f>CC20*(1+CD21)</f>
        <v>207.18719891734651</v>
      </c>
      <c r="CE20" s="57">
        <f>CD20*(1+CE21)</f>
        <v>209.62990602053779</v>
      </c>
      <c r="CF20" s="58">
        <v>209.6299060205379</v>
      </c>
      <c r="CG20" s="57">
        <f>CE20*(1+CG21)</f>
        <v>212.15199090338768</v>
      </c>
      <c r="CH20" s="57">
        <f>CG20*(1+CH21)</f>
        <v>214.70441932012093</v>
      </c>
      <c r="CI20" s="57">
        <f>CH20*(1+CI21)</f>
        <v>217.28755633777189</v>
      </c>
      <c r="CJ20" s="57">
        <f>CI20*(1+CJ21)</f>
        <v>219.90177141554423</v>
      </c>
      <c r="CK20" s="58">
        <v>219.90177141554423</v>
      </c>
      <c r="CL20" s="57">
        <f>CJ20*(1+CL21)</f>
        <v>222.6004575057168</v>
      </c>
      <c r="CM20" s="57">
        <f>CL20*(1+CM21)</f>
        <v>225.33226250423837</v>
      </c>
      <c r="CN20" s="57">
        <f>CM20*(1+CN21)</f>
        <v>228.09759285411621</v>
      </c>
      <c r="CO20" s="57">
        <f>CN20*(1+CO21)</f>
        <v>230.89685998632149</v>
      </c>
      <c r="CP20" s="58">
        <v>230.89685998632146</v>
      </c>
      <c r="CQ20" s="57">
        <f>CO20*(1+CQ21)</f>
        <v>233.75712272166137</v>
      </c>
      <c r="CR20" s="57">
        <f>CQ20*(1+CR21)</f>
        <v>236.65281730703015</v>
      </c>
      <c r="CS20" s="57">
        <f>CR20*(1+CS21)</f>
        <v>239.58438265874864</v>
      </c>
      <c r="CT20" s="57">
        <f>CS20*(1+CT21)</f>
        <v>242.55226313026665</v>
      </c>
      <c r="CU20" s="58">
        <v>242.55226313026662</v>
      </c>
      <c r="CV20" s="57">
        <f>CT20*(1+CV21)</f>
        <v>245.58515411217272</v>
      </c>
      <c r="CW20" s="57">
        <f>CV20*(1+CW21)</f>
        <v>248.6559685815343</v>
      </c>
      <c r="CX20" s="57">
        <f>CW20*(1+CX21)</f>
        <v>251.76518073637214</v>
      </c>
      <c r="CY20" s="57">
        <f>CX20*(1+CY21)</f>
        <v>254.91327070411324</v>
      </c>
      <c r="CZ20" s="58">
        <v>254.91327070411324</v>
      </c>
      <c r="DA20" s="57">
        <f>CY20*(1+DA21)</f>
        <v>258.13068349837243</v>
      </c>
      <c r="DB20" s="57">
        <f>DA20*(1+DB21)</f>
        <v>261.38870518309886</v>
      </c>
      <c r="DC20" s="57">
        <f>DB20*(1+DC21)</f>
        <v>264.68784830737786</v>
      </c>
      <c r="DD20" s="57">
        <f>DC20*(1+DD21)</f>
        <v>268.02863188948328</v>
      </c>
      <c r="DE20" s="58">
        <v>268.02863188948334</v>
      </c>
      <c r="DF20" s="57">
        <f>DD20*(1+DF21)</f>
        <v>271.44337231730043</v>
      </c>
      <c r="DG20" s="57">
        <f>DF20*(1+DG21)</f>
        <v>274.90161724725664</v>
      </c>
      <c r="DH20" s="57">
        <f>DG20*(1+DH21)</f>
        <v>278.40392093574314</v>
      </c>
      <c r="DI20" s="57">
        <f>DH20*(1+DI21)</f>
        <v>281.95084470049261</v>
      </c>
      <c r="DJ20" s="58">
        <v>281.95084470049278</v>
      </c>
      <c r="DK20" s="57">
        <f>DI20*(1+DK21)</f>
        <v>285.57670748621945</v>
      </c>
      <c r="DL20" s="57">
        <f>DK20*(1+DL21)</f>
        <v>289.24919854488121</v>
      </c>
      <c r="DM20" s="57">
        <f>DL20*(1+DM21)</f>
        <v>292.96891751192061</v>
      </c>
      <c r="DN20" s="57">
        <f>DM20*(1+DN21)</f>
        <v>296.73647173403884</v>
      </c>
      <c r="DO20" s="58">
        <v>296.73647173403907</v>
      </c>
      <c r="DP20" s="57">
        <f>DN20*(1+DP21)</f>
        <v>300.58832412694062</v>
      </c>
      <c r="DQ20" s="57">
        <f>DP20*(1+DQ21)</f>
        <v>304.4901763286627</v>
      </c>
      <c r="DR20" s="57">
        <f>DQ20*(1+DR21)</f>
        <v>308.44267737261208</v>
      </c>
      <c r="DS20" s="57">
        <f>DR20*(1+DS21)</f>
        <v>312.44648471711537</v>
      </c>
      <c r="DT20" s="58">
        <v>312.44648471711565</v>
      </c>
      <c r="DU20" s="57">
        <f>DS20*(1+DU21)</f>
        <v>316.54035776846212</v>
      </c>
      <c r="DV20" s="57">
        <f>DU20*(1+DV21)</f>
        <v>320.68787135468551</v>
      </c>
      <c r="DW20" s="57">
        <f>DV20*(1+DW21)</f>
        <v>324.88972830827339</v>
      </c>
      <c r="DX20" s="57">
        <f>DW20*(1+DX21)</f>
        <v>329.14664067067309</v>
      </c>
      <c r="DY20" s="58">
        <v>329.14664067067332</v>
      </c>
      <c r="DZ20" s="57">
        <f>DX20*(1+DZ21)</f>
        <v>333.49982891841631</v>
      </c>
      <c r="EA20" s="57">
        <f>DZ20*(1+EA21)</f>
        <v>337.91059104229475</v>
      </c>
      <c r="EB20" s="57">
        <f>EA20*(1+EB21)</f>
        <v>342.37968849598889</v>
      </c>
      <c r="EC20" s="57">
        <f>EB20*(1+EC21)</f>
        <v>346.90789280392221</v>
      </c>
      <c r="ED20" s="58">
        <v>346.90789280392238</v>
      </c>
      <c r="EE20" s="57">
        <f>EC20*(1+EE21)</f>
        <v>351.53906319603595</v>
      </c>
      <c r="EF20" s="57">
        <f>EE20*(1+EF21)</f>
        <v>356.23205904570108</v>
      </c>
      <c r="EG20" s="57">
        <f>EF20*(1+EG21)</f>
        <v>360.9877057138691</v>
      </c>
      <c r="EH20" s="57">
        <f>EG20*(1+EH21)</f>
        <v>365.80683957994137</v>
      </c>
      <c r="EI20" s="58">
        <v>365.8068395799416</v>
      </c>
      <c r="EJ20" s="57">
        <f>EH20*(1+EJ21)</f>
        <v>370.73615055508066</v>
      </c>
      <c r="EK20" s="57">
        <f>EJ20*(1+EK21)</f>
        <v>375.73188485548508</v>
      </c>
      <c r="EL20" s="57">
        <f>EK20*(1+EL21)</f>
        <v>380.79493754704959</v>
      </c>
      <c r="EM20" s="57">
        <f>EL20*(1+EM21)</f>
        <v>385.92621575683813</v>
      </c>
      <c r="EN20" s="58">
        <v>385.92621575683836</v>
      </c>
      <c r="EO20" s="57">
        <f>EM20*(1+EO21)</f>
        <v>391.12663883561009</v>
      </c>
      <c r="EP20" s="57">
        <f>EO20*(1+EP21)</f>
        <v>396.39713852253681</v>
      </c>
      <c r="EQ20" s="57">
        <f>EP20*(1+EQ21)</f>
        <v>401.73865911213733</v>
      </c>
      <c r="ER20" s="57">
        <f>EQ20*(1+ER21)</f>
        <v>407.15215762346423</v>
      </c>
      <c r="ES20" s="58">
        <f>ER20</f>
        <v>407.15215762346423</v>
      </c>
      <c r="ET20" s="57">
        <f>ER20*(1+ET21)</f>
        <v>412.63860397156867</v>
      </c>
      <c r="EU20" s="57">
        <f>ET20*(1+EU21)</f>
        <v>418.19898114127631</v>
      </c>
      <c r="EV20" s="57">
        <f>EU20*(1+EV21)</f>
        <v>423.8342853633049</v>
      </c>
      <c r="EW20" s="57">
        <f>EV20*(1+EW21)</f>
        <v>429.5455262927548</v>
      </c>
      <c r="EX20" s="58">
        <f>EW20</f>
        <v>429.5455262927548</v>
      </c>
      <c r="EY20" s="57">
        <f>EW20*(1+EY21)</f>
        <v>435.33372719000499</v>
      </c>
      <c r="EZ20" s="57">
        <f>EY20*(1+EZ21)</f>
        <v>441.19992510404654</v>
      </c>
      <c r="FA20" s="57">
        <f>EZ20*(1+FA21)</f>
        <v>447.14517105828668</v>
      </c>
      <c r="FB20" s="57">
        <f>FA20*(1+FB21)</f>
        <v>453.17053023885632</v>
      </c>
      <c r="FC20" s="58">
        <f>FB20</f>
        <v>453.17053023885632</v>
      </c>
      <c r="FD20" s="57">
        <f>FB20*(1+FD21)</f>
        <v>459.27708218545524</v>
      </c>
      <c r="FE20" s="57">
        <f>FD20*(1+FE21)</f>
        <v>465.46592098476913</v>
      </c>
      <c r="FF20" s="57">
        <f>FE20*(1+FF21)</f>
        <v>471.73815546649246</v>
      </c>
      <c r="FG20" s="57">
        <f>FF20*(1+FG21)</f>
        <v>478.09490940199339</v>
      </c>
      <c r="FH20" s="58">
        <f>FG20</f>
        <v>478.09490940199339</v>
      </c>
      <c r="FI20" s="57">
        <f>FG20*(1+FI21)</f>
        <v>484.53732170565524</v>
      </c>
      <c r="FJ20" s="57">
        <f>FI20*(1+FJ21)</f>
        <v>491.06654663893136</v>
      </c>
      <c r="FK20" s="57">
        <f>FJ20*(1+FK21)</f>
        <v>497.68375401714951</v>
      </c>
      <c r="FL20" s="57">
        <f>FK20*(1+FL21)</f>
        <v>504.390129419103</v>
      </c>
      <c r="FM20" s="58">
        <f>FL20</f>
        <v>504.390129419103</v>
      </c>
      <c r="FN20" s="57">
        <f>FL20*(1+FN21)</f>
        <v>511.18687439946626</v>
      </c>
      <c r="FO20" s="57">
        <f>FN20*(1+FO21)</f>
        <v>518.07520670407257</v>
      </c>
      <c r="FP20" s="57">
        <f>FO20*(1+FP21)</f>
        <v>525.05636048809265</v>
      </c>
      <c r="FQ20" s="57">
        <f>FP20*(1+FQ21)</f>
        <v>532.13158653715357</v>
      </c>
      <c r="FR20" s="58">
        <f>FQ20</f>
        <v>532.13158653715357</v>
      </c>
      <c r="FS20" s="57">
        <f>FQ20*(1+FS21)</f>
        <v>539.3021524914368</v>
      </c>
      <c r="FT20" s="57">
        <f>FS20*(1+FT21)</f>
        <v>546.56934307279641</v>
      </c>
      <c r="FU20" s="57">
        <f>FT20*(1+FU21)</f>
        <v>553.93446031493761</v>
      </c>
      <c r="FV20" s="57">
        <f>FU20*(1+FV21)</f>
        <v>561.39882379669689</v>
      </c>
      <c r="FW20" s="58">
        <f>FV20</f>
        <v>561.39882379669689</v>
      </c>
      <c r="FX20" s="57">
        <f>FV20*(1+FX21)</f>
        <v>568.96377087846577</v>
      </c>
      <c r="FY20" s="57">
        <f>FX20*(1+FY21)</f>
        <v>576.63065694180023</v>
      </c>
      <c r="FZ20" s="57">
        <f>FY20*(1+FZ21)</f>
        <v>584.40085563225921</v>
      </c>
      <c r="GA20" s="57">
        <f>FZ20*(1+GA21)</f>
        <v>592.27575910551525</v>
      </c>
      <c r="GB20" s="58">
        <f>GA20</f>
        <v>592.27575910551525</v>
      </c>
    </row>
    <row r="21" spans="1:184" s="17" customFormat="1">
      <c r="A21" s="54">
        <f t="shared" si="0"/>
        <v>17</v>
      </c>
      <c r="B21" s="140" t="s">
        <v>332</v>
      </c>
      <c r="C21" s="40">
        <v>1.313118809782594E-2</v>
      </c>
      <c r="D21" s="40">
        <v>2.6580940854104257E-2</v>
      </c>
      <c r="E21" s="41">
        <v>2.46E-2</v>
      </c>
      <c r="F21" s="41">
        <v>9.7000000000000003E-3</v>
      </c>
      <c r="G21" s="41">
        <v>5.7999999999999996E-3</v>
      </c>
      <c r="H21" s="41">
        <v>6.7000000000000002E-3</v>
      </c>
      <c r="I21" s="141">
        <v>1.1466198229556711E-2</v>
      </c>
      <c r="J21" s="142">
        <v>5.2999999999999999E-2</v>
      </c>
      <c r="K21" s="41">
        <v>7.4999999999999997E-2</v>
      </c>
      <c r="L21" s="41">
        <v>5.0500000000000003E-2</v>
      </c>
      <c r="M21" s="41">
        <v>5.0099999999999999E-2</v>
      </c>
      <c r="N21" s="40">
        <v>5.7122923760020816E-2</v>
      </c>
      <c r="O21" s="41">
        <v>2.9499999999999998E-2</v>
      </c>
      <c r="P21" s="41">
        <v>2.98E-2</v>
      </c>
      <c r="Q21" s="41">
        <v>3.3099999999999997E-2</v>
      </c>
      <c r="R21" s="41">
        <v>3.39E-2</v>
      </c>
      <c r="S21" s="40">
        <v>3.1596736128494562E-2</v>
      </c>
      <c r="T21" s="41">
        <v>4.3999999999999997E-2</v>
      </c>
      <c r="U21" s="41">
        <v>1.9599999999999999E-2</v>
      </c>
      <c r="V21" s="41">
        <v>4.7500000000000001E-2</v>
      </c>
      <c r="W21" s="41">
        <v>4.8099999999999997E-2</v>
      </c>
      <c r="X21" s="40">
        <v>3.9710064878665241E-2</v>
      </c>
      <c r="Y21" s="41">
        <v>5.1400000000000001E-2</v>
      </c>
      <c r="Z21" s="41">
        <v>6.4000000000000001E-2</v>
      </c>
      <c r="AA21" s="41">
        <v>6.0400000000000002E-2</v>
      </c>
      <c r="AB21" s="41">
        <v>6.6799999999999998E-2</v>
      </c>
      <c r="AC21" s="40">
        <v>6.0773981906467212E-2</v>
      </c>
      <c r="AD21" s="41">
        <v>6.3200000000000006E-2</v>
      </c>
      <c r="AE21" s="41">
        <v>6.4699999999999994E-2</v>
      </c>
      <c r="AF21" s="41">
        <v>7.0800000000000002E-2</v>
      </c>
      <c r="AG21" s="41">
        <v>8.2000000000000007E-3</v>
      </c>
      <c r="AH21" s="40">
        <v>5.1360348380367071E-2</v>
      </c>
      <c r="AI21" s="41">
        <v>-2.1299999999999999E-2</v>
      </c>
      <c r="AJ21" s="41">
        <v>-1.6299999999999999E-2</v>
      </c>
      <c r="AK21" s="41">
        <v>-1.2200000000000001E-2</v>
      </c>
      <c r="AL21" s="41">
        <v>4.2900000000000001E-2</v>
      </c>
      <c r="AM21" s="40">
        <v>-1.8555477551338573E-3</v>
      </c>
      <c r="AN21" s="41">
        <v>9.2714293988523044E-2</v>
      </c>
      <c r="AO21" s="41">
        <v>9.1562714084863384E-2</v>
      </c>
      <c r="AP21" s="41">
        <v>6.7385174121558977E-2</v>
      </c>
      <c r="AQ21" s="41">
        <v>5.036758875035563E-2</v>
      </c>
      <c r="AR21" s="40">
        <v>7.5507442736325259E-2</v>
      </c>
      <c r="AS21" s="41">
        <f>(1+AW21)^(1/4)-1</f>
        <v>5.9353030304121202E-3</v>
      </c>
      <c r="AT21" s="41">
        <f>(1+AW21)^(1/4)-1</f>
        <v>5.9353030304121202E-3</v>
      </c>
      <c r="AU21" s="59">
        <f>(1+AW21)^(1/4)-1</f>
        <v>5.9353030304121202E-3</v>
      </c>
      <c r="AV21" s="59">
        <f>(1+AW21)^(1/4)-1</f>
        <v>5.9353030304121202E-3</v>
      </c>
      <c r="AW21" s="60">
        <f>AW20/AR20-1</f>
        <v>2.3953416646221415E-2</v>
      </c>
      <c r="AX21" s="59">
        <f>(1+BB21)^(1/4)-1</f>
        <v>8.5214865510281346E-3</v>
      </c>
      <c r="AY21" s="59">
        <f>(1+BB21)^(1/4)-1</f>
        <v>8.5214865510281346E-3</v>
      </c>
      <c r="AZ21" s="59">
        <f>(1+BB21)^(1/4)-1</f>
        <v>8.5214865510281346E-3</v>
      </c>
      <c r="BA21" s="59">
        <f>(1+BB21)^(1/4)-1</f>
        <v>8.5214865510281346E-3</v>
      </c>
      <c r="BB21" s="60">
        <f>BB20/AW20-1</f>
        <v>3.4524121051363377E-2</v>
      </c>
      <c r="BC21" s="59">
        <f>(1+BG21)^(1/4)-1</f>
        <v>1.230887107134504E-2</v>
      </c>
      <c r="BD21" s="59">
        <f>(1+BG21)^(1/4)-1</f>
        <v>1.230887107134504E-2</v>
      </c>
      <c r="BE21" s="59">
        <f>(1+BG21)^(1/4)-1</f>
        <v>1.230887107134504E-2</v>
      </c>
      <c r="BF21" s="59">
        <f>(1+BG21)^(1/4)-1</f>
        <v>1.230887107134504E-2</v>
      </c>
      <c r="BG21" s="60">
        <f>BG20/BB20-1</f>
        <v>5.0152016667324162E-2</v>
      </c>
      <c r="BH21" s="59">
        <f>(1+BL21)^(1/4)-1</f>
        <v>1.0823022074380795E-2</v>
      </c>
      <c r="BI21" s="59">
        <f>(1+BL21)^(1/4)-1</f>
        <v>1.0823022074380795E-2</v>
      </c>
      <c r="BJ21" s="59">
        <f>(1+BL21)^(1/4)-1</f>
        <v>1.0823022074380795E-2</v>
      </c>
      <c r="BK21" s="59">
        <f>(1+BL21)^(1/4)-1</f>
        <v>1.0823022074380795E-2</v>
      </c>
      <c r="BL21" s="60">
        <f>BL20/BG20-1</f>
        <v>4.4000000000000039E-2</v>
      </c>
      <c r="BM21" s="59">
        <f>(1+BQ21)^(1/4)-1</f>
        <v>1.1548406841174641E-2</v>
      </c>
      <c r="BN21" s="59">
        <f>(1+BQ21)^(1/4)-1</f>
        <v>1.1548406841174641E-2</v>
      </c>
      <c r="BO21" s="59">
        <f>(1+BQ21)^(1/4)-1</f>
        <v>1.1548406841174641E-2</v>
      </c>
      <c r="BP21" s="59">
        <f>(1+BQ21)^(1/4)-1</f>
        <v>1.1548406841174641E-2</v>
      </c>
      <c r="BQ21" s="60">
        <f>BQ20/BL20-1</f>
        <v>4.6999999999999931E-2</v>
      </c>
      <c r="BR21" s="59">
        <f>(1+BV21)^(1/4)-1</f>
        <v>1.2272234429039353E-2</v>
      </c>
      <c r="BS21" s="59">
        <f>(1+BV21)^(1/4)-1</f>
        <v>1.2272234429039353E-2</v>
      </c>
      <c r="BT21" s="59">
        <f>(1+BV21)^(1/4)-1</f>
        <v>1.2272234429039353E-2</v>
      </c>
      <c r="BU21" s="59">
        <f>(1+BV21)^(1/4)-1</f>
        <v>1.2272234429039353E-2</v>
      </c>
      <c r="BV21" s="60">
        <f>BV20/BQ20-1</f>
        <v>5.0000000000000044E-2</v>
      </c>
      <c r="BW21" s="59">
        <f>(1+CA21)^(1/4)-1</f>
        <v>1.1548406841174641E-2</v>
      </c>
      <c r="BX21" s="59">
        <f>(1+CA21)^(1/4)-1</f>
        <v>1.1548406841174641E-2</v>
      </c>
      <c r="BY21" s="59">
        <f>(1+CA21)^(1/4)-1</f>
        <v>1.1548406841174641E-2</v>
      </c>
      <c r="BZ21" s="59">
        <f>(1+CA21)^(1/4)-1</f>
        <v>1.1548406841174641E-2</v>
      </c>
      <c r="CA21" s="60">
        <f>CA20/BV20-1</f>
        <v>4.6999999999999931E-2</v>
      </c>
      <c r="CB21" s="59">
        <f>(1+CF21)^(1/4)-1</f>
        <v>1.1789855338339539E-2</v>
      </c>
      <c r="CC21" s="59">
        <f>(1+CF21)^(1/4)-1</f>
        <v>1.1789855338339539E-2</v>
      </c>
      <c r="CD21" s="59">
        <f>(1+CF21)^(1/4)-1</f>
        <v>1.1789855338339539E-2</v>
      </c>
      <c r="CE21" s="59">
        <f>(1+CF21)^(1/4)-1</f>
        <v>1.1789855338339539E-2</v>
      </c>
      <c r="CF21" s="60">
        <f>CF20/CA20-1</f>
        <v>4.8000000000000043E-2</v>
      </c>
      <c r="CG21" s="59">
        <f>(1+CK21)^(1/4)-1</f>
        <v>1.2031131104942583E-2</v>
      </c>
      <c r="CH21" s="59">
        <f>(1+CK21)^(1/4)-1</f>
        <v>1.2031131104942583E-2</v>
      </c>
      <c r="CI21" s="59">
        <f>(1+CK21)^(1/4)-1</f>
        <v>1.2031131104942583E-2</v>
      </c>
      <c r="CJ21" s="59">
        <f>(1+CK21)^(1/4)-1</f>
        <v>1.2031131104942583E-2</v>
      </c>
      <c r="CK21" s="60">
        <f>CK20/CF20-1</f>
        <v>4.8999999999999932E-2</v>
      </c>
      <c r="CL21" s="59">
        <f>(1+CP21)^(1/4)-1</f>
        <v>1.2272234429039353E-2</v>
      </c>
      <c r="CM21" s="59">
        <f>(1+CP21)^(1/4)-1</f>
        <v>1.2272234429039353E-2</v>
      </c>
      <c r="CN21" s="59">
        <f>(1+CP21)^(1/4)-1</f>
        <v>1.2272234429039353E-2</v>
      </c>
      <c r="CO21" s="59">
        <f>(1+CP21)^(1/4)-1</f>
        <v>1.2272234429039353E-2</v>
      </c>
      <c r="CP21" s="60">
        <f>CP20/CK20-1</f>
        <v>5.0000000000000044E-2</v>
      </c>
      <c r="CQ21" s="59">
        <f>(1+CU21)^(1/4)-1</f>
        <v>1.2387620756338258E-2</v>
      </c>
      <c r="CR21" s="59">
        <f>(1+CU21)^(1/4)-1</f>
        <v>1.2387620756338258E-2</v>
      </c>
      <c r="CS21" s="59">
        <f>(1+CU21)^(1/4)-1</f>
        <v>1.2387620756338258E-2</v>
      </c>
      <c r="CT21" s="59">
        <f>(1+CU21)^(1/4)-1</f>
        <v>1.2387620756338258E-2</v>
      </c>
      <c r="CU21" s="60">
        <f>CU20/CP20-1</f>
        <v>5.0478829138844272E-2</v>
      </c>
      <c r="CV21" s="59">
        <f>(1+CZ21)^(1/4)-1</f>
        <v>1.2504072082300866E-2</v>
      </c>
      <c r="CW21" s="59">
        <f>(1+CZ21)^(1/4)-1</f>
        <v>1.2504072082300866E-2</v>
      </c>
      <c r="CX21" s="59">
        <f>(1+CZ21)^(1/4)-1</f>
        <v>1.2504072082300866E-2</v>
      </c>
      <c r="CY21" s="59">
        <f>(1+CZ21)^(1/4)-1</f>
        <v>1.2504072082300866E-2</v>
      </c>
      <c r="CZ21" s="60">
        <f>CZ20/CU20-1</f>
        <v>5.0962243824572928E-2</v>
      </c>
      <c r="DA21" s="59">
        <f>(1+DE21)^(1/4)-1</f>
        <v>1.2621597868844425E-2</v>
      </c>
      <c r="DB21" s="59">
        <f>(1+DE21)^(1/4)-1</f>
        <v>1.2621597868844425E-2</v>
      </c>
      <c r="DC21" s="59">
        <f>(1+DE21)^(1/4)-1</f>
        <v>1.2621597868844425E-2</v>
      </c>
      <c r="DD21" s="59">
        <f>(1+DE21)^(1/4)-1</f>
        <v>1.2621597868844425E-2</v>
      </c>
      <c r="DE21" s="60">
        <f>DE20/CZ20-1</f>
        <v>5.1450287971054776E-2</v>
      </c>
      <c r="DF21" s="59">
        <f>(1+DJ21)^(1/4)-1</f>
        <v>1.2740207655222324E-2</v>
      </c>
      <c r="DG21" s="59">
        <f>(1+DJ21)^(1/4)-1</f>
        <v>1.2740207655222324E-2</v>
      </c>
      <c r="DH21" s="59">
        <f>(1+DJ21)^(1/4)-1</f>
        <v>1.2740207655222324E-2</v>
      </c>
      <c r="DI21" s="59">
        <f>(1+DJ21)^(1/4)-1</f>
        <v>1.2740207655222324E-2</v>
      </c>
      <c r="DJ21" s="60">
        <f>DJ20/DE20-1</f>
        <v>5.1943005912704177E-2</v>
      </c>
      <c r="DK21" s="59">
        <f>(1+DO21)^(1/4)-1</f>
        <v>1.2859911058533902E-2</v>
      </c>
      <c r="DL21" s="59">
        <f>(1+DO21)^(1/4)-1</f>
        <v>1.2859911058533902E-2</v>
      </c>
      <c r="DM21" s="59">
        <f>(1+DO21)^(1/4)-1</f>
        <v>1.2859911058533902E-2</v>
      </c>
      <c r="DN21" s="59">
        <f>(1+DO21)^(1/4)-1</f>
        <v>1.2859911058533902E-2</v>
      </c>
      <c r="DO21" s="60">
        <f>DO20/DJ20-1</f>
        <v>5.2440442408507648E-2</v>
      </c>
      <c r="DP21" s="59">
        <f>(1+DT21)^(1/4)-1</f>
        <v>1.2980717774234929E-2</v>
      </c>
      <c r="DQ21" s="59">
        <f>(1+DT21)^(1/4)-1</f>
        <v>1.2980717774234929E-2</v>
      </c>
      <c r="DR21" s="59">
        <f>(1+DT21)^(1/4)-1</f>
        <v>1.2980717774234929E-2</v>
      </c>
      <c r="DS21" s="59">
        <f>(1+DT21)^(1/4)-1</f>
        <v>1.2980717774234929E-2</v>
      </c>
      <c r="DT21" s="60">
        <f>DT20/DO20-1</f>
        <v>5.2942642646089277E-2</v>
      </c>
      <c r="DU21" s="59">
        <f>(1+DY21)^(1/4)-1</f>
        <v>1.3102637576650311E-2</v>
      </c>
      <c r="DV21" s="59">
        <f>(1+DY21)^(1/4)-1</f>
        <v>1.3102637576650311E-2</v>
      </c>
      <c r="DW21" s="59">
        <f>(1+DY21)^(1/4)-1</f>
        <v>1.3102637576650311E-2</v>
      </c>
      <c r="DX21" s="59">
        <f>(1+DY21)^(1/4)-1</f>
        <v>1.3102637576650311E-2</v>
      </c>
      <c r="DY21" s="60">
        <f>DY20/DT20-1</f>
        <v>5.3449652245816548E-2</v>
      </c>
      <c r="DZ21" s="59">
        <f>(1+ED21)^(1/4)-1</f>
        <v>1.3225680319486566E-2</v>
      </c>
      <c r="EA21" s="59">
        <f>(1+ED21)^(1/4)-1</f>
        <v>1.3225680319486566E-2</v>
      </c>
      <c r="EB21" s="59">
        <f>(1+ED21)^(1/4)-1</f>
        <v>1.3225680319486566E-2</v>
      </c>
      <c r="EC21" s="59">
        <f>(1+ED21)^(1/4)-1</f>
        <v>1.3225680319486566E-2</v>
      </c>
      <c r="ED21" s="60">
        <f>ED20/DY20-1</f>
        <v>5.3961517264944581E-2</v>
      </c>
      <c r="EE21" s="59">
        <f>(1+EI21)^(1/4)-1</f>
        <v>1.3349855936346078E-2</v>
      </c>
      <c r="EF21" s="59">
        <f>(1+EI21)^(1/4)-1</f>
        <v>1.3349855936346078E-2</v>
      </c>
      <c r="EG21" s="59">
        <f>(1+EI21)^(1/4)-1</f>
        <v>1.3349855936346078E-2</v>
      </c>
      <c r="EH21" s="59">
        <f>(1+EI21)^(1/4)-1</f>
        <v>1.3349855936346078E-2</v>
      </c>
      <c r="EI21" s="60">
        <f>EI20/ED20-1</f>
        <v>5.4478284201798788E-2</v>
      </c>
      <c r="EJ21" s="59">
        <f>(1+EN21)^(1/4)-1</f>
        <v>1.3475174441242466E-2</v>
      </c>
      <c r="EK21" s="59">
        <f>(1+EN21)^(1/4)-1</f>
        <v>1.3475174441242466E-2</v>
      </c>
      <c r="EL21" s="59">
        <f>(1+EN21)^(1/4)-1</f>
        <v>1.3475174441242466E-2</v>
      </c>
      <c r="EM21" s="59">
        <f>(1+EN21)^(1/4)-1</f>
        <v>1.3475174441242466E-2</v>
      </c>
      <c r="EN21" s="60">
        <f>EN20/EI20-1</f>
        <v>5.4999999999999938E-2</v>
      </c>
      <c r="EO21" s="59">
        <f>(1+ES21)^(1/4)-1</f>
        <v>1.3475174441242466E-2</v>
      </c>
      <c r="EP21" s="59">
        <f>(1+ES21)^(1/4)-1</f>
        <v>1.3475174441242466E-2</v>
      </c>
      <c r="EQ21" s="59">
        <f>(1+ES21)^(1/4)-1</f>
        <v>1.3475174441242466E-2</v>
      </c>
      <c r="ER21" s="59">
        <f>(1+ES21)^(1/4)-1</f>
        <v>1.3475174441242466E-2</v>
      </c>
      <c r="ES21" s="60">
        <f>+EN21</f>
        <v>5.4999999999999938E-2</v>
      </c>
      <c r="ET21" s="59">
        <f>(1+EX21)^(1/4)-1</f>
        <v>1.3475174441242466E-2</v>
      </c>
      <c r="EU21" s="59">
        <f>(1+EX21)^(1/4)-1</f>
        <v>1.3475174441242466E-2</v>
      </c>
      <c r="EV21" s="59">
        <f>(1+EX21)^(1/4)-1</f>
        <v>1.3475174441242466E-2</v>
      </c>
      <c r="EW21" s="59">
        <f>(1+EX21)^(1/4)-1</f>
        <v>1.3475174441242466E-2</v>
      </c>
      <c r="EX21" s="60">
        <f>+ES21</f>
        <v>5.4999999999999938E-2</v>
      </c>
      <c r="EY21" s="59">
        <f>(1+FC21)^(1/4)-1</f>
        <v>1.3475174441242466E-2</v>
      </c>
      <c r="EZ21" s="59">
        <f>(1+FC21)^(1/4)-1</f>
        <v>1.3475174441242466E-2</v>
      </c>
      <c r="FA21" s="59">
        <f>(1+FC21)^(1/4)-1</f>
        <v>1.3475174441242466E-2</v>
      </c>
      <c r="FB21" s="59">
        <f>(1+FC21)^(1/4)-1</f>
        <v>1.3475174441242466E-2</v>
      </c>
      <c r="FC21" s="60">
        <f>+EX21</f>
        <v>5.4999999999999938E-2</v>
      </c>
      <c r="FD21" s="59">
        <f>(1+FH21)^(1/4)-1</f>
        <v>1.3475174441242466E-2</v>
      </c>
      <c r="FE21" s="59">
        <f>(1+FH21)^(1/4)-1</f>
        <v>1.3475174441242466E-2</v>
      </c>
      <c r="FF21" s="59">
        <f>(1+FH21)^(1/4)-1</f>
        <v>1.3475174441242466E-2</v>
      </c>
      <c r="FG21" s="59">
        <f>(1+FH21)^(1/4)-1</f>
        <v>1.3475174441242466E-2</v>
      </c>
      <c r="FH21" s="60">
        <f>+FC21</f>
        <v>5.4999999999999938E-2</v>
      </c>
      <c r="FI21" s="59">
        <f>(1+FM21)^(1/4)-1</f>
        <v>1.3475174441242466E-2</v>
      </c>
      <c r="FJ21" s="59">
        <f>(1+FM21)^(1/4)-1</f>
        <v>1.3475174441242466E-2</v>
      </c>
      <c r="FK21" s="59">
        <f>(1+FM21)^(1/4)-1</f>
        <v>1.3475174441242466E-2</v>
      </c>
      <c r="FL21" s="59">
        <f>(1+FM21)^(1/4)-1</f>
        <v>1.3475174441242466E-2</v>
      </c>
      <c r="FM21" s="60">
        <f>+FH21</f>
        <v>5.4999999999999938E-2</v>
      </c>
      <c r="FN21" s="59">
        <f>(1+FR21)^(1/4)-1</f>
        <v>1.3475174441242466E-2</v>
      </c>
      <c r="FO21" s="59">
        <f>(1+FR21)^(1/4)-1</f>
        <v>1.3475174441242466E-2</v>
      </c>
      <c r="FP21" s="59">
        <f>(1+FR21)^(1/4)-1</f>
        <v>1.3475174441242466E-2</v>
      </c>
      <c r="FQ21" s="59">
        <f>(1+FR21)^(1/4)-1</f>
        <v>1.3475174441242466E-2</v>
      </c>
      <c r="FR21" s="60">
        <f>+FM21</f>
        <v>5.4999999999999938E-2</v>
      </c>
      <c r="FS21" s="59">
        <f>(1+FW21)^(1/4)-1</f>
        <v>1.3475174441242466E-2</v>
      </c>
      <c r="FT21" s="59">
        <f>(1+FW21)^(1/4)-1</f>
        <v>1.3475174441242466E-2</v>
      </c>
      <c r="FU21" s="59">
        <f>(1+FW21)^(1/4)-1</f>
        <v>1.3475174441242466E-2</v>
      </c>
      <c r="FV21" s="59">
        <f>(1+FW21)^(1/4)-1</f>
        <v>1.3475174441242466E-2</v>
      </c>
      <c r="FW21" s="60">
        <f>+FR21</f>
        <v>5.4999999999999938E-2</v>
      </c>
      <c r="FX21" s="59">
        <f>(1+GB21)^(1/4)-1</f>
        <v>1.3475174441242466E-2</v>
      </c>
      <c r="FY21" s="59">
        <f>(1+GB21)^(1/4)-1</f>
        <v>1.3475174441242466E-2</v>
      </c>
      <c r="FZ21" s="59">
        <f>(1+GB21)^(1/4)-1</f>
        <v>1.3475174441242466E-2</v>
      </c>
      <c r="GA21" s="59">
        <f>(1+GB21)^(1/4)-1</f>
        <v>1.3475174441242466E-2</v>
      </c>
      <c r="GB21" s="60">
        <f>+FW21</f>
        <v>5.4999999999999938E-2</v>
      </c>
    </row>
    <row r="22" spans="1:184" s="18" customFormat="1">
      <c r="A22" s="54">
        <f t="shared" si="0"/>
        <v>18</v>
      </c>
      <c r="C22" s="30"/>
      <c r="D22" s="30"/>
      <c r="E22"/>
      <c r="F22"/>
      <c r="G22"/>
      <c r="H22"/>
      <c r="I22" s="30"/>
      <c r="J22" s="45"/>
      <c r="K22" s="45"/>
      <c r="L22" s="45"/>
      <c r="M22" s="45"/>
      <c r="N22" s="30"/>
      <c r="O22" s="45"/>
      <c r="P22" s="45"/>
      <c r="Q22" s="45"/>
      <c r="R22" s="45"/>
      <c r="S22" s="30"/>
      <c r="T22" s="45"/>
      <c r="U22" s="45"/>
      <c r="V22" s="45"/>
      <c r="W22" s="45"/>
      <c r="X22" s="30"/>
      <c r="Y22" s="45"/>
      <c r="Z22" s="45"/>
      <c r="AA22" s="45"/>
      <c r="AB22" s="45"/>
      <c r="AC22" s="30"/>
      <c r="AD22" s="19"/>
      <c r="AE22" s="19"/>
      <c r="AF22" s="19"/>
      <c r="AG22" s="19"/>
      <c r="AH22" s="30"/>
      <c r="AI22" s="19"/>
      <c r="AJ22" s="19"/>
      <c r="AK22" s="19"/>
      <c r="AL22" s="19"/>
      <c r="AM22" s="30"/>
      <c r="AN22" s="19"/>
      <c r="AO22" s="19"/>
      <c r="AP22" s="19"/>
      <c r="AQ22" s="19"/>
      <c r="AR22" s="30"/>
      <c r="AS22" s="19"/>
      <c r="AT22" s="19"/>
      <c r="AU22" s="61"/>
      <c r="AV22" s="61"/>
      <c r="AW22" s="62"/>
      <c r="AX22" s="61"/>
      <c r="AY22" s="61"/>
      <c r="AZ22" s="61"/>
      <c r="BA22" s="61"/>
      <c r="BB22" s="62"/>
      <c r="BC22" s="61"/>
      <c r="BD22" s="61"/>
      <c r="BE22" s="61"/>
      <c r="BF22" s="61"/>
      <c r="BG22" s="62"/>
      <c r="BH22" s="61"/>
      <c r="BI22" s="61"/>
      <c r="BJ22" s="61"/>
      <c r="BK22" s="61"/>
      <c r="BL22" s="62"/>
      <c r="BM22" s="61"/>
      <c r="BN22" s="61"/>
      <c r="BO22" s="61"/>
      <c r="BP22" s="61"/>
      <c r="BQ22" s="62"/>
      <c r="BR22" s="61"/>
      <c r="BS22" s="61"/>
      <c r="BT22" s="61"/>
      <c r="BU22" s="61"/>
      <c r="BV22" s="62"/>
      <c r="BW22" s="61"/>
      <c r="BX22" s="61"/>
      <c r="BY22" s="61"/>
      <c r="BZ22" s="61"/>
      <c r="CA22" s="62"/>
      <c r="CB22" s="61"/>
      <c r="CC22" s="61"/>
      <c r="CD22" s="61"/>
      <c r="CE22" s="61"/>
      <c r="CF22" s="62"/>
      <c r="CG22" s="61"/>
      <c r="CH22" s="61"/>
      <c r="CI22" s="61"/>
      <c r="CJ22" s="61"/>
      <c r="CK22" s="62"/>
      <c r="CL22" s="61"/>
      <c r="CM22" s="61"/>
      <c r="CN22" s="61"/>
      <c r="CO22" s="61"/>
      <c r="CP22" s="62"/>
      <c r="CQ22" s="61"/>
      <c r="CR22" s="61"/>
      <c r="CS22" s="61"/>
      <c r="CT22" s="61"/>
      <c r="CU22" s="62"/>
      <c r="CV22" s="61"/>
      <c r="CW22" s="61"/>
      <c r="CX22" s="61"/>
      <c r="CY22" s="61"/>
      <c r="CZ22" s="62"/>
      <c r="DA22" s="61"/>
      <c r="DB22" s="61"/>
      <c r="DC22" s="61"/>
      <c r="DD22" s="61"/>
      <c r="DE22" s="62"/>
      <c r="DF22" s="61"/>
      <c r="DG22" s="61"/>
      <c r="DH22" s="61"/>
      <c r="DI22" s="61"/>
      <c r="DJ22" s="62"/>
      <c r="DK22" s="61"/>
      <c r="DL22" s="61"/>
      <c r="DM22" s="61"/>
      <c r="DN22" s="61"/>
      <c r="DO22" s="62"/>
      <c r="DP22" s="61"/>
      <c r="DQ22" s="61"/>
      <c r="DR22" s="61"/>
      <c r="DS22" s="61"/>
      <c r="DT22" s="62"/>
      <c r="DU22" s="61"/>
      <c r="DV22" s="61"/>
      <c r="DW22" s="61"/>
      <c r="DX22" s="61"/>
      <c r="DY22" s="62"/>
      <c r="DZ22" s="61"/>
      <c r="EA22" s="61"/>
      <c r="EB22" s="61"/>
      <c r="EC22" s="61"/>
      <c r="ED22" s="62"/>
      <c r="EE22" s="61"/>
      <c r="EF22" s="61"/>
      <c r="EG22" s="61"/>
      <c r="EH22" s="61"/>
      <c r="EI22" s="62"/>
      <c r="EJ22" s="61"/>
      <c r="EK22" s="61"/>
      <c r="EL22" s="61"/>
      <c r="EM22" s="61"/>
      <c r="EN22" s="62"/>
      <c r="EO22" s="61"/>
      <c r="EP22" s="61"/>
      <c r="EQ22" s="61"/>
      <c r="ER22" s="61"/>
      <c r="ES22" s="62"/>
      <c r="ET22" s="61"/>
      <c r="EU22" s="61"/>
      <c r="EV22" s="61"/>
      <c r="EW22" s="61"/>
      <c r="EX22" s="62"/>
      <c r="EY22" s="61"/>
      <c r="EZ22" s="61"/>
      <c r="FA22" s="61"/>
      <c r="FB22" s="61"/>
      <c r="FC22" s="62"/>
      <c r="FD22" s="61"/>
      <c r="FE22" s="61"/>
      <c r="FF22" s="61"/>
      <c r="FG22" s="61"/>
      <c r="FH22" s="62"/>
      <c r="FI22" s="61"/>
      <c r="FJ22" s="61"/>
      <c r="FK22" s="61"/>
      <c r="FL22" s="61"/>
      <c r="FM22" s="62"/>
      <c r="FN22" s="61"/>
      <c r="FO22" s="61"/>
      <c r="FP22" s="61"/>
      <c r="FQ22" s="61"/>
      <c r="FR22" s="62"/>
      <c r="FS22" s="61"/>
      <c r="FT22" s="61"/>
      <c r="FU22" s="61"/>
      <c r="FV22" s="61"/>
      <c r="FW22" s="62"/>
      <c r="FX22" s="61"/>
      <c r="FY22" s="61"/>
      <c r="FZ22" s="61"/>
      <c r="GA22" s="61"/>
      <c r="GB22" s="62"/>
    </row>
    <row r="23" spans="1:184" s="25" customFormat="1">
      <c r="A23" s="54">
        <f t="shared" si="0"/>
        <v>19</v>
      </c>
      <c r="B23" s="18" t="s">
        <v>333</v>
      </c>
      <c r="C23" s="43"/>
      <c r="D23" s="43"/>
      <c r="E23" s="42"/>
      <c r="F23" s="42"/>
      <c r="G23" s="42"/>
      <c r="H23" s="42"/>
      <c r="I23" s="43"/>
      <c r="J23" s="42"/>
      <c r="K23" s="42"/>
      <c r="L23" s="42"/>
      <c r="M23" s="42"/>
      <c r="N23" s="43"/>
      <c r="O23" s="42"/>
      <c r="P23" s="42"/>
      <c r="Q23" s="42"/>
      <c r="R23" s="42"/>
      <c r="S23" s="43"/>
      <c r="T23" s="42"/>
      <c r="U23" s="42"/>
      <c r="V23" s="42"/>
      <c r="W23" s="42"/>
      <c r="X23" s="43"/>
      <c r="Y23" s="42"/>
      <c r="Z23" s="42"/>
      <c r="AA23" s="42"/>
      <c r="AB23" s="42"/>
      <c r="AC23" s="43"/>
      <c r="AD23" s="42"/>
      <c r="AE23" s="42"/>
      <c r="AF23" s="42"/>
      <c r="AG23" s="42"/>
      <c r="AH23" s="43"/>
      <c r="AI23" s="42"/>
      <c r="AJ23" s="42"/>
      <c r="AK23" s="42"/>
      <c r="AL23" s="42"/>
      <c r="AM23" s="43"/>
      <c r="AN23" s="42"/>
      <c r="AO23" s="42"/>
      <c r="AP23" s="42"/>
      <c r="AQ23" s="42"/>
      <c r="AR23" s="43"/>
      <c r="AS23" s="42"/>
      <c r="AT23" s="42"/>
      <c r="AU23" s="64"/>
      <c r="AV23" s="64"/>
      <c r="AW23" s="60"/>
      <c r="AX23" s="64"/>
      <c r="AY23" s="64"/>
      <c r="AZ23" s="64"/>
      <c r="BA23" s="64"/>
      <c r="BB23" s="60"/>
      <c r="BC23" s="64"/>
      <c r="BD23" s="64"/>
      <c r="BE23" s="64"/>
      <c r="BF23" s="64"/>
      <c r="BG23" s="60"/>
      <c r="BH23" s="64"/>
      <c r="BI23" s="64"/>
      <c r="BJ23" s="64"/>
      <c r="BK23" s="64"/>
      <c r="BL23" s="60"/>
      <c r="BM23" s="64"/>
      <c r="BN23" s="64"/>
      <c r="BO23" s="64"/>
      <c r="BP23" s="64"/>
      <c r="BQ23" s="60"/>
      <c r="BR23" s="64"/>
      <c r="BS23" s="64"/>
      <c r="BT23" s="64"/>
      <c r="BU23" s="64"/>
      <c r="BV23" s="60"/>
      <c r="BW23" s="64"/>
      <c r="BX23" s="64"/>
      <c r="BY23" s="64"/>
      <c r="BZ23" s="64"/>
      <c r="CA23" s="60"/>
      <c r="CB23" s="64"/>
      <c r="CC23" s="64"/>
      <c r="CD23" s="64"/>
      <c r="CE23" s="64"/>
      <c r="CF23" s="60"/>
      <c r="CG23" s="64"/>
      <c r="CH23" s="64"/>
      <c r="CI23" s="64"/>
      <c r="CJ23" s="64"/>
      <c r="CK23" s="60"/>
      <c r="CL23" s="64"/>
      <c r="CM23" s="64"/>
      <c r="CN23" s="64"/>
      <c r="CO23" s="64"/>
      <c r="CP23" s="60"/>
      <c r="CQ23" s="64"/>
      <c r="CR23" s="64"/>
      <c r="CS23" s="64"/>
      <c r="CT23" s="64"/>
      <c r="CU23" s="60"/>
      <c r="CV23" s="64"/>
      <c r="CW23" s="64"/>
      <c r="CX23" s="64"/>
      <c r="CY23" s="64"/>
      <c r="CZ23" s="60"/>
      <c r="DA23" s="64"/>
      <c r="DB23" s="64"/>
      <c r="DC23" s="64"/>
      <c r="DD23" s="64"/>
      <c r="DE23" s="60"/>
      <c r="DF23" s="64"/>
      <c r="DG23" s="64"/>
      <c r="DH23" s="64"/>
      <c r="DI23" s="64"/>
      <c r="DJ23" s="60"/>
      <c r="DK23" s="64"/>
      <c r="DL23" s="64"/>
      <c r="DM23" s="64"/>
      <c r="DN23" s="64"/>
      <c r="DO23" s="60"/>
      <c r="DP23" s="64"/>
      <c r="DQ23" s="64"/>
      <c r="DR23" s="64"/>
      <c r="DS23" s="64"/>
      <c r="DT23" s="60"/>
      <c r="DU23" s="64"/>
      <c r="DV23" s="64"/>
      <c r="DW23" s="64"/>
      <c r="DX23" s="64"/>
      <c r="DY23" s="60"/>
      <c r="DZ23" s="64"/>
      <c r="EA23" s="64"/>
      <c r="EB23" s="64"/>
      <c r="EC23" s="64"/>
      <c r="ED23" s="60"/>
      <c r="EE23" s="64"/>
      <c r="EF23" s="64"/>
      <c r="EG23" s="64"/>
      <c r="EH23" s="64"/>
      <c r="EI23" s="60"/>
      <c r="EJ23" s="64"/>
      <c r="EK23" s="64"/>
      <c r="EL23" s="64"/>
      <c r="EM23" s="64"/>
      <c r="EN23" s="60"/>
      <c r="EO23" s="64"/>
      <c r="EP23" s="64"/>
      <c r="EQ23" s="64"/>
      <c r="ER23" s="64"/>
      <c r="ES23" s="60"/>
      <c r="ET23" s="64"/>
      <c r="EU23" s="64"/>
      <c r="EV23" s="64"/>
      <c r="EW23" s="64"/>
      <c r="EX23" s="60"/>
      <c r="EY23" s="64"/>
      <c r="EZ23" s="64"/>
      <c r="FA23" s="64"/>
      <c r="FB23" s="64"/>
      <c r="FC23" s="60"/>
      <c r="FD23" s="64"/>
      <c r="FE23" s="64"/>
      <c r="FF23" s="64"/>
      <c r="FG23" s="64"/>
      <c r="FH23" s="60"/>
      <c r="FI23" s="64"/>
      <c r="FJ23" s="64"/>
      <c r="FK23" s="64"/>
      <c r="FL23" s="64"/>
      <c r="FM23" s="60"/>
      <c r="FN23" s="64"/>
      <c r="FO23" s="64"/>
      <c r="FP23" s="64"/>
      <c r="FQ23" s="64"/>
      <c r="FR23" s="60"/>
      <c r="FS23" s="64"/>
      <c r="FT23" s="64"/>
      <c r="FU23" s="64"/>
      <c r="FV23" s="64"/>
      <c r="FW23" s="60"/>
      <c r="FX23" s="64"/>
      <c r="FY23" s="64"/>
      <c r="FZ23" s="64"/>
      <c r="GA23" s="64"/>
      <c r="GB23" s="60"/>
    </row>
    <row r="24" spans="1:184" s="25" customFormat="1">
      <c r="A24" s="54">
        <f t="shared" si="0"/>
        <v>20</v>
      </c>
      <c r="B24" s="22" t="s">
        <v>317</v>
      </c>
      <c r="C24" s="43">
        <v>0.1728796608524408</v>
      </c>
      <c r="D24" s="43">
        <v>0.19107361756284999</v>
      </c>
      <c r="E24" s="44">
        <v>5.67E-2</v>
      </c>
      <c r="F24" s="44">
        <v>5.7799999999999997E-2</v>
      </c>
      <c r="G24" s="44">
        <v>4.7899999999999998E-2</v>
      </c>
      <c r="H24" s="44">
        <v>4.3999999999999997E-2</v>
      </c>
      <c r="I24" s="43">
        <v>0.232477847533412</v>
      </c>
      <c r="J24" s="44">
        <v>3.7600000000000001E-2</v>
      </c>
      <c r="K24" s="44">
        <v>3.6600000000000001E-2</v>
      </c>
      <c r="L24" s="44">
        <v>3.8699999999999998E-2</v>
      </c>
      <c r="M24" s="44">
        <v>3.9899999999999998E-2</v>
      </c>
      <c r="N24" s="43">
        <v>0.16173958393715426</v>
      </c>
      <c r="O24" s="44">
        <v>4.19E-2</v>
      </c>
      <c r="P24" s="44">
        <v>4.5699999999999998E-2</v>
      </c>
      <c r="Q24" s="44">
        <v>4.7399999999999998E-2</v>
      </c>
      <c r="R24" s="44">
        <v>4.3200000000000002E-2</v>
      </c>
      <c r="S24" s="43">
        <v>0.18999579230339658</v>
      </c>
      <c r="T24" s="44">
        <v>4.0399999999999998E-2</v>
      </c>
      <c r="U24" s="44">
        <v>3.5799999999999998E-2</v>
      </c>
      <c r="V24" s="44">
        <v>3.5299999999999998E-2</v>
      </c>
      <c r="W24" s="44">
        <v>3.1800000000000002E-2</v>
      </c>
      <c r="X24" s="43">
        <v>0.15027137373090915</v>
      </c>
      <c r="Y24" s="44">
        <v>3.0300000000000001E-2</v>
      </c>
      <c r="Z24" s="44">
        <v>2.8899999999999999E-2</v>
      </c>
      <c r="AA24" s="44">
        <v>2.7799999999999998E-2</v>
      </c>
      <c r="AB24" s="44">
        <v>2.63E-2</v>
      </c>
      <c r="AC24" s="43">
        <v>0.11815816798855039</v>
      </c>
      <c r="AD24" s="44">
        <v>2.58E-2</v>
      </c>
      <c r="AE24" s="44">
        <v>2.7400000000000001E-2</v>
      </c>
      <c r="AF24" s="44">
        <v>3.2099999999999997E-2</v>
      </c>
      <c r="AG24" s="44">
        <v>3.32E-2</v>
      </c>
      <c r="AH24" s="43">
        <v>0.12377829350004177</v>
      </c>
      <c r="AI24" s="44">
        <v>2.8899999999999999E-2</v>
      </c>
      <c r="AJ24" s="44">
        <v>2.3800000000000002E-2</v>
      </c>
      <c r="AK24" s="44">
        <v>2.18E-2</v>
      </c>
      <c r="AL24" s="44">
        <v>2.0899999999999998E-2</v>
      </c>
      <c r="AM24" s="43">
        <v>9.8767697578293845E-2</v>
      </c>
      <c r="AN24" s="44">
        <v>2.0199999999999999E-2</v>
      </c>
      <c r="AO24" s="44">
        <v>2.2200000000000001E-2</v>
      </c>
      <c r="AP24" s="44">
        <v>2.6100000000000002E-2</v>
      </c>
      <c r="AQ24" s="44">
        <v>2.5597588604019395E-2</v>
      </c>
      <c r="AR24" s="52">
        <v>9.7570448081791383E-2</v>
      </c>
      <c r="AS24" s="44">
        <v>2.6429304607999971E-2</v>
      </c>
      <c r="AT24" s="44">
        <v>2.7997721610158122E-2</v>
      </c>
      <c r="AU24" s="63">
        <v>3.0061838806279884E-2</v>
      </c>
      <c r="AV24" s="63">
        <v>2.667951876968222E-2</v>
      </c>
      <c r="AW24" s="60">
        <v>0.11588487508441325</v>
      </c>
      <c r="AX24" s="63">
        <v>2.4598423466000163E-2</v>
      </c>
      <c r="AY24" s="63">
        <v>2.0902685359541096E-2</v>
      </c>
      <c r="AZ24" s="63">
        <v>2.0043688781265834E-2</v>
      </c>
      <c r="BA24" s="63">
        <v>1.9287258507413751E-2</v>
      </c>
      <c r="BB24" s="69">
        <v>8.756043060229167E-2</v>
      </c>
      <c r="BC24" s="63">
        <v>1.8652710291814367E-2</v>
      </c>
      <c r="BD24" s="63">
        <v>1.960468081896205E-2</v>
      </c>
      <c r="BE24" s="63">
        <v>2.0753918290438822E-2</v>
      </c>
      <c r="BF24" s="63">
        <v>2.2893074288564463E-2</v>
      </c>
      <c r="BG24" s="60">
        <v>8.444931666376497E-2</v>
      </c>
      <c r="BH24" s="63">
        <v>2.2372972193005491E-2</v>
      </c>
      <c r="BI24" s="63">
        <v>2.2372972211771813E-2</v>
      </c>
      <c r="BJ24" s="63">
        <v>2.424575622323033E-2</v>
      </c>
      <c r="BK24" s="63">
        <v>2.3870925168885115E-2</v>
      </c>
      <c r="BL24" s="60">
        <v>9.6145242716012547E-2</v>
      </c>
      <c r="BM24" s="63">
        <v>2.2372972174196759E-2</v>
      </c>
      <c r="BN24" s="63">
        <v>2.2372972211771813E-2</v>
      </c>
      <c r="BO24" s="63">
        <v>2.3870925178272495E-2</v>
      </c>
      <c r="BP24" s="63">
        <v>2.3121674555527605E-2</v>
      </c>
      <c r="BQ24" s="60">
        <v>9.4942253320802195E-2</v>
      </c>
      <c r="BR24" s="59">
        <f>(1+BV24)^(1/4)-1</f>
        <v>2.3344738206412918E-2</v>
      </c>
      <c r="BS24" s="59">
        <f>(1+BV24)^(1/4)-1</f>
        <v>2.3344738206412918E-2</v>
      </c>
      <c r="BT24" s="59">
        <f>(1+BV24)^(1/4)-1</f>
        <v>2.3344738206412918E-2</v>
      </c>
      <c r="BU24" s="59">
        <f>(1+BV24)^(1/4)-1</f>
        <v>2.3344738206412918E-2</v>
      </c>
      <c r="BV24" s="60">
        <v>9.6699999999999994E-2</v>
      </c>
      <c r="BW24" s="59">
        <f>(1+CA24)^(1/4)-1</f>
        <v>2.3344738206412918E-2</v>
      </c>
      <c r="BX24" s="59">
        <f>(1+CA24)^(1/4)-1</f>
        <v>2.3344738206412918E-2</v>
      </c>
      <c r="BY24" s="59">
        <f>(1+CA24)^(1/4)-1</f>
        <v>2.3344738206412918E-2</v>
      </c>
      <c r="BZ24" s="59">
        <f>(1+CA24)^(1/4)-1</f>
        <v>2.3344738206412918E-2</v>
      </c>
      <c r="CA24" s="60">
        <v>9.6699999999999994E-2</v>
      </c>
      <c r="CB24" s="59">
        <f>(1+CF24)^(1/4)-1</f>
        <v>2.2784410525184207E-2</v>
      </c>
      <c r="CC24" s="59">
        <f>(1+CF24)^(1/4)-1</f>
        <v>2.2784410525184207E-2</v>
      </c>
      <c r="CD24" s="59">
        <f>(1+CF24)^(1/4)-1</f>
        <v>2.2784410525184207E-2</v>
      </c>
      <c r="CE24" s="59">
        <f>(1+CF24)^(1/4)-1</f>
        <v>2.2784410525184207E-2</v>
      </c>
      <c r="CF24" s="60">
        <v>9.4299999999999995E-2</v>
      </c>
      <c r="CG24" s="59">
        <f>(1+CK24)^(1/4)-1</f>
        <v>2.276104354488484E-2</v>
      </c>
      <c r="CH24" s="59">
        <f>(1+CK24)^(1/4)-1</f>
        <v>2.276104354488484E-2</v>
      </c>
      <c r="CI24" s="59">
        <f>(1+CK24)^(1/4)-1</f>
        <v>2.276104354488484E-2</v>
      </c>
      <c r="CJ24" s="59">
        <f>(1+CK24)^(1/4)-1</f>
        <v>2.276104354488484E-2</v>
      </c>
      <c r="CK24" s="60">
        <v>9.4200000000000006E-2</v>
      </c>
      <c r="CL24" s="59">
        <f>(1+CP24)^(1/4)-1</f>
        <v>2.276104354488484E-2</v>
      </c>
      <c r="CM24" s="59">
        <f>(1+CP24)^(1/4)-1</f>
        <v>2.276104354488484E-2</v>
      </c>
      <c r="CN24" s="59">
        <f>(1+CP24)^(1/4)-1</f>
        <v>2.276104354488484E-2</v>
      </c>
      <c r="CO24" s="59">
        <f>(1+CP24)^(1/4)-1</f>
        <v>2.276104354488484E-2</v>
      </c>
      <c r="CP24" s="60">
        <v>9.4200000000000006E-2</v>
      </c>
      <c r="CQ24" s="59">
        <f>(1+CU24)^(1/4)-1</f>
        <v>2.276104354488484E-2</v>
      </c>
      <c r="CR24" s="59">
        <f>(1+CU24)^(1/4)-1</f>
        <v>2.276104354488484E-2</v>
      </c>
      <c r="CS24" s="59">
        <f>(1+CU24)^(1/4)-1</f>
        <v>2.276104354488484E-2</v>
      </c>
      <c r="CT24" s="59">
        <f>(1+CU24)^(1/4)-1</f>
        <v>2.276104354488484E-2</v>
      </c>
      <c r="CU24" s="60">
        <v>9.4200000000000006E-2</v>
      </c>
      <c r="CV24" s="59">
        <f>(1+CZ24)^(1/4)-1</f>
        <v>2.2199754916680581E-2</v>
      </c>
      <c r="CW24" s="59">
        <f>(1+CZ24)^(1/4)-1</f>
        <v>2.2199754916680581E-2</v>
      </c>
      <c r="CX24" s="59">
        <f>(1+CZ24)^(1/4)-1</f>
        <v>2.2199754916680581E-2</v>
      </c>
      <c r="CY24" s="59">
        <f>(1+CZ24)^(1/4)-1</f>
        <v>2.2199754916680581E-2</v>
      </c>
      <c r="CZ24" s="60">
        <v>9.1799999999999993E-2</v>
      </c>
      <c r="DA24" s="59">
        <f>(1+DE24)^(1/4)-1</f>
        <v>2.2199754916680581E-2</v>
      </c>
      <c r="DB24" s="59">
        <f>(1+DE24)^(1/4)-1</f>
        <v>2.2199754916680581E-2</v>
      </c>
      <c r="DC24" s="59">
        <f>(1+DE24)^(1/4)-1</f>
        <v>2.2199754916680581E-2</v>
      </c>
      <c r="DD24" s="59">
        <f>(1+DE24)^(1/4)-1</f>
        <v>2.2199754916680581E-2</v>
      </c>
      <c r="DE24" s="60">
        <v>9.1799999999999993E-2</v>
      </c>
      <c r="DF24" s="59">
        <f>(1+DJ24)^(1/4)-1</f>
        <v>2.2199754916680581E-2</v>
      </c>
      <c r="DG24" s="59">
        <f>(1+DJ24)^(1/4)-1</f>
        <v>2.2199754916680581E-2</v>
      </c>
      <c r="DH24" s="59">
        <f>(1+DJ24)^(1/4)-1</f>
        <v>2.2199754916680581E-2</v>
      </c>
      <c r="DI24" s="59">
        <f>(1+DJ24)^(1/4)-1</f>
        <v>2.2199754916680581E-2</v>
      </c>
      <c r="DJ24" s="60">
        <v>9.1799999999999993E-2</v>
      </c>
      <c r="DK24" s="59">
        <f>(1+DO24)^(1/4)-1</f>
        <v>2.2199754916680581E-2</v>
      </c>
      <c r="DL24" s="59">
        <f>(1+DO24)^(1/4)-1</f>
        <v>2.2199754916680581E-2</v>
      </c>
      <c r="DM24" s="59">
        <f>(1+DO24)^(1/4)-1</f>
        <v>2.2199754916680581E-2</v>
      </c>
      <c r="DN24" s="59">
        <f>(1+DO24)^(1/4)-1</f>
        <v>2.2199754916680581E-2</v>
      </c>
      <c r="DO24" s="60">
        <v>9.1799999999999993E-2</v>
      </c>
      <c r="DP24" s="59">
        <f>(1+DT24)^(1/4)-1</f>
        <v>2.2199754916680581E-2</v>
      </c>
      <c r="DQ24" s="59">
        <f>(1+DT24)^(1/4)-1</f>
        <v>2.2199754916680581E-2</v>
      </c>
      <c r="DR24" s="59">
        <f>(1+DT24)^(1/4)-1</f>
        <v>2.2199754916680581E-2</v>
      </c>
      <c r="DS24" s="59">
        <f>(1+DT24)^(1/4)-1</f>
        <v>2.2199754916680581E-2</v>
      </c>
      <c r="DT24" s="60">
        <v>9.1799999999999993E-2</v>
      </c>
      <c r="DU24" s="59">
        <f>(1+DY24)^(1/4)-1</f>
        <v>2.1614094387470084E-2</v>
      </c>
      <c r="DV24" s="59">
        <f>(1+DY24)^(1/4)-1</f>
        <v>2.1614094387470084E-2</v>
      </c>
      <c r="DW24" s="59">
        <f>(1+DY24)^(1/4)-1</f>
        <v>2.1614094387470084E-2</v>
      </c>
      <c r="DX24" s="59">
        <f>(1+DY24)^(1/4)-1</f>
        <v>2.1614094387470084E-2</v>
      </c>
      <c r="DY24" s="60">
        <v>8.929999999999999E-2</v>
      </c>
      <c r="DZ24" s="59">
        <f>(1+ED24)^(1/4)-1</f>
        <v>2.1614094387470084E-2</v>
      </c>
      <c r="EA24" s="59">
        <f>(1+ED24)^(1/4)-1</f>
        <v>2.1614094387470084E-2</v>
      </c>
      <c r="EB24" s="59">
        <f>(1+ED24)^(1/4)-1</f>
        <v>2.1614094387470084E-2</v>
      </c>
      <c r="EC24" s="59">
        <f>(1+ED24)^(1/4)-1</f>
        <v>2.1614094387470084E-2</v>
      </c>
      <c r="ED24" s="60">
        <v>8.929999999999999E-2</v>
      </c>
      <c r="EE24" s="59">
        <f>(1+EI24)^(1/4)-1</f>
        <v>2.1614094387470084E-2</v>
      </c>
      <c r="EF24" s="59">
        <f>(1+EI24)^(1/4)-1</f>
        <v>2.1614094387470084E-2</v>
      </c>
      <c r="EG24" s="59">
        <f>(1+EI24)^(1/4)-1</f>
        <v>2.1614094387470084E-2</v>
      </c>
      <c r="EH24" s="59">
        <f>(1+EI24)^(1/4)-1</f>
        <v>2.1614094387470084E-2</v>
      </c>
      <c r="EI24" s="60">
        <v>8.929999999999999E-2</v>
      </c>
      <c r="EJ24" s="59">
        <f>(1+EN24)^(1/4)-1</f>
        <v>2.1614094387470084E-2</v>
      </c>
      <c r="EK24" s="59">
        <f>(1+EN24)^(1/4)-1</f>
        <v>2.1614094387470084E-2</v>
      </c>
      <c r="EL24" s="59">
        <f>(1+EN24)^(1/4)-1</f>
        <v>2.1614094387470084E-2</v>
      </c>
      <c r="EM24" s="59">
        <f>(1+EN24)^(1/4)-1</f>
        <v>2.1614094387470084E-2</v>
      </c>
      <c r="EN24" s="60">
        <v>8.929999999999999E-2</v>
      </c>
      <c r="EO24" s="59">
        <f>(1+ES24)^(1/4)-1</f>
        <v>2.1614094387470084E-2</v>
      </c>
      <c r="EP24" s="59">
        <f>(1+ES24)^(1/4)-1</f>
        <v>2.1614094387470084E-2</v>
      </c>
      <c r="EQ24" s="59">
        <f>(1+ES24)^(1/4)-1</f>
        <v>2.1614094387470084E-2</v>
      </c>
      <c r="ER24" s="59">
        <f>(1+ES24)^(1/4)-1</f>
        <v>2.1614094387470084E-2</v>
      </c>
      <c r="ES24" s="60">
        <f>+EN24</f>
        <v>8.929999999999999E-2</v>
      </c>
      <c r="ET24" s="59">
        <f>(1+EX24)^(1/4)-1</f>
        <v>2.1614094387470084E-2</v>
      </c>
      <c r="EU24" s="59">
        <f>(1+EX24)^(1/4)-1</f>
        <v>2.1614094387470084E-2</v>
      </c>
      <c r="EV24" s="59">
        <f>(1+EX24)^(1/4)-1</f>
        <v>2.1614094387470084E-2</v>
      </c>
      <c r="EW24" s="59">
        <f>(1+EX24)^(1/4)-1</f>
        <v>2.1614094387470084E-2</v>
      </c>
      <c r="EX24" s="60">
        <f>+ES24</f>
        <v>8.929999999999999E-2</v>
      </c>
      <c r="EY24" s="59">
        <f>(1+FC24)^(1/4)-1</f>
        <v>2.1614094387470084E-2</v>
      </c>
      <c r="EZ24" s="59">
        <f>(1+FC24)^(1/4)-1</f>
        <v>2.1614094387470084E-2</v>
      </c>
      <c r="FA24" s="59">
        <f>(1+FC24)^(1/4)-1</f>
        <v>2.1614094387470084E-2</v>
      </c>
      <c r="FB24" s="59">
        <f>(1+FC24)^(1/4)-1</f>
        <v>2.1614094387470084E-2</v>
      </c>
      <c r="FC24" s="60">
        <f>+EX24</f>
        <v>8.929999999999999E-2</v>
      </c>
      <c r="FD24" s="59">
        <f>(1+FH24)^(1/4)-1</f>
        <v>2.1614094387470084E-2</v>
      </c>
      <c r="FE24" s="59">
        <f>(1+FH24)^(1/4)-1</f>
        <v>2.1614094387470084E-2</v>
      </c>
      <c r="FF24" s="59">
        <f>(1+FH24)^(1/4)-1</f>
        <v>2.1614094387470084E-2</v>
      </c>
      <c r="FG24" s="59">
        <f>(1+FH24)^(1/4)-1</f>
        <v>2.1614094387470084E-2</v>
      </c>
      <c r="FH24" s="60">
        <f>+FC24</f>
        <v>8.929999999999999E-2</v>
      </c>
      <c r="FI24" s="59">
        <f>(1+FM24)^(1/4)-1</f>
        <v>2.1614094387470084E-2</v>
      </c>
      <c r="FJ24" s="59">
        <f>(1+FM24)^(1/4)-1</f>
        <v>2.1614094387470084E-2</v>
      </c>
      <c r="FK24" s="59">
        <f>(1+FM24)^(1/4)-1</f>
        <v>2.1614094387470084E-2</v>
      </c>
      <c r="FL24" s="59">
        <f>(1+FM24)^(1/4)-1</f>
        <v>2.1614094387470084E-2</v>
      </c>
      <c r="FM24" s="60">
        <f>+FH24</f>
        <v>8.929999999999999E-2</v>
      </c>
      <c r="FN24" s="59">
        <f>(1+FR24)^(1/4)-1</f>
        <v>2.1614094387470084E-2</v>
      </c>
      <c r="FO24" s="59">
        <f>(1+FR24)^(1/4)-1</f>
        <v>2.1614094387470084E-2</v>
      </c>
      <c r="FP24" s="59">
        <f>(1+FR24)^(1/4)-1</f>
        <v>2.1614094387470084E-2</v>
      </c>
      <c r="FQ24" s="59">
        <f>(1+FR24)^(1/4)-1</f>
        <v>2.1614094387470084E-2</v>
      </c>
      <c r="FR24" s="60">
        <f>+FM24</f>
        <v>8.929999999999999E-2</v>
      </c>
      <c r="FS24" s="59">
        <f>(1+FW24)^(1/4)-1</f>
        <v>2.1614094387470084E-2</v>
      </c>
      <c r="FT24" s="59">
        <f>(1+FW24)^(1/4)-1</f>
        <v>2.1614094387470084E-2</v>
      </c>
      <c r="FU24" s="59">
        <f>(1+FW24)^(1/4)-1</f>
        <v>2.1614094387470084E-2</v>
      </c>
      <c r="FV24" s="59">
        <f>(1+FW24)^(1/4)-1</f>
        <v>2.1614094387470084E-2</v>
      </c>
      <c r="FW24" s="60">
        <f>+FR24</f>
        <v>8.929999999999999E-2</v>
      </c>
      <c r="FX24" s="59">
        <f>(1+GB24)^(1/4)-1</f>
        <v>2.1614094387470084E-2</v>
      </c>
      <c r="FY24" s="59">
        <f>(1+GB24)^(1/4)-1</f>
        <v>2.1614094387470084E-2</v>
      </c>
      <c r="FZ24" s="59">
        <f>(1+GB24)^(1/4)-1</f>
        <v>2.1614094387470084E-2</v>
      </c>
      <c r="GA24" s="59">
        <f>(1+GB24)^(1/4)-1</f>
        <v>2.1614094387470084E-2</v>
      </c>
      <c r="GB24" s="60">
        <f>+FW24</f>
        <v>8.929999999999999E-2</v>
      </c>
    </row>
    <row r="25" spans="1:184" s="25" customFormat="1">
      <c r="A25" s="54">
        <f t="shared" si="0"/>
        <v>21</v>
      </c>
      <c r="B25" s="22" t="s">
        <v>334</v>
      </c>
      <c r="C25" s="43">
        <v>8.8592878886300644E-2</v>
      </c>
      <c r="D25" s="43">
        <v>5.7559343295428445E-2</v>
      </c>
      <c r="E25" s="44">
        <v>3.0240498750792044E-2</v>
      </c>
      <c r="F25" s="44">
        <v>3.0240498750792044E-2</v>
      </c>
      <c r="G25" s="44">
        <v>3.0240498750792044E-2</v>
      </c>
      <c r="H25" s="44">
        <v>3.0240498750792044E-2</v>
      </c>
      <c r="I25" s="43">
        <v>0.12656037614364379</v>
      </c>
      <c r="J25" s="44">
        <v>1.9316451241239374E-2</v>
      </c>
      <c r="K25" s="44">
        <v>1.9316451241239374E-2</v>
      </c>
      <c r="L25" s="44">
        <v>1.9316451241239374E-2</v>
      </c>
      <c r="M25" s="44">
        <v>1.9316451241239374E-2</v>
      </c>
      <c r="N25" s="43">
        <v>7.9533525744542422E-2</v>
      </c>
      <c r="O25" s="44">
        <v>2.8447890201614978E-2</v>
      </c>
      <c r="P25" s="44">
        <v>2.8447890201614978E-2</v>
      </c>
      <c r="Q25" s="44">
        <v>2.8447890201614978E-2</v>
      </c>
      <c r="R25" s="44">
        <v>2.8447890201614978E-2</v>
      </c>
      <c r="S25" s="43">
        <v>0.11874000000000001</v>
      </c>
      <c r="T25" s="44">
        <v>2.7740559247070529E-2</v>
      </c>
      <c r="U25" s="44">
        <v>2.7740559247070529E-2</v>
      </c>
      <c r="V25" s="44">
        <v>2.7740559247070529E-2</v>
      </c>
      <c r="W25" s="44">
        <v>2.7740559247070529E-2</v>
      </c>
      <c r="X25" s="43">
        <v>0.11566545066956092</v>
      </c>
      <c r="Y25" s="44">
        <v>1.7157732020635086E-2</v>
      </c>
      <c r="Z25" s="44">
        <v>1.7157732020635086E-2</v>
      </c>
      <c r="AA25" s="44">
        <v>1.7157732020635086E-2</v>
      </c>
      <c r="AB25" s="44">
        <v>1.7157732020635086E-2</v>
      </c>
      <c r="AC25" s="43">
        <v>7.0417545460990327E-2</v>
      </c>
      <c r="AD25" s="44">
        <v>1.4948013686484574E-2</v>
      </c>
      <c r="AE25" s="44">
        <v>1.4948013686484574E-2</v>
      </c>
      <c r="AF25" s="44">
        <v>1.4948013686484574E-2</v>
      </c>
      <c r="AG25" s="44">
        <v>1.4948013686484574E-2</v>
      </c>
      <c r="AH25" s="43">
        <v>6.1146123474646208E-2</v>
      </c>
      <c r="AI25" s="44">
        <v>1.3077963191523656E-2</v>
      </c>
      <c r="AJ25" s="44">
        <v>1.3077963191523656E-2</v>
      </c>
      <c r="AK25" s="44">
        <v>1.3077963191523656E-2</v>
      </c>
      <c r="AL25" s="44">
        <v>1.3077963191523656E-2</v>
      </c>
      <c r="AM25" s="43">
        <v>5.334702780531253E-2</v>
      </c>
      <c r="AN25" s="44">
        <v>1.0107338608034144E-2</v>
      </c>
      <c r="AO25" s="44">
        <v>1.0107338608034144E-2</v>
      </c>
      <c r="AP25" s="44">
        <v>1.0107338608034144E-2</v>
      </c>
      <c r="AQ25" s="44">
        <v>1.0107338608034144E-2</v>
      </c>
      <c r="AR25" s="43">
        <v>4.1046444824743622E-2</v>
      </c>
      <c r="AS25" s="44">
        <v>2.0881135489014824E-3</v>
      </c>
      <c r="AT25" s="44">
        <v>2.0848236334650272E-2</v>
      </c>
      <c r="AU25" s="63">
        <v>2.0150580450469802E-2</v>
      </c>
      <c r="AV25" s="63">
        <v>1.7406763444239637E-2</v>
      </c>
      <c r="AW25" s="60">
        <v>6.1759107373379196E-2</v>
      </c>
      <c r="AX25" s="63">
        <v>1.8278312579557365E-2</v>
      </c>
      <c r="AY25" s="63">
        <v>-1.7177319677722513E-3</v>
      </c>
      <c r="AZ25" s="63">
        <v>1.2433216146295445E-2</v>
      </c>
      <c r="BA25" s="63">
        <v>8.6639867045024133E-3</v>
      </c>
      <c r="BB25" s="60">
        <v>3.8084607518435565E-2</v>
      </c>
      <c r="BC25" s="63">
        <v>6.690837947615158E-3</v>
      </c>
      <c r="BD25" s="63">
        <v>8.5972115224874912E-3</v>
      </c>
      <c r="BE25" s="63">
        <v>1.3264924820805879E-2</v>
      </c>
      <c r="BF25" s="63">
        <v>9.0948874731597851E-3</v>
      </c>
      <c r="BG25" s="60">
        <v>3.7750542261976161E-2</v>
      </c>
      <c r="BH25" s="63">
        <v>2.2372972193005491E-2</v>
      </c>
      <c r="BI25" s="63">
        <v>2.2372972211771813E-2</v>
      </c>
      <c r="BJ25" s="63">
        <v>2.424575622323033E-2</v>
      </c>
      <c r="BK25" s="63">
        <v>2.3870925168885115E-2</v>
      </c>
      <c r="BL25" s="60">
        <v>4.8942815996184219E-2</v>
      </c>
      <c r="BM25" s="63">
        <v>2.2372972174196759E-2</v>
      </c>
      <c r="BN25" s="63">
        <v>2.2372972211771813E-2</v>
      </c>
      <c r="BO25" s="63">
        <v>2.3870925178272495E-2</v>
      </c>
      <c r="BP25" s="63">
        <v>2.3121674555527605E-2</v>
      </c>
      <c r="BQ25" s="60">
        <v>4.7791629972059546E-2</v>
      </c>
      <c r="BR25" s="59">
        <f>(1+BV25)^(1/4)-1</f>
        <v>1.2145359420665747E-2</v>
      </c>
      <c r="BS25" s="59">
        <f>(1+BV25)^(1/4)-1</f>
        <v>1.2145359420665747E-2</v>
      </c>
      <c r="BT25" s="59">
        <f>(1+BV25)^(1/4)-1</f>
        <v>1.2145359420665747E-2</v>
      </c>
      <c r="BU25" s="59">
        <f>(1+BV25)^(1/4)-1</f>
        <v>1.2145359420665747E-2</v>
      </c>
      <c r="BV25" s="60">
        <v>4.9473684210526336E-2</v>
      </c>
      <c r="BW25" s="59">
        <f>(1+CA25)^(1/4)-1</f>
        <v>1.3359693169277653E-2</v>
      </c>
      <c r="BX25" s="59">
        <f>(1+CA25)^(1/4)-1</f>
        <v>1.3359693169277653E-2</v>
      </c>
      <c r="BY25" s="59">
        <f>(1+CA25)^(1/4)-1</f>
        <v>1.3359693169277653E-2</v>
      </c>
      <c r="BZ25" s="59">
        <f>(1+CA25)^(1/4)-1</f>
        <v>1.3359693169277653E-2</v>
      </c>
      <c r="CA25" s="60">
        <v>5.451923076923082E-2</v>
      </c>
      <c r="CB25" s="59">
        <f>(1+CF25)^(1/4)-1</f>
        <v>1.2804832753305462E-2</v>
      </c>
      <c r="CC25" s="59">
        <f>(1+CF25)^(1/4)-1</f>
        <v>1.2804832753305462E-2</v>
      </c>
      <c r="CD25" s="59">
        <f>(1+CF25)^(1/4)-1</f>
        <v>1.2804832753305462E-2</v>
      </c>
      <c r="CE25" s="59">
        <f>(1+CF25)^(1/4)-1</f>
        <v>1.2804832753305462E-2</v>
      </c>
      <c r="CF25" s="60">
        <v>5.2211538461538476E-2</v>
      </c>
      <c r="CG25" s="59">
        <f>(1+CK25)^(1/4)-1</f>
        <v>1.2781693770807623E-2</v>
      </c>
      <c r="CH25" s="59">
        <f>(1+CK25)^(1/4)-1</f>
        <v>1.2781693770807623E-2</v>
      </c>
      <c r="CI25" s="59">
        <f>(1+CK25)^(1/4)-1</f>
        <v>1.2781693770807623E-2</v>
      </c>
      <c r="CJ25" s="59">
        <f>(1+CK25)^(1/4)-1</f>
        <v>1.2781693770807623E-2</v>
      </c>
      <c r="CK25" s="60">
        <v>5.2115384615384563E-2</v>
      </c>
      <c r="CL25" s="59">
        <f>(1+CP25)^(1/4)-1</f>
        <v>1.2781693770807623E-2</v>
      </c>
      <c r="CM25" s="59">
        <f>(1+CP25)^(1/4)-1</f>
        <v>1.2781693770807623E-2</v>
      </c>
      <c r="CN25" s="59">
        <f>(1+CP25)^(1/4)-1</f>
        <v>1.2781693770807623E-2</v>
      </c>
      <c r="CO25" s="59">
        <f>(1+CP25)^(1/4)-1</f>
        <v>1.2781693770807623E-2</v>
      </c>
      <c r="CP25" s="60">
        <v>5.2115384615384563E-2</v>
      </c>
      <c r="CQ25" s="59">
        <f>(1+CU25)^(1/4)-1</f>
        <v>1.2781693770807623E-2</v>
      </c>
      <c r="CR25" s="59">
        <f>(1+CU25)^(1/4)-1</f>
        <v>1.2781693770807623E-2</v>
      </c>
      <c r="CS25" s="59">
        <f>(1+CU25)^(1/4)-1</f>
        <v>1.2781693770807623E-2</v>
      </c>
      <c r="CT25" s="59">
        <f>(1+CU25)^(1/4)-1</f>
        <v>1.2781693770807623E-2</v>
      </c>
      <c r="CU25" s="60">
        <v>5.2115384615384563E-2</v>
      </c>
      <c r="CV25" s="59">
        <f>(1+CZ25)^(1/4)-1</f>
        <v>1.2225881784073689E-2</v>
      </c>
      <c r="CW25" s="59">
        <f>(1+CZ25)^(1/4)-1</f>
        <v>1.2225881784073689E-2</v>
      </c>
      <c r="CX25" s="59">
        <f>(1+CZ25)^(1/4)-1</f>
        <v>1.2225881784073689E-2</v>
      </c>
      <c r="CY25" s="59">
        <f>(1+CZ25)^(1/4)-1</f>
        <v>1.2225881784073689E-2</v>
      </c>
      <c r="CZ25" s="60">
        <v>4.9807692307692442E-2</v>
      </c>
      <c r="DA25" s="59">
        <f>(1+DE25)^(1/4)-1</f>
        <v>1.2225881784073689E-2</v>
      </c>
      <c r="DB25" s="59">
        <f>(1+DE25)^(1/4)-1</f>
        <v>1.2225881784073689E-2</v>
      </c>
      <c r="DC25" s="59">
        <f>(1+DE25)^(1/4)-1</f>
        <v>1.2225881784073689E-2</v>
      </c>
      <c r="DD25" s="59">
        <f>(1+DE25)^(1/4)-1</f>
        <v>1.2225881784073689E-2</v>
      </c>
      <c r="DE25" s="60">
        <v>4.9807692307692442E-2</v>
      </c>
      <c r="DF25" s="59">
        <f>(1+DJ25)^(1/4)-1</f>
        <v>1.2225881784073689E-2</v>
      </c>
      <c r="DG25" s="59">
        <f>(1+DJ25)^(1/4)-1</f>
        <v>1.2225881784073689E-2</v>
      </c>
      <c r="DH25" s="59">
        <f>(1+DJ25)^(1/4)-1</f>
        <v>1.2225881784073689E-2</v>
      </c>
      <c r="DI25" s="59">
        <f>(1+DJ25)^(1/4)-1</f>
        <v>1.2225881784073689E-2</v>
      </c>
      <c r="DJ25" s="60">
        <v>4.9807692307692442E-2</v>
      </c>
      <c r="DK25" s="59">
        <f>(1+DO25)^(1/4)-1</f>
        <v>1.3446168365831124E-2</v>
      </c>
      <c r="DL25" s="59">
        <f>(1+DO25)^(1/4)-1</f>
        <v>1.3446168365831124E-2</v>
      </c>
      <c r="DM25" s="59">
        <f>(1+DO25)^(1/4)-1</f>
        <v>1.3446168365831124E-2</v>
      </c>
      <c r="DN25" s="59">
        <f>(1+DO25)^(1/4)-1</f>
        <v>1.3446168365831124E-2</v>
      </c>
      <c r="DO25" s="60">
        <v>5.4879227053140189E-2</v>
      </c>
      <c r="DP25" s="59">
        <f>(1+DT25)^(1/4)-1</f>
        <v>1.3446168365831124E-2</v>
      </c>
      <c r="DQ25" s="59">
        <f>(1+DT25)^(1/4)-1</f>
        <v>1.3446168365831124E-2</v>
      </c>
      <c r="DR25" s="59">
        <f>(1+DT25)^(1/4)-1</f>
        <v>1.3446168365831124E-2</v>
      </c>
      <c r="DS25" s="59">
        <f>(1+DT25)^(1/4)-1</f>
        <v>1.3446168365831124E-2</v>
      </c>
      <c r="DT25" s="60">
        <v>5.4879227053140189E-2</v>
      </c>
      <c r="DU25" s="59">
        <f>(1+DY25)^(1/4)-1</f>
        <v>1.2865523128501977E-2</v>
      </c>
      <c r="DV25" s="59">
        <f>(1+DY25)^(1/4)-1</f>
        <v>1.2865523128501977E-2</v>
      </c>
      <c r="DW25" s="59">
        <f>(1+DY25)^(1/4)-1</f>
        <v>1.2865523128501977E-2</v>
      </c>
      <c r="DX25" s="59">
        <f>(1+DY25)^(1/4)-1</f>
        <v>1.2865523128501977E-2</v>
      </c>
      <c r="DY25" s="60">
        <v>5.2463768115942111E-2</v>
      </c>
      <c r="DZ25" s="59">
        <f>(1+ED25)^(1/4)-1</f>
        <v>1.2865523128501977E-2</v>
      </c>
      <c r="EA25" s="59">
        <f>(1+ED25)^(1/4)-1</f>
        <v>1.2865523128501977E-2</v>
      </c>
      <c r="EB25" s="59">
        <f>(1+ED25)^(1/4)-1</f>
        <v>1.2865523128501977E-2</v>
      </c>
      <c r="EC25" s="59">
        <f>(1+ED25)^(1/4)-1</f>
        <v>1.2865523128501977E-2</v>
      </c>
      <c r="ED25" s="60">
        <v>5.2463768115942111E-2</v>
      </c>
      <c r="EE25" s="59">
        <f>(1+EI25)^(1/4)-1</f>
        <v>1.2865523128501977E-2</v>
      </c>
      <c r="EF25" s="59">
        <f>(1+EI25)^(1/4)-1</f>
        <v>1.2865523128501977E-2</v>
      </c>
      <c r="EG25" s="59">
        <f>(1+EI25)^(1/4)-1</f>
        <v>1.2865523128501977E-2</v>
      </c>
      <c r="EH25" s="59">
        <f>(1+EI25)^(1/4)-1</f>
        <v>1.2865523128501977E-2</v>
      </c>
      <c r="EI25" s="60">
        <v>5.2463768115942111E-2</v>
      </c>
      <c r="EJ25" s="59">
        <f>(1+EN25)^(1/4)-1</f>
        <v>1.2865523128501977E-2</v>
      </c>
      <c r="EK25" s="59">
        <f>(1+EN25)^(1/4)-1</f>
        <v>1.2865523128501977E-2</v>
      </c>
      <c r="EL25" s="59">
        <f>(1+EN25)^(1/4)-1</f>
        <v>1.2865523128501977E-2</v>
      </c>
      <c r="EM25" s="59">
        <f>(1+EN25)^(1/4)-1</f>
        <v>1.2865523128501977E-2</v>
      </c>
      <c r="EN25" s="60">
        <v>5.2463768115942111E-2</v>
      </c>
      <c r="EO25" s="59">
        <f>(1+ES25)^(1/4)-1</f>
        <v>1.2865523128501977E-2</v>
      </c>
      <c r="EP25" s="59">
        <f>(1+ES25)^(1/4)-1</f>
        <v>1.2865523128501977E-2</v>
      </c>
      <c r="EQ25" s="59">
        <f>(1+ES25)^(1/4)-1</f>
        <v>1.2865523128501977E-2</v>
      </c>
      <c r="ER25" s="59">
        <f>(1+ES25)^(1/4)-1</f>
        <v>1.2865523128501977E-2</v>
      </c>
      <c r="ES25" s="60">
        <f>+EN25</f>
        <v>5.2463768115942111E-2</v>
      </c>
      <c r="ET25" s="59">
        <f>(1+EX25)^(1/4)-1</f>
        <v>1.2865523128501977E-2</v>
      </c>
      <c r="EU25" s="59">
        <f>(1+EX25)^(1/4)-1</f>
        <v>1.2865523128501977E-2</v>
      </c>
      <c r="EV25" s="59">
        <f>(1+EX25)^(1/4)-1</f>
        <v>1.2865523128501977E-2</v>
      </c>
      <c r="EW25" s="59">
        <f>(1+EX25)^(1/4)-1</f>
        <v>1.2865523128501977E-2</v>
      </c>
      <c r="EX25" s="60">
        <f>+ES25</f>
        <v>5.2463768115942111E-2</v>
      </c>
      <c r="EY25" s="59">
        <f>(1+FC25)^(1/4)-1</f>
        <v>1.2865523128501977E-2</v>
      </c>
      <c r="EZ25" s="59">
        <f>(1+FC25)^(1/4)-1</f>
        <v>1.2865523128501977E-2</v>
      </c>
      <c r="FA25" s="59">
        <f>(1+FC25)^(1/4)-1</f>
        <v>1.2865523128501977E-2</v>
      </c>
      <c r="FB25" s="59">
        <f>(1+FC25)^(1/4)-1</f>
        <v>1.2865523128501977E-2</v>
      </c>
      <c r="FC25" s="60">
        <f>+EX25</f>
        <v>5.2463768115942111E-2</v>
      </c>
      <c r="FD25" s="59">
        <f>(1+FH25)^(1/4)-1</f>
        <v>1.2865523128501977E-2</v>
      </c>
      <c r="FE25" s="59">
        <f>(1+FH25)^(1/4)-1</f>
        <v>1.2865523128501977E-2</v>
      </c>
      <c r="FF25" s="59">
        <f>(1+FH25)^(1/4)-1</f>
        <v>1.2865523128501977E-2</v>
      </c>
      <c r="FG25" s="59">
        <f>(1+FH25)^(1/4)-1</f>
        <v>1.2865523128501977E-2</v>
      </c>
      <c r="FH25" s="60">
        <f>+FC25</f>
        <v>5.2463768115942111E-2</v>
      </c>
      <c r="FI25" s="59">
        <f>(1+FM25)^(1/4)-1</f>
        <v>1.2865523128501977E-2</v>
      </c>
      <c r="FJ25" s="59">
        <f>(1+FM25)^(1/4)-1</f>
        <v>1.2865523128501977E-2</v>
      </c>
      <c r="FK25" s="59">
        <f>(1+FM25)^(1/4)-1</f>
        <v>1.2865523128501977E-2</v>
      </c>
      <c r="FL25" s="59">
        <f>(1+FM25)^(1/4)-1</f>
        <v>1.2865523128501977E-2</v>
      </c>
      <c r="FM25" s="60">
        <f>+FH25</f>
        <v>5.2463768115942111E-2</v>
      </c>
      <c r="FN25" s="59">
        <f>(1+FR25)^(1/4)-1</f>
        <v>1.2865523128501977E-2</v>
      </c>
      <c r="FO25" s="59">
        <f>(1+FR25)^(1/4)-1</f>
        <v>1.2865523128501977E-2</v>
      </c>
      <c r="FP25" s="59">
        <f>(1+FR25)^(1/4)-1</f>
        <v>1.2865523128501977E-2</v>
      </c>
      <c r="FQ25" s="59">
        <f>(1+FR25)^(1/4)-1</f>
        <v>1.2865523128501977E-2</v>
      </c>
      <c r="FR25" s="60">
        <f>+FM25</f>
        <v>5.2463768115942111E-2</v>
      </c>
      <c r="FS25" s="59">
        <f>(1+FW25)^(1/4)-1</f>
        <v>1.2865523128501977E-2</v>
      </c>
      <c r="FT25" s="59">
        <f>(1+FW25)^(1/4)-1</f>
        <v>1.2865523128501977E-2</v>
      </c>
      <c r="FU25" s="59">
        <f>(1+FW25)^(1/4)-1</f>
        <v>1.2865523128501977E-2</v>
      </c>
      <c r="FV25" s="59">
        <f>(1+FW25)^(1/4)-1</f>
        <v>1.2865523128501977E-2</v>
      </c>
      <c r="FW25" s="60">
        <f>+FR25</f>
        <v>5.2463768115942111E-2</v>
      </c>
      <c r="FX25" s="59">
        <f>(1+GB25)^(1/4)-1</f>
        <v>1.2865523128501977E-2</v>
      </c>
      <c r="FY25" s="59">
        <f>(1+GB25)^(1/4)-1</f>
        <v>1.2865523128501977E-2</v>
      </c>
      <c r="FZ25" s="59">
        <f>(1+GB25)^(1/4)-1</f>
        <v>1.2865523128501977E-2</v>
      </c>
      <c r="GA25" s="59">
        <f>(1+GB25)^(1/4)-1</f>
        <v>1.2865523128501977E-2</v>
      </c>
      <c r="GB25" s="60">
        <f>+FW25</f>
        <v>5.2463768115942111E-2</v>
      </c>
    </row>
    <row r="26" spans="1:184" s="18" customFormat="1">
      <c r="A26" s="54">
        <f t="shared" si="0"/>
        <v>22</v>
      </c>
      <c r="C26" s="30"/>
      <c r="D26" s="30"/>
      <c r="E26" s="19"/>
      <c r="F26" s="19"/>
      <c r="G26" s="19"/>
      <c r="H26" s="19"/>
      <c r="I26" s="30"/>
      <c r="J26" s="19"/>
      <c r="K26" s="19"/>
      <c r="L26" s="19"/>
      <c r="M26" s="19"/>
      <c r="N26" s="30"/>
      <c r="O26" s="19"/>
      <c r="P26" s="19"/>
      <c r="Q26" s="19"/>
      <c r="R26" s="19"/>
      <c r="S26" s="30"/>
      <c r="T26" s="19"/>
      <c r="U26" s="19"/>
      <c r="V26" s="19"/>
      <c r="W26" s="19"/>
      <c r="X26" s="30"/>
      <c r="Y26" s="19"/>
      <c r="Z26" s="19"/>
      <c r="AA26" s="19"/>
      <c r="AB26" s="19"/>
      <c r="AC26" s="30"/>
      <c r="AD26" s="19"/>
      <c r="AE26" s="19"/>
      <c r="AF26" s="19"/>
      <c r="AG26" s="19"/>
      <c r="AH26" s="30"/>
      <c r="AI26" s="19"/>
      <c r="AJ26" s="19"/>
      <c r="AK26" s="19"/>
      <c r="AL26" s="19"/>
      <c r="AM26" s="30"/>
      <c r="AN26" s="19"/>
      <c r="AO26" s="19"/>
      <c r="AP26" s="19"/>
      <c r="AQ26" s="19"/>
      <c r="AR26" s="30"/>
      <c r="AS26" s="19"/>
      <c r="AT26" s="19"/>
      <c r="AU26" s="61"/>
      <c r="AV26" s="61"/>
      <c r="AW26" s="62"/>
      <c r="AX26" s="61"/>
      <c r="AY26" s="61"/>
      <c r="AZ26" s="61"/>
      <c r="BA26" s="61"/>
      <c r="BB26" s="62"/>
      <c r="BC26" s="61"/>
      <c r="BD26" s="61"/>
      <c r="BE26" s="61"/>
      <c r="BF26" s="61"/>
      <c r="BG26" s="62"/>
      <c r="BH26" s="61"/>
      <c r="BI26" s="61"/>
      <c r="BJ26" s="61"/>
      <c r="BK26" s="61"/>
      <c r="BL26" s="62"/>
      <c r="BM26" s="61"/>
      <c r="BN26" s="61"/>
      <c r="BO26" s="61"/>
      <c r="BP26" s="61"/>
      <c r="BQ26" s="62"/>
      <c r="BR26" s="61"/>
      <c r="BS26" s="61"/>
      <c r="BT26" s="61"/>
      <c r="BU26" s="61"/>
      <c r="BV26" s="62"/>
      <c r="BW26" s="61"/>
      <c r="BX26" s="61"/>
      <c r="BY26" s="61"/>
      <c r="BZ26" s="61"/>
      <c r="CA26" s="62"/>
      <c r="CB26" s="61"/>
      <c r="CC26" s="61"/>
      <c r="CD26" s="61"/>
      <c r="CE26" s="61"/>
      <c r="CF26" s="62"/>
      <c r="CG26" s="61"/>
      <c r="CH26" s="61"/>
      <c r="CI26" s="61"/>
      <c r="CJ26" s="61"/>
      <c r="CK26" s="62"/>
      <c r="CL26" s="61"/>
      <c r="CM26" s="61"/>
      <c r="CN26" s="61"/>
      <c r="CO26" s="61"/>
      <c r="CP26" s="62"/>
      <c r="CQ26" s="61"/>
      <c r="CR26" s="61"/>
      <c r="CS26" s="61"/>
      <c r="CT26" s="61"/>
      <c r="CU26" s="62"/>
      <c r="CV26" s="61"/>
      <c r="CW26" s="61"/>
      <c r="CX26" s="61"/>
      <c r="CY26" s="61"/>
      <c r="CZ26" s="62"/>
      <c r="DA26" s="61"/>
      <c r="DB26" s="61"/>
      <c r="DC26" s="61"/>
      <c r="DD26" s="61"/>
      <c r="DE26" s="62"/>
      <c r="DF26" s="61"/>
      <c r="DG26" s="61"/>
      <c r="DH26" s="61"/>
      <c r="DI26" s="61"/>
      <c r="DJ26" s="62"/>
      <c r="DK26" s="61"/>
      <c r="DL26" s="61"/>
      <c r="DM26" s="61"/>
      <c r="DN26" s="61"/>
      <c r="DO26" s="62"/>
      <c r="DP26" s="61"/>
      <c r="DQ26" s="61"/>
      <c r="DR26" s="61"/>
      <c r="DS26" s="61"/>
      <c r="DT26" s="62"/>
      <c r="DU26" s="61"/>
      <c r="DV26" s="61"/>
      <c r="DW26" s="61"/>
      <c r="DX26" s="61"/>
      <c r="DY26" s="62"/>
      <c r="DZ26" s="61"/>
      <c r="EA26" s="61"/>
      <c r="EB26" s="61"/>
      <c r="EC26" s="61"/>
      <c r="ED26" s="62"/>
      <c r="EE26" s="61"/>
      <c r="EF26" s="61"/>
      <c r="EG26" s="61"/>
      <c r="EH26" s="61"/>
      <c r="EI26" s="62"/>
      <c r="EJ26" s="61"/>
      <c r="EK26" s="61"/>
      <c r="EL26" s="61"/>
      <c r="EM26" s="61"/>
      <c r="EN26" s="62"/>
      <c r="EO26" s="61"/>
      <c r="EP26" s="61"/>
      <c r="EQ26" s="61"/>
      <c r="ER26" s="61"/>
      <c r="ES26" s="62"/>
      <c r="ET26" s="61"/>
      <c r="EU26" s="61"/>
      <c r="EV26" s="61"/>
      <c r="EW26" s="61"/>
      <c r="EX26" s="62"/>
      <c r="EY26" s="61"/>
      <c r="EZ26" s="61"/>
      <c r="FA26" s="61"/>
      <c r="FB26" s="61"/>
      <c r="FC26" s="62"/>
      <c r="FD26" s="61"/>
      <c r="FE26" s="61"/>
      <c r="FF26" s="61"/>
      <c r="FG26" s="61"/>
      <c r="FH26" s="62"/>
      <c r="FI26" s="61"/>
      <c r="FJ26" s="61"/>
      <c r="FK26" s="61"/>
      <c r="FL26" s="61"/>
      <c r="FM26" s="62"/>
      <c r="FN26" s="61"/>
      <c r="FO26" s="61"/>
      <c r="FP26" s="61"/>
      <c r="FQ26" s="61"/>
      <c r="FR26" s="62"/>
      <c r="FS26" s="61"/>
      <c r="FT26" s="61"/>
      <c r="FU26" s="61"/>
      <c r="FV26" s="61"/>
      <c r="FW26" s="62"/>
      <c r="FX26" s="61"/>
      <c r="FY26" s="61"/>
      <c r="FZ26" s="61"/>
      <c r="GA26" s="61"/>
      <c r="GB26" s="62"/>
    </row>
    <row r="27" spans="1:184" s="18" customFormat="1">
      <c r="A27" s="54">
        <f t="shared" si="0"/>
        <v>23</v>
      </c>
      <c r="B27" s="18" t="s">
        <v>335</v>
      </c>
      <c r="C27" s="30"/>
      <c r="D27" s="30"/>
      <c r="E27" s="19"/>
      <c r="F27" s="19"/>
      <c r="G27" s="19"/>
      <c r="H27" s="19"/>
      <c r="I27" s="30"/>
      <c r="J27" s="19"/>
      <c r="K27" s="19"/>
      <c r="L27" s="19"/>
      <c r="M27" s="19"/>
      <c r="N27" s="30"/>
      <c r="O27" s="19"/>
      <c r="P27" s="19"/>
      <c r="Q27" s="19"/>
      <c r="R27" s="19"/>
      <c r="S27" s="30"/>
      <c r="T27" s="19"/>
      <c r="U27" s="19"/>
      <c r="V27" s="19"/>
      <c r="W27" s="19"/>
      <c r="X27" s="30"/>
      <c r="Y27" s="19"/>
      <c r="Z27" s="19"/>
      <c r="AA27" s="19"/>
      <c r="AB27" s="19"/>
      <c r="AC27" s="30"/>
      <c r="AD27" s="19"/>
      <c r="AE27" s="19"/>
      <c r="AF27" s="19"/>
      <c r="AG27" s="19"/>
      <c r="AH27" s="30"/>
      <c r="AI27" s="19"/>
      <c r="AJ27" s="19"/>
      <c r="AK27" s="19"/>
      <c r="AL27" s="19"/>
      <c r="AM27" s="30"/>
      <c r="AN27" s="19"/>
      <c r="AO27" s="19"/>
      <c r="AP27" s="19"/>
      <c r="AQ27" s="19"/>
      <c r="AR27" s="30"/>
      <c r="AS27" s="19"/>
      <c r="AT27" s="19"/>
      <c r="AU27" s="61"/>
      <c r="AV27" s="61"/>
      <c r="AW27" s="62"/>
      <c r="AX27" s="61"/>
      <c r="AY27" s="61"/>
      <c r="AZ27" s="61"/>
      <c r="BA27" s="61"/>
      <c r="BB27" s="62"/>
      <c r="BC27" s="61"/>
      <c r="BD27" s="61"/>
      <c r="BE27" s="61"/>
      <c r="BF27" s="61"/>
      <c r="BG27" s="62"/>
      <c r="BH27" s="61"/>
      <c r="BI27" s="61"/>
      <c r="BJ27" s="61"/>
      <c r="BK27" s="61"/>
      <c r="BL27" s="62"/>
      <c r="BM27" s="61"/>
      <c r="BN27" s="61"/>
      <c r="BO27" s="61"/>
      <c r="BP27" s="61"/>
      <c r="BQ27" s="62"/>
      <c r="BR27" s="61"/>
      <c r="BS27" s="61"/>
      <c r="BT27" s="61"/>
      <c r="BU27" s="61"/>
      <c r="BV27" s="62"/>
      <c r="BW27" s="61"/>
      <c r="BX27" s="61"/>
      <c r="BY27" s="61"/>
      <c r="BZ27" s="61"/>
      <c r="CA27" s="62"/>
      <c r="CB27" s="61"/>
      <c r="CC27" s="61"/>
      <c r="CD27" s="61"/>
      <c r="CE27" s="61"/>
      <c r="CF27" s="62"/>
      <c r="CG27" s="61"/>
      <c r="CH27" s="61"/>
      <c r="CI27" s="61"/>
      <c r="CJ27" s="61"/>
      <c r="CK27" s="62"/>
      <c r="CL27" s="61"/>
      <c r="CM27" s="61"/>
      <c r="CN27" s="61"/>
      <c r="CO27" s="61"/>
      <c r="CP27" s="62"/>
      <c r="CQ27" s="61"/>
      <c r="CR27" s="61"/>
      <c r="CS27" s="61"/>
      <c r="CT27" s="61"/>
      <c r="CU27" s="62"/>
      <c r="CV27" s="61"/>
      <c r="CW27" s="61"/>
      <c r="CX27" s="61"/>
      <c r="CY27" s="61"/>
      <c r="CZ27" s="62"/>
      <c r="DA27" s="61"/>
      <c r="DB27" s="61"/>
      <c r="DC27" s="61"/>
      <c r="DD27" s="61"/>
      <c r="DE27" s="62"/>
      <c r="DF27" s="61"/>
      <c r="DG27" s="61"/>
      <c r="DH27" s="61"/>
      <c r="DI27" s="61"/>
      <c r="DJ27" s="62"/>
      <c r="DK27" s="61"/>
      <c r="DL27" s="61"/>
      <c r="DM27" s="61"/>
      <c r="DN27" s="61"/>
      <c r="DO27" s="62"/>
      <c r="DP27" s="61"/>
      <c r="DQ27" s="61"/>
      <c r="DR27" s="61"/>
      <c r="DS27" s="61"/>
      <c r="DT27" s="62"/>
      <c r="DU27" s="61"/>
      <c r="DV27" s="61"/>
      <c r="DW27" s="61"/>
      <c r="DX27" s="61"/>
      <c r="DY27" s="62"/>
      <c r="DZ27" s="61"/>
      <c r="EA27" s="61"/>
      <c r="EB27" s="61"/>
      <c r="EC27" s="61"/>
      <c r="ED27" s="62"/>
      <c r="EE27" s="61"/>
      <c r="EF27" s="61"/>
      <c r="EG27" s="61"/>
      <c r="EH27" s="61"/>
      <c r="EI27" s="62"/>
      <c r="EJ27" s="61"/>
      <c r="EK27" s="61"/>
      <c r="EL27" s="61"/>
      <c r="EM27" s="61"/>
      <c r="EN27" s="62"/>
      <c r="EO27" s="61"/>
      <c r="EP27" s="61"/>
      <c r="EQ27" s="61"/>
      <c r="ER27" s="61"/>
      <c r="ES27" s="62"/>
      <c r="ET27" s="61"/>
      <c r="EU27" s="61"/>
      <c r="EV27" s="61"/>
      <c r="EW27" s="61"/>
      <c r="EX27" s="62"/>
      <c r="EY27" s="61"/>
      <c r="EZ27" s="61"/>
      <c r="FA27" s="61"/>
      <c r="FB27" s="61"/>
      <c r="FC27" s="62"/>
      <c r="FD27" s="61"/>
      <c r="FE27" s="61"/>
      <c r="FF27" s="61"/>
      <c r="FG27" s="61"/>
      <c r="FH27" s="62"/>
      <c r="FI27" s="61"/>
      <c r="FJ27" s="61"/>
      <c r="FK27" s="61"/>
      <c r="FL27" s="61"/>
      <c r="FM27" s="62"/>
      <c r="FN27" s="61"/>
      <c r="FO27" s="61"/>
      <c r="FP27" s="61"/>
      <c r="FQ27" s="61"/>
      <c r="FR27" s="62"/>
      <c r="FS27" s="61"/>
      <c r="FT27" s="61"/>
      <c r="FU27" s="61"/>
      <c r="FV27" s="61"/>
      <c r="FW27" s="62"/>
      <c r="FX27" s="61"/>
      <c r="FY27" s="61"/>
      <c r="FZ27" s="61"/>
      <c r="GA27" s="61"/>
      <c r="GB27" s="62"/>
    </row>
    <row r="28" spans="1:184" s="26" customFormat="1">
      <c r="A28" s="54">
        <f t="shared" si="0"/>
        <v>24</v>
      </c>
      <c r="B28" s="22" t="s">
        <v>336</v>
      </c>
      <c r="C28" s="46">
        <v>2.3203999999999998</v>
      </c>
      <c r="D28" s="46">
        <v>3.5333000000000001</v>
      </c>
      <c r="E28" s="47">
        <v>3.35</v>
      </c>
      <c r="F28" s="47">
        <v>2.87</v>
      </c>
      <c r="G28" s="47">
        <v>2.92</v>
      </c>
      <c r="H28" s="47">
        <v>2.89</v>
      </c>
      <c r="I28" s="46">
        <v>2.8892000000000002</v>
      </c>
      <c r="J28" s="47">
        <v>2.91</v>
      </c>
      <c r="K28" s="47">
        <v>3.11</v>
      </c>
      <c r="L28" s="47">
        <v>2.86</v>
      </c>
      <c r="M28" s="47">
        <v>2.65</v>
      </c>
      <c r="N28" s="46">
        <v>2.6543999999999999</v>
      </c>
      <c r="O28" s="47">
        <v>2.67</v>
      </c>
      <c r="P28" s="47">
        <v>2.35</v>
      </c>
      <c r="Q28" s="47">
        <v>2.2200000000000002</v>
      </c>
      <c r="R28" s="47">
        <v>2.34</v>
      </c>
      <c r="S28" s="46">
        <v>2.3407</v>
      </c>
      <c r="T28" s="47">
        <v>2.17</v>
      </c>
      <c r="U28" s="47">
        <v>2.16</v>
      </c>
      <c r="V28" s="47">
        <v>2.17</v>
      </c>
      <c r="W28" s="47">
        <v>2.14</v>
      </c>
      <c r="X28" s="46">
        <v>2.1379999999999999</v>
      </c>
      <c r="Y28" s="47">
        <v>2.0499999999999998</v>
      </c>
      <c r="Z28" s="47">
        <v>1.93</v>
      </c>
      <c r="AA28" s="47">
        <v>1.84</v>
      </c>
      <c r="AB28" s="47">
        <v>1.77</v>
      </c>
      <c r="AC28" s="46">
        <v>1.7709000000000001</v>
      </c>
      <c r="AD28" s="47">
        <v>1.75</v>
      </c>
      <c r="AE28" s="47">
        <v>1.59</v>
      </c>
      <c r="AF28" s="47">
        <v>1.91</v>
      </c>
      <c r="AG28" s="47">
        <v>2.34</v>
      </c>
      <c r="AH28" s="46">
        <v>2.3365999999999998</v>
      </c>
      <c r="AI28" s="47">
        <v>2.3199999999999998</v>
      </c>
      <c r="AJ28" s="47">
        <v>1.95</v>
      </c>
      <c r="AK28" s="47">
        <v>1.78</v>
      </c>
      <c r="AL28" s="47">
        <v>1.74</v>
      </c>
      <c r="AM28" s="46">
        <v>1.7407999999999999</v>
      </c>
      <c r="AN28" s="47">
        <v>1.78</v>
      </c>
      <c r="AO28" s="47">
        <v>1.8</v>
      </c>
      <c r="AP28" s="47">
        <v>1.69</v>
      </c>
      <c r="AQ28" s="47">
        <v>1.6661999999999999</v>
      </c>
      <c r="AR28" s="46">
        <v>1.7340499999999999</v>
      </c>
      <c r="AS28" s="47">
        <v>1.6287</v>
      </c>
      <c r="AT28" s="47">
        <v>1.5610999999999999</v>
      </c>
      <c r="AU28" s="56">
        <v>1.8544</v>
      </c>
      <c r="AV28" s="56">
        <v>1.8757999999999999</v>
      </c>
      <c r="AW28" s="65">
        <v>1.8757999999999999</v>
      </c>
      <c r="AX28" s="56">
        <v>1.8214999999999999</v>
      </c>
      <c r="AY28" s="56">
        <v>2</v>
      </c>
      <c r="AZ28" s="56">
        <v>1.9750000000000001</v>
      </c>
      <c r="BA28" s="56">
        <v>1.95</v>
      </c>
      <c r="BB28" s="65">
        <v>1.95</v>
      </c>
      <c r="BC28" s="56">
        <v>1.95</v>
      </c>
      <c r="BD28" s="56">
        <v>1.95</v>
      </c>
      <c r="BE28" s="56">
        <v>1.95</v>
      </c>
      <c r="BF28" s="56">
        <v>1.95</v>
      </c>
      <c r="BG28" s="65">
        <v>1.95</v>
      </c>
      <c r="BH28" s="56">
        <v>1.9624999999999999</v>
      </c>
      <c r="BI28" s="56">
        <v>1.9749999999999999</v>
      </c>
      <c r="BJ28" s="56">
        <v>1.9874999999999998</v>
      </c>
      <c r="BK28" s="56">
        <v>2</v>
      </c>
      <c r="BL28" s="65">
        <v>1.9987499999999998</v>
      </c>
      <c r="BM28" s="56">
        <v>2.0124999999999993</v>
      </c>
      <c r="BN28" s="56">
        <v>2.0249999999999986</v>
      </c>
      <c r="BO28" s="56">
        <v>2.0374999999999979</v>
      </c>
      <c r="BP28" s="56">
        <v>2.0499999999999998</v>
      </c>
      <c r="BQ28" s="65">
        <v>2.0487187499999995</v>
      </c>
      <c r="BR28" s="56">
        <f>(BS28+BQ28)/2</f>
        <v>2.0615232421874996</v>
      </c>
      <c r="BS28" s="56">
        <f>(BV28+BQ28)/2</f>
        <v>2.0743277343749993</v>
      </c>
      <c r="BT28" s="56">
        <f>(BU28+BS28)/2</f>
        <v>2.087132226562499</v>
      </c>
      <c r="BU28" s="56">
        <f>+BV28</f>
        <v>2.0999367187499991</v>
      </c>
      <c r="BV28" s="65">
        <v>2.0999367187499991</v>
      </c>
      <c r="BW28" s="56">
        <f>(BX28+BV28)/2</f>
        <v>2.1104364023437494</v>
      </c>
      <c r="BX28" s="56">
        <f>(CA28+BV28)/2</f>
        <v>2.1209360859374993</v>
      </c>
      <c r="BY28" s="56">
        <f>(BZ28+BX28)/2</f>
        <v>2.1314357695312491</v>
      </c>
      <c r="BZ28" s="56">
        <f>+CA28</f>
        <v>2.141935453124999</v>
      </c>
      <c r="CA28" s="65">
        <v>2.141935453124999</v>
      </c>
      <c r="CB28" s="56">
        <f>(CC28+CA28)/2</f>
        <v>2.1526451303906242</v>
      </c>
      <c r="CC28" s="56">
        <f>(CF28+CA28)/2</f>
        <v>2.163354807656249</v>
      </c>
      <c r="CD28" s="56">
        <f>(CE28+CC28)/2</f>
        <v>2.1740644849218738</v>
      </c>
      <c r="CE28" s="56">
        <f>+CF28</f>
        <v>2.184774162187499</v>
      </c>
      <c r="CF28" s="65">
        <v>2.184774162187499</v>
      </c>
      <c r="CG28" s="56">
        <f>(CH28+CF28)/2</f>
        <v>2.1956980329984366</v>
      </c>
      <c r="CH28" s="56">
        <f>(CK28+CF28)/2</f>
        <v>2.2066219038093742</v>
      </c>
      <c r="CI28" s="56">
        <f>(CJ28+CH28)/2</f>
        <v>2.2175457746203113</v>
      </c>
      <c r="CJ28" s="56">
        <f>+CK28</f>
        <v>2.2284696454312489</v>
      </c>
      <c r="CK28" s="65">
        <v>2.2284696454312489</v>
      </c>
      <c r="CL28" s="56">
        <f>(CM28+CK28)/2</f>
        <v>2.2396119936584054</v>
      </c>
      <c r="CM28" s="56">
        <f>(CP28+CK28)/2</f>
        <v>2.2507543418855613</v>
      </c>
      <c r="CN28" s="56">
        <f>(CO28+CM28)/2</f>
        <v>2.2618966901127173</v>
      </c>
      <c r="CO28" s="56">
        <f>+CP28</f>
        <v>2.2730390383398738</v>
      </c>
      <c r="CP28" s="65">
        <v>2.2730390383398738</v>
      </c>
      <c r="CQ28" s="56">
        <f>(CR28+CP28)/2</f>
        <v>2.2844042335315731</v>
      </c>
      <c r="CR28" s="56">
        <f>(CU28+CP28)/2</f>
        <v>2.2957694287232728</v>
      </c>
      <c r="CS28" s="56">
        <f>(CT28+CR28)/2</f>
        <v>2.3071346239149721</v>
      </c>
      <c r="CT28" s="56">
        <f>+CU28</f>
        <v>2.3184998191066715</v>
      </c>
      <c r="CU28" s="65">
        <v>2.3184998191066715</v>
      </c>
      <c r="CV28" s="56">
        <f>(CW28+CU28)/2</f>
        <v>2.3300923182022046</v>
      </c>
      <c r="CW28" s="56">
        <f>(CZ28+CU28)/2</f>
        <v>2.3416848172977383</v>
      </c>
      <c r="CX28" s="56">
        <f>(CY28+CW28)/2</f>
        <v>2.3532773163932719</v>
      </c>
      <c r="CY28" s="56">
        <f>+CZ28</f>
        <v>2.364869815488805</v>
      </c>
      <c r="CZ28" s="65">
        <v>2.364869815488805</v>
      </c>
      <c r="DA28" s="56">
        <f>(DB28+CZ28)/2</f>
        <v>2.3766941645662492</v>
      </c>
      <c r="DB28" s="56">
        <f>(DE28+CZ28)/2</f>
        <v>2.3885185136436933</v>
      </c>
      <c r="DC28" s="56">
        <f>(DD28+DB28)/2</f>
        <v>2.4003428627211374</v>
      </c>
      <c r="DD28" s="56">
        <f>+DE28</f>
        <v>2.4121672117985811</v>
      </c>
      <c r="DE28" s="65">
        <v>2.4121672117985811</v>
      </c>
      <c r="DF28" s="56">
        <f>(DG28+DE28)/2</f>
        <v>2.4242280478575742</v>
      </c>
      <c r="DG28" s="56">
        <f>(DJ28+DE28)/2</f>
        <v>2.4362888839165668</v>
      </c>
      <c r="DH28" s="56">
        <f>(DI28+DG28)/2</f>
        <v>2.4483497199755595</v>
      </c>
      <c r="DI28" s="56">
        <f>+DJ28</f>
        <v>2.4604105560345526</v>
      </c>
      <c r="DJ28" s="65">
        <v>2.4604105560345526</v>
      </c>
      <c r="DK28" s="56">
        <f>(DL28+DJ28)/2</f>
        <v>2.4696370956196825</v>
      </c>
      <c r="DL28" s="56">
        <f>(DO28+DJ28)/2</f>
        <v>2.4788636352048119</v>
      </c>
      <c r="DM28" s="56">
        <f>(DN28+DL28)/2</f>
        <v>2.4880901747899413</v>
      </c>
      <c r="DN28" s="56">
        <f>+DO28</f>
        <v>2.4973167143750707</v>
      </c>
      <c r="DO28" s="65">
        <v>2.4973167143750707</v>
      </c>
      <c r="DP28" s="56">
        <f>(DQ28+DO28)/2</f>
        <v>2.5066816520539774</v>
      </c>
      <c r="DQ28" s="56">
        <f>(DT28+DO28)/2</f>
        <v>2.5160465897328836</v>
      </c>
      <c r="DR28" s="56">
        <f>(DS28+DQ28)/2</f>
        <v>2.5254115274117899</v>
      </c>
      <c r="DS28" s="56">
        <f>+DT28</f>
        <v>2.5347764650906965</v>
      </c>
      <c r="DT28" s="65">
        <v>2.5347764650906965</v>
      </c>
      <c r="DU28" s="56">
        <f>(DV28+DT28)/2</f>
        <v>2.5442818768347868</v>
      </c>
      <c r="DV28" s="56">
        <f>(DY28+DT28)/2</f>
        <v>2.5537872885788766</v>
      </c>
      <c r="DW28" s="56">
        <f>(DX28+DV28)/2</f>
        <v>2.5632927003229664</v>
      </c>
      <c r="DX28" s="56">
        <f>+DY28</f>
        <v>2.5727981120670567</v>
      </c>
      <c r="DY28" s="65">
        <v>2.5727981120670567</v>
      </c>
      <c r="DZ28" s="56">
        <f>(EA28+DY28)/2</f>
        <v>2.5824461049873082</v>
      </c>
      <c r="EA28" s="56">
        <f>(ED28+DY28)/2</f>
        <v>2.5920940979075597</v>
      </c>
      <c r="EB28" s="56">
        <f>(EC28+EA28)/2</f>
        <v>2.6017420908278108</v>
      </c>
      <c r="EC28" s="56">
        <f>+ED28</f>
        <v>2.6113900837480624</v>
      </c>
      <c r="ED28" s="65">
        <v>2.6113900837480624</v>
      </c>
      <c r="EE28" s="56">
        <f>(EF28+ED28)/2</f>
        <v>2.6211827965621177</v>
      </c>
      <c r="EF28" s="56">
        <f>(EI28+ED28)/2</f>
        <v>2.6309755093761726</v>
      </c>
      <c r="EG28" s="56">
        <f>(EH28+EF28)/2</f>
        <v>2.6407682221902276</v>
      </c>
      <c r="EH28" s="56">
        <f>+EI28</f>
        <v>2.6505609350042829</v>
      </c>
      <c r="EI28" s="65">
        <v>2.6505609350042829</v>
      </c>
      <c r="EJ28" s="56">
        <f>(EK28+EI28)/2</f>
        <v>2.6605005385105489</v>
      </c>
      <c r="EK28" s="56">
        <f>(EN28+EI28)/2</f>
        <v>2.6704401420168149</v>
      </c>
      <c r="EL28" s="56">
        <f>(EM28+EK28)/2</f>
        <v>2.6803797455230809</v>
      </c>
      <c r="EM28" s="56">
        <f>+EN28</f>
        <v>2.6903193490293469</v>
      </c>
      <c r="EN28" s="65">
        <v>2.6903193490293469</v>
      </c>
      <c r="EO28" s="56">
        <f>(EP28+EN28)/2</f>
        <v>2.6903193490293469</v>
      </c>
      <c r="EP28" s="56">
        <f>(ES28+EN28)/2</f>
        <v>2.6903193490293469</v>
      </c>
      <c r="EQ28" s="56">
        <f>(ER28+EP28)/2</f>
        <v>2.6903193490293469</v>
      </c>
      <c r="ER28" s="56">
        <f>+ES28</f>
        <v>2.6903193490293469</v>
      </c>
      <c r="ES28" s="65">
        <f>+EN28</f>
        <v>2.6903193490293469</v>
      </c>
      <c r="ET28" s="56">
        <f>(EU28+ES28)/2</f>
        <v>2.6903193490293469</v>
      </c>
      <c r="EU28" s="56">
        <f>(EX28+ES28)/2</f>
        <v>2.6903193490293469</v>
      </c>
      <c r="EV28" s="56">
        <f>(EW28+EU28)/2</f>
        <v>2.6903193490293469</v>
      </c>
      <c r="EW28" s="56">
        <f>+EX28</f>
        <v>2.6903193490293469</v>
      </c>
      <c r="EX28" s="65">
        <f>+ES28</f>
        <v>2.6903193490293469</v>
      </c>
      <c r="EY28" s="56">
        <f>(EZ28+EX28)/2</f>
        <v>2.6903193490293469</v>
      </c>
      <c r="EZ28" s="56">
        <f>(FC28+EX28)/2</f>
        <v>2.6903193490293469</v>
      </c>
      <c r="FA28" s="56">
        <f>(FB28+EZ28)/2</f>
        <v>2.6903193490293469</v>
      </c>
      <c r="FB28" s="56">
        <f>+FC28</f>
        <v>2.6903193490293469</v>
      </c>
      <c r="FC28" s="65">
        <f>+EX28</f>
        <v>2.6903193490293469</v>
      </c>
      <c r="FD28" s="56">
        <f>(FE28+FC28)/2</f>
        <v>2.6903193490293469</v>
      </c>
      <c r="FE28" s="56">
        <f>(FH28+FC28)/2</f>
        <v>2.6903193490293469</v>
      </c>
      <c r="FF28" s="56">
        <f>(FG28+FE28)/2</f>
        <v>2.6903193490293469</v>
      </c>
      <c r="FG28" s="56">
        <f>+FH28</f>
        <v>2.6903193490293469</v>
      </c>
      <c r="FH28" s="65">
        <f>+FC28</f>
        <v>2.6903193490293469</v>
      </c>
      <c r="FI28" s="56">
        <f>(FJ28+FH28)/2</f>
        <v>2.6903193490293469</v>
      </c>
      <c r="FJ28" s="56">
        <f>(FM28+FH28)/2</f>
        <v>2.6903193490293469</v>
      </c>
      <c r="FK28" s="56">
        <f>(FL28+FJ28)/2</f>
        <v>2.6903193490293469</v>
      </c>
      <c r="FL28" s="56">
        <f>+FM28</f>
        <v>2.6903193490293469</v>
      </c>
      <c r="FM28" s="65">
        <f>+FH28</f>
        <v>2.6903193490293469</v>
      </c>
      <c r="FN28" s="56">
        <f>(FO28+FM28)/2</f>
        <v>2.6903193490293469</v>
      </c>
      <c r="FO28" s="56">
        <f>(FR28+FM28)/2</f>
        <v>2.6903193490293469</v>
      </c>
      <c r="FP28" s="56">
        <f>(FQ28+FO28)/2</f>
        <v>2.6903193490293469</v>
      </c>
      <c r="FQ28" s="56">
        <f>+FR28</f>
        <v>2.6903193490293469</v>
      </c>
      <c r="FR28" s="65">
        <f>+FM28</f>
        <v>2.6903193490293469</v>
      </c>
      <c r="FS28" s="56">
        <f>(FT28+FR28)/2</f>
        <v>2.6903193490293469</v>
      </c>
      <c r="FT28" s="56">
        <f>(FW28+FR28)/2</f>
        <v>2.6903193490293469</v>
      </c>
      <c r="FU28" s="56">
        <f>(FV28+FT28)/2</f>
        <v>2.6903193490293469</v>
      </c>
      <c r="FV28" s="56">
        <f>+FW28</f>
        <v>2.6903193490293469</v>
      </c>
      <c r="FW28" s="65">
        <f>+FR28</f>
        <v>2.6903193490293469</v>
      </c>
      <c r="FX28" s="56">
        <f>(FY28+FW28)/2</f>
        <v>2.6903193490293469</v>
      </c>
      <c r="FY28" s="56">
        <f>(GB28+FW28)/2</f>
        <v>2.6903193490293469</v>
      </c>
      <c r="FZ28" s="56">
        <f>(GA28+FY28)/2</f>
        <v>2.6903193490293469</v>
      </c>
      <c r="GA28" s="56">
        <f>+GB28</f>
        <v>2.6903193490293469</v>
      </c>
      <c r="GB28" s="65">
        <f>+FW28</f>
        <v>2.6903193490293469</v>
      </c>
    </row>
    <row r="29" spans="1:184" s="26" customFormat="1">
      <c r="A29" s="54">
        <f t="shared" si="0"/>
        <v>25</v>
      </c>
      <c r="B29" s="27" t="s">
        <v>337</v>
      </c>
      <c r="C29" s="46">
        <v>2.3530000000000002</v>
      </c>
      <c r="D29" s="46">
        <v>2.9214000000000002</v>
      </c>
      <c r="E29" s="48">
        <v>3.49</v>
      </c>
      <c r="F29" s="48">
        <v>3.24</v>
      </c>
      <c r="G29" s="48">
        <v>3.14</v>
      </c>
      <c r="H29" s="48">
        <v>3.08</v>
      </c>
      <c r="I29" s="46">
        <v>3.0783999999999998</v>
      </c>
      <c r="J29" s="48">
        <v>2.9</v>
      </c>
      <c r="K29" s="48">
        <v>2.97</v>
      </c>
      <c r="L29" s="48">
        <v>2.97</v>
      </c>
      <c r="M29" s="48">
        <v>2.93</v>
      </c>
      <c r="N29" s="46">
        <v>2.9260999999999999</v>
      </c>
      <c r="O29" s="48">
        <v>2.66</v>
      </c>
      <c r="P29" s="48">
        <v>2.48</v>
      </c>
      <c r="Q29" s="48">
        <v>2.34</v>
      </c>
      <c r="R29" s="48">
        <v>2.25</v>
      </c>
      <c r="S29" s="46">
        <v>2.4352999999999998</v>
      </c>
      <c r="T29" s="48">
        <v>2.2000000000000002</v>
      </c>
      <c r="U29" s="48">
        <v>2.19</v>
      </c>
      <c r="V29" s="48">
        <v>2.17</v>
      </c>
      <c r="W29" s="48">
        <v>2.15</v>
      </c>
      <c r="X29" s="46">
        <v>2.1800000000000002</v>
      </c>
      <c r="Y29" s="48">
        <v>2.11</v>
      </c>
      <c r="Z29" s="48">
        <v>1.98</v>
      </c>
      <c r="AA29" s="48">
        <v>1.92</v>
      </c>
      <c r="AB29" s="48">
        <v>1.79</v>
      </c>
      <c r="AC29" s="46">
        <v>1.947456396964496</v>
      </c>
      <c r="AD29" s="48">
        <v>1.74</v>
      </c>
      <c r="AE29" s="48">
        <v>1.66</v>
      </c>
      <c r="AF29" s="48">
        <v>1.67</v>
      </c>
      <c r="AG29" s="48">
        <v>2.2799999999999998</v>
      </c>
      <c r="AH29" s="46">
        <v>1.8341627693121143</v>
      </c>
      <c r="AI29" s="48">
        <v>2.31</v>
      </c>
      <c r="AJ29" s="48">
        <v>2.0699999999999998</v>
      </c>
      <c r="AK29" s="48">
        <v>1.87</v>
      </c>
      <c r="AL29" s="48">
        <v>1.74</v>
      </c>
      <c r="AM29" s="46">
        <v>1.9974585113035113</v>
      </c>
      <c r="AN29" s="48">
        <v>1.78</v>
      </c>
      <c r="AO29" s="48">
        <v>1.8</v>
      </c>
      <c r="AP29" s="48">
        <v>1.69</v>
      </c>
      <c r="AQ29" s="48">
        <v>1.6661999999999999</v>
      </c>
      <c r="AR29" s="46">
        <v>1.7340499999999999</v>
      </c>
      <c r="AS29" s="47">
        <v>1.6673333333333336</v>
      </c>
      <c r="AT29" s="47">
        <v>1.5956609523809526</v>
      </c>
      <c r="AU29" s="56">
        <v>1.6369089302967563</v>
      </c>
      <c r="AV29" s="56">
        <v>1.7999799999999999</v>
      </c>
      <c r="AW29" s="65">
        <v>1.6749708040027607</v>
      </c>
      <c r="AX29" s="56">
        <v>1.7656499999999999</v>
      </c>
      <c r="AY29" s="56">
        <v>1.9269166666666668</v>
      </c>
      <c r="AZ29" s="56">
        <v>1.9875</v>
      </c>
      <c r="BA29" s="56">
        <v>1.9625000000000001</v>
      </c>
      <c r="BB29" s="65">
        <v>1.9106416666666668</v>
      </c>
      <c r="BC29" s="56">
        <v>1.95</v>
      </c>
      <c r="BD29" s="56">
        <v>1.95</v>
      </c>
      <c r="BE29" s="56">
        <v>1.95</v>
      </c>
      <c r="BF29" s="56">
        <v>1.95</v>
      </c>
      <c r="BG29" s="65">
        <v>1.9499999999999995</v>
      </c>
      <c r="BH29" s="56">
        <v>1.95625</v>
      </c>
      <c r="BI29" s="56">
        <v>1.96875</v>
      </c>
      <c r="BJ29" s="56">
        <v>1.98125</v>
      </c>
      <c r="BK29" s="56">
        <v>1.9937499999999997</v>
      </c>
      <c r="BL29" s="65">
        <v>1.9749999999999996</v>
      </c>
      <c r="BM29" s="56">
        <v>2.0062499999999996</v>
      </c>
      <c r="BN29" s="56">
        <v>2.0187499999999989</v>
      </c>
      <c r="BO29" s="56">
        <v>2.0312499999999982</v>
      </c>
      <c r="BP29" s="56">
        <v>2.043749999999998</v>
      </c>
      <c r="BQ29" s="65">
        <v>2.0249999999999986</v>
      </c>
      <c r="BR29" s="56">
        <f>(BS29+BQ29)/2</f>
        <v>2.037331933593749</v>
      </c>
      <c r="BS29" s="56">
        <f>(BV29+BQ29)/2</f>
        <v>2.0496638671874989</v>
      </c>
      <c r="BT29" s="56">
        <f>(BU29+BS29)/2</f>
        <v>2.0619958007812489</v>
      </c>
      <c r="BU29" s="56">
        <f>+BV29</f>
        <v>2.0743277343749993</v>
      </c>
      <c r="BV29" s="65">
        <v>2.0743277343749993</v>
      </c>
      <c r="BW29" s="56">
        <f>(BX29+BV29)/2</f>
        <v>2.0859798222656245</v>
      </c>
      <c r="BX29" s="56">
        <f>(CA29+BV29)/2</f>
        <v>2.0976319101562493</v>
      </c>
      <c r="BY29" s="56">
        <f>(BZ29+BX29)/2</f>
        <v>2.1092839980468741</v>
      </c>
      <c r="BZ29" s="56">
        <f>+CA29</f>
        <v>2.1209360859374993</v>
      </c>
      <c r="CA29" s="65">
        <v>2.1209360859374993</v>
      </c>
      <c r="CB29" s="56">
        <f>(CC29+CA29)/2</f>
        <v>2.1315407663671868</v>
      </c>
      <c r="CC29" s="56">
        <f>(CF29+CA29)/2</f>
        <v>2.1421454467968744</v>
      </c>
      <c r="CD29" s="56">
        <f>(CE29+CC29)/2</f>
        <v>2.1527501272265619</v>
      </c>
      <c r="CE29" s="56">
        <f>+CF29</f>
        <v>2.163354807656249</v>
      </c>
      <c r="CF29" s="65">
        <v>2.163354807656249</v>
      </c>
      <c r="CG29" s="56">
        <f>(CH29+CF29)/2</f>
        <v>2.1741715816945302</v>
      </c>
      <c r="CH29" s="56">
        <f>(CK29+CF29)/2</f>
        <v>2.1849883557328118</v>
      </c>
      <c r="CI29" s="56">
        <f>(CJ29+CH29)/2</f>
        <v>2.195805129771093</v>
      </c>
      <c r="CJ29" s="56">
        <f>+CK29</f>
        <v>2.2066219038093742</v>
      </c>
      <c r="CK29" s="65">
        <v>2.2066219038093742</v>
      </c>
      <c r="CL29" s="56">
        <f>(CM29+CK29)/2</f>
        <v>2.2176550133284207</v>
      </c>
      <c r="CM29" s="56">
        <f>(CP29+CK29)/2</f>
        <v>2.2286881228474678</v>
      </c>
      <c r="CN29" s="56">
        <f>(CO29+CM29)/2</f>
        <v>2.2397212323665148</v>
      </c>
      <c r="CO29" s="56">
        <f>+CP29</f>
        <v>2.2507543418855613</v>
      </c>
      <c r="CP29" s="65">
        <v>2.2507543418855613</v>
      </c>
      <c r="CQ29" s="56">
        <f>(CR29+CP29)/2</f>
        <v>2.2620081135949892</v>
      </c>
      <c r="CR29" s="56">
        <f>(CU29+CP29)/2</f>
        <v>2.2732618853044171</v>
      </c>
      <c r="CS29" s="56">
        <f>(CT29+CR29)/2</f>
        <v>2.284515657013845</v>
      </c>
      <c r="CT29" s="56">
        <f>+CU29</f>
        <v>2.2957694287232728</v>
      </c>
      <c r="CU29" s="65">
        <v>2.2957694287232728</v>
      </c>
      <c r="CV29" s="56">
        <f>(CW29+CU29)/2</f>
        <v>2.3072482758668893</v>
      </c>
      <c r="CW29" s="56">
        <f>(CZ29+CU29)/2</f>
        <v>2.3187271230105058</v>
      </c>
      <c r="CX29" s="56">
        <f>(CY29+CW29)/2</f>
        <v>2.3302059701541218</v>
      </c>
      <c r="CY29" s="56">
        <f>+CZ29</f>
        <v>2.3416848172977383</v>
      </c>
      <c r="CZ29" s="65">
        <v>2.3416848172977383</v>
      </c>
      <c r="DA29" s="56">
        <f>(DB29+CZ29)/2</f>
        <v>2.3533932413842269</v>
      </c>
      <c r="DB29" s="56">
        <f>(DE29+CZ29)/2</f>
        <v>2.365101665470716</v>
      </c>
      <c r="DC29" s="56">
        <f>(DD29+DB29)/2</f>
        <v>2.3768100895572046</v>
      </c>
      <c r="DD29" s="56">
        <f>+DE29</f>
        <v>2.3885185136436933</v>
      </c>
      <c r="DE29" s="65">
        <v>2.3885185136436933</v>
      </c>
      <c r="DF29" s="56">
        <f>(DG29+DE29)/2</f>
        <v>2.4004611062119117</v>
      </c>
      <c r="DG29" s="56">
        <f>(DJ29+DE29)/2</f>
        <v>2.4124036987801301</v>
      </c>
      <c r="DH29" s="56">
        <f>(DI29+DG29)/2</f>
        <v>2.4243462913483484</v>
      </c>
      <c r="DI29" s="56">
        <f>+DJ29</f>
        <v>2.4362888839165668</v>
      </c>
      <c r="DJ29" s="65">
        <v>2.4362888839165668</v>
      </c>
      <c r="DK29" s="56">
        <f>(DL29+DJ29)/2</f>
        <v>2.4469325717386283</v>
      </c>
      <c r="DL29" s="56">
        <f>(DO29+DJ29)/2</f>
        <v>2.4575762595606894</v>
      </c>
      <c r="DM29" s="56">
        <f>(DN29+DL29)/2</f>
        <v>2.4682199473827504</v>
      </c>
      <c r="DN29" s="56">
        <f>+DO29</f>
        <v>2.4788636352048119</v>
      </c>
      <c r="DO29" s="65">
        <v>2.4788636352048119</v>
      </c>
      <c r="DP29" s="56">
        <f>(DQ29+DO29)/2</f>
        <v>2.4881593738368299</v>
      </c>
      <c r="DQ29" s="56">
        <f>(DT29+DO29)/2</f>
        <v>2.497455112468848</v>
      </c>
      <c r="DR29" s="56">
        <f>(DS29+DQ29)/2</f>
        <v>2.5067508511008656</v>
      </c>
      <c r="DS29" s="56">
        <f>+DT29</f>
        <v>2.5160465897328836</v>
      </c>
      <c r="DT29" s="65">
        <v>2.5160465897328836</v>
      </c>
      <c r="DU29" s="56">
        <f>(DV29+DT29)/2</f>
        <v>2.5254817644443817</v>
      </c>
      <c r="DV29" s="56">
        <f>(DY29+DT29)/2</f>
        <v>2.5349169391558801</v>
      </c>
      <c r="DW29" s="56">
        <f>(DX29+DV29)/2</f>
        <v>2.5443521138673786</v>
      </c>
      <c r="DX29" s="56">
        <f>+DY29</f>
        <v>2.5537872885788766</v>
      </c>
      <c r="DY29" s="65">
        <v>2.5537872885788766</v>
      </c>
      <c r="DZ29" s="56">
        <f>(EA29+DY29)/2</f>
        <v>2.5633639909110473</v>
      </c>
      <c r="EA29" s="56">
        <f>(ED29+DY29)/2</f>
        <v>2.5729406932432184</v>
      </c>
      <c r="EB29" s="56">
        <f>(EC29+EA29)/2</f>
        <v>2.5825173955753891</v>
      </c>
      <c r="EC29" s="56">
        <f>+ED29</f>
        <v>2.5920940979075597</v>
      </c>
      <c r="ED29" s="65">
        <v>2.5920940979075597</v>
      </c>
      <c r="EE29" s="56">
        <f>(EF29+ED29)/2</f>
        <v>2.6018144507747127</v>
      </c>
      <c r="EF29" s="56">
        <f>(EI29+ED29)/2</f>
        <v>2.6115348036418662</v>
      </c>
      <c r="EG29" s="56">
        <f>(EH29+EF29)/2</f>
        <v>2.6212551565090196</v>
      </c>
      <c r="EH29" s="56">
        <f>+EI29</f>
        <v>2.6309755093761726</v>
      </c>
      <c r="EI29" s="65">
        <v>2.6309755093761726</v>
      </c>
      <c r="EJ29" s="56">
        <f>(EK29+EI29)/2</f>
        <v>2.6408416675363333</v>
      </c>
      <c r="EK29" s="56">
        <f>(EN29+EI29)/2</f>
        <v>2.650707825696494</v>
      </c>
      <c r="EL29" s="56">
        <f>(EM29+EK29)/2</f>
        <v>2.6605739838566542</v>
      </c>
      <c r="EM29" s="56">
        <f>+EN29</f>
        <v>2.6704401420168149</v>
      </c>
      <c r="EN29" s="65">
        <v>2.6704401420168149</v>
      </c>
      <c r="EO29" s="56">
        <f>(EP29+EN29)/2</f>
        <v>2.6704401420168149</v>
      </c>
      <c r="EP29" s="56">
        <f>(ES29+EN29)/2</f>
        <v>2.6704401420168149</v>
      </c>
      <c r="EQ29" s="56">
        <f>(ER29+EP29)/2</f>
        <v>2.6704401420168149</v>
      </c>
      <c r="ER29" s="56">
        <f>+ES29</f>
        <v>2.6704401420168149</v>
      </c>
      <c r="ES29" s="65">
        <f>+EN29</f>
        <v>2.6704401420168149</v>
      </c>
      <c r="ET29" s="56">
        <f>(EU29+ES29)/2</f>
        <v>2.6704401420168149</v>
      </c>
      <c r="EU29" s="56">
        <f>(EX29+ES29)/2</f>
        <v>2.6704401420168149</v>
      </c>
      <c r="EV29" s="56">
        <f>(EW29+EU29)/2</f>
        <v>2.6704401420168149</v>
      </c>
      <c r="EW29" s="56">
        <f>+EX29</f>
        <v>2.6704401420168149</v>
      </c>
      <c r="EX29" s="65">
        <f>+ES29</f>
        <v>2.6704401420168149</v>
      </c>
      <c r="EY29" s="56">
        <f>(EZ29+EX29)/2</f>
        <v>2.6704401420168149</v>
      </c>
      <c r="EZ29" s="56">
        <f>(FC29+EX29)/2</f>
        <v>2.6704401420168149</v>
      </c>
      <c r="FA29" s="56">
        <f>(FB29+EZ29)/2</f>
        <v>2.6704401420168149</v>
      </c>
      <c r="FB29" s="56">
        <f>+FC29</f>
        <v>2.6704401420168149</v>
      </c>
      <c r="FC29" s="65">
        <f>+EX29</f>
        <v>2.6704401420168149</v>
      </c>
      <c r="FD29" s="56">
        <f>(FE29+FC29)/2</f>
        <v>2.6704401420168149</v>
      </c>
      <c r="FE29" s="56">
        <f>(FH29+FC29)/2</f>
        <v>2.6704401420168149</v>
      </c>
      <c r="FF29" s="56">
        <f>(FG29+FE29)/2</f>
        <v>2.6704401420168149</v>
      </c>
      <c r="FG29" s="56">
        <f>+FH29</f>
        <v>2.6704401420168149</v>
      </c>
      <c r="FH29" s="65">
        <f>+FC29</f>
        <v>2.6704401420168149</v>
      </c>
      <c r="FI29" s="56">
        <f>(FJ29+FH29)/2</f>
        <v>2.6704401420168149</v>
      </c>
      <c r="FJ29" s="56">
        <f>(FM29+FH29)/2</f>
        <v>2.6704401420168149</v>
      </c>
      <c r="FK29" s="56">
        <f>(FL29+FJ29)/2</f>
        <v>2.6704401420168149</v>
      </c>
      <c r="FL29" s="56">
        <f>+FM29</f>
        <v>2.6704401420168149</v>
      </c>
      <c r="FM29" s="65">
        <f>+FH29</f>
        <v>2.6704401420168149</v>
      </c>
      <c r="FN29" s="56">
        <f>(FO29+FM29)/2</f>
        <v>2.6704401420168149</v>
      </c>
      <c r="FO29" s="56">
        <f>(FR29+FM29)/2</f>
        <v>2.6704401420168149</v>
      </c>
      <c r="FP29" s="56">
        <f>(FQ29+FO29)/2</f>
        <v>2.6704401420168149</v>
      </c>
      <c r="FQ29" s="56">
        <f>+FR29</f>
        <v>2.6704401420168149</v>
      </c>
      <c r="FR29" s="65">
        <f>+FM29</f>
        <v>2.6704401420168149</v>
      </c>
      <c r="FS29" s="56">
        <f>(FT29+FR29)/2</f>
        <v>2.6704401420168149</v>
      </c>
      <c r="FT29" s="56">
        <f>(FW29+FR29)/2</f>
        <v>2.6704401420168149</v>
      </c>
      <c r="FU29" s="56">
        <f>(FV29+FT29)/2</f>
        <v>2.6704401420168149</v>
      </c>
      <c r="FV29" s="56">
        <f>+FW29</f>
        <v>2.6704401420168149</v>
      </c>
      <c r="FW29" s="65">
        <f>+FR29</f>
        <v>2.6704401420168149</v>
      </c>
      <c r="FX29" s="56">
        <f>(FY29+FW29)/2</f>
        <v>2.6704401420168149</v>
      </c>
      <c r="FY29" s="56">
        <f>(GB29+FW29)/2</f>
        <v>2.6704401420168149</v>
      </c>
      <c r="FZ29" s="56">
        <f>(GA29+FY29)/2</f>
        <v>2.6704401420168149</v>
      </c>
      <c r="GA29" s="56">
        <f>+GB29</f>
        <v>2.6704401420168149</v>
      </c>
      <c r="GB29" s="65">
        <f>+FW29</f>
        <v>2.6704401420168149</v>
      </c>
    </row>
    <row r="30" spans="1:184" s="18" customFormat="1">
      <c r="A30" s="54">
        <f t="shared" si="0"/>
        <v>26</v>
      </c>
      <c r="C30" s="30"/>
      <c r="D30" s="30"/>
      <c r="E30" s="19"/>
      <c r="F30" s="19"/>
      <c r="G30" s="19"/>
      <c r="H30" s="19"/>
      <c r="I30" s="30"/>
      <c r="J30" s="19"/>
      <c r="K30" s="19"/>
      <c r="L30" s="19"/>
      <c r="M30" s="19"/>
      <c r="N30" s="30"/>
      <c r="O30" s="19"/>
      <c r="P30" s="19"/>
      <c r="Q30" s="19"/>
      <c r="R30" s="19"/>
      <c r="S30" s="30"/>
      <c r="T30" s="19"/>
      <c r="U30" s="19"/>
      <c r="V30" s="19"/>
      <c r="W30" s="19"/>
      <c r="X30" s="30"/>
      <c r="Y30" s="19"/>
      <c r="Z30" s="19"/>
      <c r="AA30" s="19"/>
      <c r="AB30" s="19"/>
      <c r="AC30" s="30"/>
      <c r="AD30" s="19"/>
      <c r="AE30" s="19"/>
      <c r="AF30" s="19"/>
      <c r="AG30" s="19"/>
      <c r="AH30" s="30"/>
      <c r="AI30" s="19"/>
      <c r="AJ30" s="19"/>
      <c r="AK30" s="19"/>
      <c r="AL30" s="19"/>
      <c r="AM30" s="30"/>
      <c r="AN30" s="19"/>
      <c r="AO30" s="19"/>
      <c r="AP30" s="19"/>
      <c r="AQ30" s="19"/>
      <c r="AR30" s="30"/>
      <c r="AS30" s="19"/>
      <c r="AT30" s="19"/>
      <c r="AU30" s="61"/>
      <c r="AV30" s="61"/>
      <c r="AW30" s="62"/>
      <c r="AX30" s="61"/>
      <c r="AY30" s="61"/>
      <c r="AZ30" s="61"/>
      <c r="BA30" s="61"/>
      <c r="BB30" s="62"/>
      <c r="BC30" s="61"/>
      <c r="BD30" s="61"/>
      <c r="BE30" s="61"/>
      <c r="BF30" s="61"/>
      <c r="BG30" s="62"/>
      <c r="BH30" s="61"/>
      <c r="BI30" s="61"/>
      <c r="BJ30" s="61"/>
      <c r="BK30" s="61"/>
      <c r="BL30" s="62"/>
      <c r="BM30" s="61"/>
      <c r="BN30" s="61"/>
      <c r="BO30" s="61"/>
      <c r="BP30" s="61"/>
      <c r="BQ30" s="62"/>
      <c r="BR30" s="61"/>
      <c r="BS30" s="61"/>
      <c r="BT30" s="61"/>
      <c r="BU30" s="61"/>
      <c r="BV30" s="62"/>
      <c r="BW30" s="61"/>
      <c r="BX30" s="61"/>
      <c r="BY30" s="61"/>
      <c r="BZ30" s="61"/>
      <c r="CA30" s="62"/>
      <c r="CB30" s="61"/>
      <c r="CC30" s="61"/>
      <c r="CD30" s="61"/>
      <c r="CE30" s="61"/>
      <c r="CF30" s="62"/>
      <c r="CG30" s="61"/>
      <c r="CH30" s="61"/>
      <c r="CI30" s="61"/>
      <c r="CJ30" s="61"/>
      <c r="CK30" s="62"/>
      <c r="CL30" s="61"/>
      <c r="CM30" s="61"/>
      <c r="CN30" s="61"/>
      <c r="CO30" s="61"/>
      <c r="CP30" s="62"/>
      <c r="CQ30" s="61"/>
      <c r="CR30" s="61"/>
      <c r="CS30" s="61"/>
      <c r="CT30" s="61"/>
      <c r="CU30" s="62"/>
      <c r="CV30" s="61"/>
      <c r="CW30" s="61"/>
      <c r="CX30" s="61"/>
      <c r="CY30" s="61"/>
      <c r="CZ30" s="62"/>
      <c r="DA30" s="61"/>
      <c r="DB30" s="61"/>
      <c r="DC30" s="61"/>
      <c r="DD30" s="61"/>
      <c r="DE30" s="62"/>
      <c r="DF30" s="61"/>
      <c r="DG30" s="61"/>
      <c r="DH30" s="61"/>
      <c r="DI30" s="61"/>
      <c r="DJ30" s="62"/>
      <c r="DK30" s="61"/>
      <c r="DL30" s="61"/>
      <c r="DM30" s="61"/>
      <c r="DN30" s="61"/>
      <c r="DO30" s="62"/>
      <c r="DP30" s="61"/>
      <c r="DQ30" s="61"/>
      <c r="DR30" s="61"/>
      <c r="DS30" s="61"/>
      <c r="DT30" s="62"/>
      <c r="DU30" s="61"/>
      <c r="DV30" s="61"/>
      <c r="DW30" s="61"/>
      <c r="DX30" s="61"/>
      <c r="DY30" s="62"/>
      <c r="DZ30" s="61"/>
      <c r="EA30" s="61"/>
      <c r="EB30" s="61"/>
      <c r="EC30" s="61"/>
      <c r="ED30" s="62"/>
      <c r="EE30" s="61"/>
      <c r="EF30" s="61"/>
      <c r="EG30" s="61"/>
      <c r="EH30" s="61"/>
      <c r="EI30" s="62"/>
      <c r="EJ30" s="61"/>
      <c r="EK30" s="61"/>
      <c r="EL30" s="61"/>
      <c r="EM30" s="61"/>
      <c r="EN30" s="62"/>
      <c r="EO30" s="61"/>
      <c r="EP30" s="61"/>
      <c r="EQ30" s="61"/>
      <c r="ER30" s="61"/>
      <c r="ES30" s="62"/>
      <c r="ET30" s="61"/>
      <c r="EU30" s="61"/>
      <c r="EV30" s="61"/>
      <c r="EW30" s="61"/>
      <c r="EX30" s="62"/>
      <c r="EY30" s="61"/>
      <c r="EZ30" s="61"/>
      <c r="FA30" s="61"/>
      <c r="FB30" s="61"/>
      <c r="FC30" s="62"/>
      <c r="FD30" s="61"/>
      <c r="FE30" s="61"/>
      <c r="FF30" s="61"/>
      <c r="FG30" s="61"/>
      <c r="FH30" s="62"/>
      <c r="FI30" s="61"/>
      <c r="FJ30" s="61"/>
      <c r="FK30" s="61"/>
      <c r="FL30" s="61"/>
      <c r="FM30" s="62"/>
      <c r="FN30" s="61"/>
      <c r="FO30" s="61"/>
      <c r="FP30" s="61"/>
      <c r="FQ30" s="61"/>
      <c r="FR30" s="62"/>
      <c r="FS30" s="61"/>
      <c r="FT30" s="61"/>
      <c r="FU30" s="61"/>
      <c r="FV30" s="61"/>
      <c r="FW30" s="62"/>
      <c r="FX30" s="61"/>
      <c r="FY30" s="61"/>
      <c r="FZ30" s="61"/>
      <c r="GA30" s="61"/>
      <c r="GB30" s="62"/>
    </row>
    <row r="31" spans="1:184" s="18" customFormat="1">
      <c r="A31" s="54">
        <f t="shared" si="0"/>
        <v>27</v>
      </c>
      <c r="B31" s="18" t="s">
        <v>314</v>
      </c>
      <c r="C31" s="49">
        <v>9.5000000000000001E-2</v>
      </c>
      <c r="D31" s="49">
        <v>9.8750000000000004E-2</v>
      </c>
      <c r="E31" s="50">
        <v>2.64E-2</v>
      </c>
      <c r="F31" s="50">
        <v>2.87E-2</v>
      </c>
      <c r="G31" s="50">
        <v>2.87E-2</v>
      </c>
      <c r="H31" s="50">
        <v>2.64E-2</v>
      </c>
      <c r="I31" s="49">
        <v>0.115</v>
      </c>
      <c r="J31" s="50">
        <v>2.41E-2</v>
      </c>
      <c r="K31" s="50">
        <v>2.35E-2</v>
      </c>
      <c r="L31" s="50">
        <v>2.35E-2</v>
      </c>
      <c r="M31" s="50">
        <v>2.35E-2</v>
      </c>
      <c r="N31" s="49">
        <v>9.8100000000000007E-2</v>
      </c>
      <c r="O31" s="50">
        <v>2.35E-2</v>
      </c>
      <c r="P31" s="50">
        <v>2.35E-2</v>
      </c>
      <c r="Q31" s="50">
        <v>2.35E-2</v>
      </c>
      <c r="R31" s="50">
        <v>2.35E-2</v>
      </c>
      <c r="S31" s="49">
        <v>9.7500000000000003E-2</v>
      </c>
      <c r="T31" s="50">
        <v>2.18E-2</v>
      </c>
      <c r="U31" s="50">
        <v>1.9800000000000002E-2</v>
      </c>
      <c r="V31" s="50">
        <v>1.8200000000000001E-2</v>
      </c>
      <c r="W31" s="50">
        <v>1.67E-2</v>
      </c>
      <c r="X31" s="49">
        <v>7.8750000000000001E-2</v>
      </c>
      <c r="Y31" s="50">
        <v>1.5900000000000001E-2</v>
      </c>
      <c r="Z31" s="50">
        <v>1.5900000000000001E-2</v>
      </c>
      <c r="AA31" s="50">
        <v>1.5299999999999999E-2</v>
      </c>
      <c r="AB31" s="50">
        <v>1.5299999999999999E-2</v>
      </c>
      <c r="AC31" s="49">
        <v>6.3700000000000007E-2</v>
      </c>
      <c r="AD31" s="50">
        <v>1.5299999999999999E-2</v>
      </c>
      <c r="AE31" s="50">
        <v>1.5299999999999999E-2</v>
      </c>
      <c r="AF31" s="50">
        <v>1.5299999999999999E-2</v>
      </c>
      <c r="AG31" s="50">
        <v>1.5599999999999999E-2</v>
      </c>
      <c r="AH31" s="49">
        <v>6.25E-2</v>
      </c>
      <c r="AI31" s="50">
        <v>1.5599999999999999E-2</v>
      </c>
      <c r="AJ31" s="50">
        <v>1.5599999999999999E-2</v>
      </c>
      <c r="AK31" s="50">
        <v>1.4999999999999999E-2</v>
      </c>
      <c r="AL31" s="50">
        <v>1.4999999999999999E-2</v>
      </c>
      <c r="AM31" s="49">
        <v>6.1249999999999999E-2</v>
      </c>
      <c r="AN31" s="50">
        <v>1.4999999999999999E-2</v>
      </c>
      <c r="AO31" s="50">
        <v>1.4999999999999999E-2</v>
      </c>
      <c r="AP31" s="50">
        <v>1.4999999999999999E-2</v>
      </c>
      <c r="AQ31" s="50">
        <v>1.6250000000000001E-2</v>
      </c>
      <c r="AR31" s="49">
        <v>6.1249999999999999E-2</v>
      </c>
      <c r="AS31" s="50">
        <f>+AW31/4</f>
        <v>1.4999999999999999E-2</v>
      </c>
      <c r="AT31" s="50">
        <f>+AW31/4</f>
        <v>1.4999999999999999E-2</v>
      </c>
      <c r="AU31" s="66">
        <f>+AW31/4</f>
        <v>1.4999999999999999E-2</v>
      </c>
      <c r="AV31" s="66">
        <f>+AW31/4</f>
        <v>1.4999999999999999E-2</v>
      </c>
      <c r="AW31" s="60">
        <v>0.06</v>
      </c>
      <c r="AX31" s="66">
        <f>+BB31/4</f>
        <v>1.4999999999999999E-2</v>
      </c>
      <c r="AY31" s="66">
        <f>+BB31/4</f>
        <v>1.4999999999999999E-2</v>
      </c>
      <c r="AZ31" s="66">
        <f>+BB31/4</f>
        <v>1.4999999999999999E-2</v>
      </c>
      <c r="BA31" s="66">
        <f>+BB31/4</f>
        <v>1.4999999999999999E-2</v>
      </c>
      <c r="BB31" s="60">
        <v>0.06</v>
      </c>
      <c r="BC31" s="66">
        <f>+BG31/4</f>
        <v>1.375E-2</v>
      </c>
      <c r="BD31" s="66">
        <f>+BG31/4</f>
        <v>1.375E-2</v>
      </c>
      <c r="BE31" s="66">
        <f>+BG31/4</f>
        <v>1.375E-2</v>
      </c>
      <c r="BF31" s="66">
        <f>+BG31/4</f>
        <v>1.375E-2</v>
      </c>
      <c r="BG31" s="60">
        <v>5.5E-2</v>
      </c>
      <c r="BH31" s="66">
        <f>+BL31/4</f>
        <v>1.2500000000000001E-2</v>
      </c>
      <c r="BI31" s="66">
        <f>+BL31/4</f>
        <v>1.2500000000000001E-2</v>
      </c>
      <c r="BJ31" s="66">
        <f>+BL31/4</f>
        <v>1.2500000000000001E-2</v>
      </c>
      <c r="BK31" s="66">
        <f>+BL31/4</f>
        <v>1.2500000000000001E-2</v>
      </c>
      <c r="BL31" s="60">
        <v>0.05</v>
      </c>
      <c r="BM31" s="66">
        <f>+BQ31/4</f>
        <v>1.2500000000000001E-2</v>
      </c>
      <c r="BN31" s="66">
        <f>+BQ31/4</f>
        <v>1.2500000000000001E-2</v>
      </c>
      <c r="BO31" s="66">
        <f>+BQ31/4</f>
        <v>1.2500000000000001E-2</v>
      </c>
      <c r="BP31" s="66">
        <f>+BQ31/4</f>
        <v>1.2500000000000001E-2</v>
      </c>
      <c r="BQ31" s="60">
        <v>0.05</v>
      </c>
      <c r="BR31" s="66">
        <f>+BV31/4</f>
        <v>1.2500000000000001E-2</v>
      </c>
      <c r="BS31" s="66">
        <f>+BV31/4</f>
        <v>1.2500000000000001E-2</v>
      </c>
      <c r="BT31" s="66">
        <f>+BV31/4</f>
        <v>1.2500000000000001E-2</v>
      </c>
      <c r="BU31" s="66">
        <f>+BV31/4</f>
        <v>1.2500000000000001E-2</v>
      </c>
      <c r="BV31" s="60">
        <v>0.05</v>
      </c>
      <c r="BW31" s="66">
        <f>+CA31/4</f>
        <v>1.2500000000000001E-2</v>
      </c>
      <c r="BX31" s="66">
        <f>+CA31/4</f>
        <v>1.2500000000000001E-2</v>
      </c>
      <c r="BY31" s="66">
        <f>+CA31/4</f>
        <v>1.2500000000000001E-2</v>
      </c>
      <c r="BZ31" s="66">
        <f>+CA31/4</f>
        <v>1.2500000000000001E-2</v>
      </c>
      <c r="CA31" s="60">
        <v>0.05</v>
      </c>
      <c r="CB31" s="66">
        <f>+CF31/4</f>
        <v>1.2500000000000001E-2</v>
      </c>
      <c r="CC31" s="66">
        <f>+CF31/4</f>
        <v>1.2500000000000001E-2</v>
      </c>
      <c r="CD31" s="66">
        <f>+CF31/4</f>
        <v>1.2500000000000001E-2</v>
      </c>
      <c r="CE31" s="66">
        <f>+CF31/4</f>
        <v>1.2500000000000001E-2</v>
      </c>
      <c r="CF31" s="60">
        <v>0.05</v>
      </c>
      <c r="CG31" s="66">
        <f>+CK31/4</f>
        <v>1.2500000000000001E-2</v>
      </c>
      <c r="CH31" s="66">
        <f>+CK31/4</f>
        <v>1.2500000000000001E-2</v>
      </c>
      <c r="CI31" s="66">
        <f>+CK31/4</f>
        <v>1.2500000000000001E-2</v>
      </c>
      <c r="CJ31" s="66">
        <f>+CK31/4</f>
        <v>1.2500000000000001E-2</v>
      </c>
      <c r="CK31" s="60">
        <v>0.05</v>
      </c>
      <c r="CL31" s="66">
        <f>+CP31/4</f>
        <v>1.2500000000000001E-2</v>
      </c>
      <c r="CM31" s="66">
        <f>+CP31/4</f>
        <v>1.2500000000000001E-2</v>
      </c>
      <c r="CN31" s="66">
        <f>+CP31/4</f>
        <v>1.2500000000000001E-2</v>
      </c>
      <c r="CO31" s="66">
        <f>+CP31/4</f>
        <v>1.2500000000000001E-2</v>
      </c>
      <c r="CP31" s="60">
        <v>0.05</v>
      </c>
      <c r="CQ31" s="66">
        <f>+CU31/4</f>
        <v>1.2500000000000001E-2</v>
      </c>
      <c r="CR31" s="66">
        <f>+CU31/4</f>
        <v>1.2500000000000001E-2</v>
      </c>
      <c r="CS31" s="66">
        <f>+CU31/4</f>
        <v>1.2500000000000001E-2</v>
      </c>
      <c r="CT31" s="66">
        <f>+CU31/4</f>
        <v>1.2500000000000001E-2</v>
      </c>
      <c r="CU31" s="60">
        <v>0.05</v>
      </c>
      <c r="CV31" s="66">
        <f>+CZ31/4</f>
        <v>1.2500000000000001E-2</v>
      </c>
      <c r="CW31" s="66">
        <f>+CZ31/4</f>
        <v>1.2500000000000001E-2</v>
      </c>
      <c r="CX31" s="66">
        <f>+CZ31/4</f>
        <v>1.2500000000000001E-2</v>
      </c>
      <c r="CY31" s="66">
        <f>+CZ31/4</f>
        <v>1.2500000000000001E-2</v>
      </c>
      <c r="CZ31" s="60">
        <v>0.05</v>
      </c>
      <c r="DA31" s="66">
        <f>+DE31/4</f>
        <v>1.2500000000000001E-2</v>
      </c>
      <c r="DB31" s="66">
        <f>+DE31/4</f>
        <v>1.2500000000000001E-2</v>
      </c>
      <c r="DC31" s="66">
        <f>+DE31/4</f>
        <v>1.2500000000000001E-2</v>
      </c>
      <c r="DD31" s="66">
        <f>+DE31/4</f>
        <v>1.2500000000000001E-2</v>
      </c>
      <c r="DE31" s="60">
        <v>0.05</v>
      </c>
      <c r="DF31" s="66">
        <f>+DJ31/4</f>
        <v>1.2500000000000001E-2</v>
      </c>
      <c r="DG31" s="66">
        <f>+DJ31/4</f>
        <v>1.2500000000000001E-2</v>
      </c>
      <c r="DH31" s="66">
        <f>+DJ31/4</f>
        <v>1.2500000000000001E-2</v>
      </c>
      <c r="DI31" s="66">
        <f>+DJ31/4</f>
        <v>1.2500000000000001E-2</v>
      </c>
      <c r="DJ31" s="60">
        <v>0.05</v>
      </c>
      <c r="DK31" s="66">
        <f>+DO31/4</f>
        <v>1.2500000000000001E-2</v>
      </c>
      <c r="DL31" s="66">
        <f>+DO31/4</f>
        <v>1.2500000000000001E-2</v>
      </c>
      <c r="DM31" s="66">
        <f>+DO31/4</f>
        <v>1.2500000000000001E-2</v>
      </c>
      <c r="DN31" s="66">
        <f>+DO31/4</f>
        <v>1.2500000000000001E-2</v>
      </c>
      <c r="DO31" s="60">
        <v>0.05</v>
      </c>
      <c r="DP31" s="66">
        <f>+DT31/4</f>
        <v>1.2500000000000001E-2</v>
      </c>
      <c r="DQ31" s="66">
        <f>+DT31/4</f>
        <v>1.2500000000000001E-2</v>
      </c>
      <c r="DR31" s="66">
        <f>+DT31/4</f>
        <v>1.2500000000000001E-2</v>
      </c>
      <c r="DS31" s="66">
        <f>+DT31/4</f>
        <v>1.2500000000000001E-2</v>
      </c>
      <c r="DT31" s="60">
        <v>0.05</v>
      </c>
      <c r="DU31" s="66">
        <f>+DY31/4</f>
        <v>1.2500000000000001E-2</v>
      </c>
      <c r="DV31" s="66">
        <f>+DY31/4</f>
        <v>1.2500000000000001E-2</v>
      </c>
      <c r="DW31" s="66">
        <f>+DY31/4</f>
        <v>1.2500000000000001E-2</v>
      </c>
      <c r="DX31" s="66">
        <f>+DY31/4</f>
        <v>1.2500000000000001E-2</v>
      </c>
      <c r="DY31" s="60">
        <v>0.05</v>
      </c>
      <c r="DZ31" s="66">
        <f>+ED31/4</f>
        <v>1.2500000000000001E-2</v>
      </c>
      <c r="EA31" s="66">
        <f>+ED31/4</f>
        <v>1.2500000000000001E-2</v>
      </c>
      <c r="EB31" s="66">
        <f>+ED31/4</f>
        <v>1.2500000000000001E-2</v>
      </c>
      <c r="EC31" s="66">
        <f>+ED31/4</f>
        <v>1.2500000000000001E-2</v>
      </c>
      <c r="ED31" s="60">
        <v>0.05</v>
      </c>
      <c r="EE31" s="66">
        <f>+EI31/4</f>
        <v>1.2500000000000001E-2</v>
      </c>
      <c r="EF31" s="66">
        <f>+EI31/4</f>
        <v>1.2500000000000001E-2</v>
      </c>
      <c r="EG31" s="66">
        <f>+EI31/4</f>
        <v>1.2500000000000001E-2</v>
      </c>
      <c r="EH31" s="66">
        <f>+EI31/4</f>
        <v>1.2500000000000001E-2</v>
      </c>
      <c r="EI31" s="60">
        <v>0.05</v>
      </c>
      <c r="EJ31" s="66">
        <f>+EN31/4</f>
        <v>1.2500000000000001E-2</v>
      </c>
      <c r="EK31" s="66">
        <f>+EN31/4</f>
        <v>1.2500000000000001E-2</v>
      </c>
      <c r="EL31" s="66">
        <f>+EN31/4</f>
        <v>1.2500000000000001E-2</v>
      </c>
      <c r="EM31" s="66">
        <f>+EN31/4</f>
        <v>1.2500000000000001E-2</v>
      </c>
      <c r="EN31" s="60">
        <v>0.05</v>
      </c>
      <c r="EO31" s="66">
        <f>+ES31/4</f>
        <v>1.2500000000000001E-2</v>
      </c>
      <c r="EP31" s="66">
        <f>+ES31/4</f>
        <v>1.2500000000000001E-2</v>
      </c>
      <c r="EQ31" s="66">
        <f>+ES31/4</f>
        <v>1.2500000000000001E-2</v>
      </c>
      <c r="ER31" s="66">
        <f>+ES31/4</f>
        <v>1.2500000000000001E-2</v>
      </c>
      <c r="ES31" s="60">
        <f>+EN31</f>
        <v>0.05</v>
      </c>
      <c r="ET31" s="66">
        <f>+EX31/4</f>
        <v>1.2500000000000001E-2</v>
      </c>
      <c r="EU31" s="66">
        <f>+EX31/4</f>
        <v>1.2500000000000001E-2</v>
      </c>
      <c r="EV31" s="66">
        <f>+EX31/4</f>
        <v>1.2500000000000001E-2</v>
      </c>
      <c r="EW31" s="66">
        <f>+EX31/4</f>
        <v>1.2500000000000001E-2</v>
      </c>
      <c r="EX31" s="60">
        <f>+ES31</f>
        <v>0.05</v>
      </c>
      <c r="EY31" s="66">
        <f>+FC31/4</f>
        <v>1.2500000000000001E-2</v>
      </c>
      <c r="EZ31" s="66">
        <f>+FC31/4</f>
        <v>1.2500000000000001E-2</v>
      </c>
      <c r="FA31" s="66">
        <f>+FC31/4</f>
        <v>1.2500000000000001E-2</v>
      </c>
      <c r="FB31" s="66">
        <f>+FC31/4</f>
        <v>1.2500000000000001E-2</v>
      </c>
      <c r="FC31" s="60">
        <f>+EX31</f>
        <v>0.05</v>
      </c>
      <c r="FD31" s="66">
        <f>+FH31/4</f>
        <v>1.2500000000000001E-2</v>
      </c>
      <c r="FE31" s="66">
        <f>+FH31/4</f>
        <v>1.2500000000000001E-2</v>
      </c>
      <c r="FF31" s="66">
        <f>+FH31/4</f>
        <v>1.2500000000000001E-2</v>
      </c>
      <c r="FG31" s="66">
        <f>+FH31/4</f>
        <v>1.2500000000000001E-2</v>
      </c>
      <c r="FH31" s="60">
        <f>+FC31</f>
        <v>0.05</v>
      </c>
      <c r="FI31" s="66">
        <f>+FM31/4</f>
        <v>1.2500000000000001E-2</v>
      </c>
      <c r="FJ31" s="66">
        <f>+FM31/4</f>
        <v>1.2500000000000001E-2</v>
      </c>
      <c r="FK31" s="66">
        <f>+FM31/4</f>
        <v>1.2500000000000001E-2</v>
      </c>
      <c r="FL31" s="66">
        <f>+FM31/4</f>
        <v>1.2500000000000001E-2</v>
      </c>
      <c r="FM31" s="60">
        <f>+FH31</f>
        <v>0.05</v>
      </c>
      <c r="FN31" s="66">
        <f>+FR31/4</f>
        <v>1.2500000000000001E-2</v>
      </c>
      <c r="FO31" s="66">
        <f>+FR31/4</f>
        <v>1.2500000000000001E-2</v>
      </c>
      <c r="FP31" s="66">
        <f>+FR31/4</f>
        <v>1.2500000000000001E-2</v>
      </c>
      <c r="FQ31" s="66">
        <f>+FR31/4</f>
        <v>1.2500000000000001E-2</v>
      </c>
      <c r="FR31" s="60">
        <f>+FM31</f>
        <v>0.05</v>
      </c>
      <c r="FS31" s="66">
        <f>+FW31/4</f>
        <v>1.2500000000000001E-2</v>
      </c>
      <c r="FT31" s="66">
        <f>+FW31/4</f>
        <v>1.2500000000000001E-2</v>
      </c>
      <c r="FU31" s="66">
        <f>+FW31/4</f>
        <v>1.2500000000000001E-2</v>
      </c>
      <c r="FV31" s="66">
        <f>+FW31/4</f>
        <v>1.2500000000000001E-2</v>
      </c>
      <c r="FW31" s="60">
        <f>+FR31</f>
        <v>0.05</v>
      </c>
      <c r="FX31" s="66">
        <f>+GB31/4</f>
        <v>1.2500000000000001E-2</v>
      </c>
      <c r="FY31" s="66">
        <f>+GB31/4</f>
        <v>1.2500000000000001E-2</v>
      </c>
      <c r="FZ31" s="66">
        <f>+GB31/4</f>
        <v>1.2500000000000001E-2</v>
      </c>
      <c r="GA31" s="66">
        <f>+GB31/4</f>
        <v>1.2500000000000001E-2</v>
      </c>
      <c r="GB31" s="60">
        <f>+FW31</f>
        <v>0.05</v>
      </c>
    </row>
    <row r="32" spans="1:184" s="18" customFormat="1">
      <c r="A32" s="54">
        <f t="shared" si="0"/>
        <v>28</v>
      </c>
      <c r="B32" s="18" t="s">
        <v>329</v>
      </c>
      <c r="C32" s="43">
        <v>3.8603219583977243E-2</v>
      </c>
      <c r="D32" s="43">
        <v>2.2052388367447766E-2</v>
      </c>
      <c r="E32" s="59">
        <f>(1+I32)^(1/4)-1</f>
        <v>3.3777226766207313E-3</v>
      </c>
      <c r="F32" s="59">
        <f>(1+I32)^(1/4)-1</f>
        <v>3.3777226766207313E-3</v>
      </c>
      <c r="G32" s="59">
        <f>(1+I32)^(1/4)-1</f>
        <v>3.3777226766207313E-3</v>
      </c>
      <c r="H32" s="59">
        <f>(1+I32)^(1/4)-1</f>
        <v>3.3777226766207313E-3</v>
      </c>
      <c r="I32" s="43">
        <v>1.3579499045423174E-2</v>
      </c>
      <c r="J32" s="59">
        <f>(1+N32)^(1/4)-1</f>
        <v>5.2502401788667719E-3</v>
      </c>
      <c r="K32" s="59">
        <f>(1+N32)^(1/4)-1</f>
        <v>5.2502401788667719E-3</v>
      </c>
      <c r="L32" s="59">
        <f>(1+N32)^(1/4)-1</f>
        <v>5.2502401788667719E-3</v>
      </c>
      <c r="M32" s="59">
        <f>(1+N32)^(1/4)-1</f>
        <v>5.2502401788667719E-3</v>
      </c>
      <c r="N32" s="43">
        <v>2.1166930498855013E-2</v>
      </c>
      <c r="O32" s="59">
        <f>(1+S32)^(1/4)-1</f>
        <v>9.9127637791618373E-3</v>
      </c>
      <c r="P32" s="59">
        <f>(1+S32)^(1/4)-1</f>
        <v>9.9127637791618373E-3</v>
      </c>
      <c r="Q32" s="59">
        <f>(1+S32)^(1/4)-1</f>
        <v>9.9127637791618373E-3</v>
      </c>
      <c r="R32" s="59">
        <f>(1+S32)^(1/4)-1</f>
        <v>9.9127637791618373E-3</v>
      </c>
      <c r="S32" s="43">
        <v>4.0244538313789241E-2</v>
      </c>
      <c r="T32" s="59">
        <f>(1+X32)^(1/4)-1</f>
        <v>1.3049127826194162E-2</v>
      </c>
      <c r="U32" s="59">
        <f>(1+X32)^(1/4)-1</f>
        <v>1.3049127826194162E-2</v>
      </c>
      <c r="V32" s="59">
        <f>(1+X32)^(1/4)-1</f>
        <v>1.3049127826194162E-2</v>
      </c>
      <c r="W32" s="59">
        <f>(1+X32)^(1/4)-1</f>
        <v>1.3049127826194162E-2</v>
      </c>
      <c r="X32" s="43">
        <v>5.3227106730330431E-2</v>
      </c>
      <c r="Y32" s="59">
        <f>(1+AC32)^(1/4)-1</f>
        <v>1.256133119831504E-2</v>
      </c>
      <c r="Z32" s="59">
        <f>(1+AC32)^(1/4)-1</f>
        <v>1.256133119831504E-2</v>
      </c>
      <c r="AA32" s="59">
        <f>(1+AC32)^(1/4)-1</f>
        <v>1.256133119831504E-2</v>
      </c>
      <c r="AB32" s="59">
        <f>(1+AC32)^(1/4)-1</f>
        <v>1.256133119831504E-2</v>
      </c>
      <c r="AC32" s="43">
        <v>5.1200000000000002E-2</v>
      </c>
      <c r="AD32" s="59">
        <f>(1+AH32)^(1/4)-1</f>
        <v>7.3407238588956147E-3</v>
      </c>
      <c r="AE32" s="59">
        <f>(1+AH32)^(1/4)-1</f>
        <v>7.3407238588956147E-3</v>
      </c>
      <c r="AF32" s="59">
        <f>(1+AH32)^(1/4)-1</f>
        <v>7.3407238588956147E-3</v>
      </c>
      <c r="AG32" s="59">
        <f>(1+AH32)^(1/4)-1</f>
        <v>7.3407238588956147E-3</v>
      </c>
      <c r="AH32" s="43">
        <v>2.9687797955585609E-2</v>
      </c>
      <c r="AI32" s="59">
        <f>(1+AM32)^(1/4)-1</f>
        <v>3.8488240376488569E-3</v>
      </c>
      <c r="AJ32" s="59">
        <f>(1+AM32)^(1/4)-1</f>
        <v>3.8488240376488569E-3</v>
      </c>
      <c r="AK32" s="59">
        <f>(1+AM32)^(1/4)-1</f>
        <v>3.8488240376488569E-3</v>
      </c>
      <c r="AL32" s="59">
        <f>(1+AM32)^(1/4)-1</f>
        <v>3.8488240376488569E-3</v>
      </c>
      <c r="AM32" s="43">
        <v>1.5484405106266077E-2</v>
      </c>
      <c r="AN32" s="59">
        <f>(1+AR32)^(1/4)-1</f>
        <v>2.3015223105364857E-3</v>
      </c>
      <c r="AO32" s="59">
        <f>(1+AR32)^(1/4)-1</f>
        <v>2.3015223105364857E-3</v>
      </c>
      <c r="AP32" s="59">
        <f>(1+AR32)^(1/4)-1</f>
        <v>2.3015223105364857E-3</v>
      </c>
      <c r="AQ32" s="59">
        <f>(1+AR32)^(1/4)-1</f>
        <v>2.3015223105364857E-3</v>
      </c>
      <c r="AR32" s="43">
        <v>9.2379200645800932E-3</v>
      </c>
      <c r="AS32" s="59">
        <f>(1+AW32)^(1/4)-1</f>
        <v>2.2424458721626017E-3</v>
      </c>
      <c r="AT32" s="59">
        <f>(1+AW32)^(1/4)-1</f>
        <v>2.2424458721626017E-3</v>
      </c>
      <c r="AU32" s="59">
        <f>(1+AW32)^(1/4)-1</f>
        <v>2.2424458721626017E-3</v>
      </c>
      <c r="AV32" s="59">
        <f>(1+AW32)^(1/4)-1</f>
        <v>2.2424458721626017E-3</v>
      </c>
      <c r="AW32" s="60">
        <v>9.0000000000000011E-3</v>
      </c>
      <c r="AX32" s="59">
        <f>(1+BB32)^(1/4)-1</f>
        <v>4.2231718289997833E-3</v>
      </c>
      <c r="AY32" s="59">
        <f>(1+BB32)^(1/4)-1</f>
        <v>4.2231718289997833E-3</v>
      </c>
      <c r="AZ32" s="59">
        <f>(1+BB32)^(1/4)-1</f>
        <v>4.2231718289997833E-3</v>
      </c>
      <c r="BA32" s="59">
        <f>(1+BB32)^(1/4)-1</f>
        <v>4.2231718289997833E-3</v>
      </c>
      <c r="BB32" s="60">
        <v>1.7000000000000001E-2</v>
      </c>
      <c r="BC32" s="59">
        <f>(1+BG32)^(1/4)-1</f>
        <v>4.2231718289997833E-3</v>
      </c>
      <c r="BD32" s="59">
        <f>(1+BG32)^(1/4)-1</f>
        <v>4.2231718289997833E-3</v>
      </c>
      <c r="BE32" s="59">
        <f>(1+BG32)^(1/4)-1</f>
        <v>4.2231718289997833E-3</v>
      </c>
      <c r="BF32" s="59">
        <f>(1+BG32)^(1/4)-1</f>
        <v>4.2231718289997833E-3</v>
      </c>
      <c r="BG32" s="60">
        <v>1.7000000000000001E-2</v>
      </c>
      <c r="BH32" s="59">
        <f>(1+BL32)^(1/4)-1</f>
        <v>4.2231718289997833E-3</v>
      </c>
      <c r="BI32" s="59">
        <f>(1+BL32)^(1/4)-1</f>
        <v>4.2231718289997833E-3</v>
      </c>
      <c r="BJ32" s="59">
        <f>(1+BL32)^(1/4)-1</f>
        <v>4.2231718289997833E-3</v>
      </c>
      <c r="BK32" s="59">
        <f>(1+BL32)^(1/4)-1</f>
        <v>4.2231718289997833E-3</v>
      </c>
      <c r="BL32" s="60">
        <v>1.7000000000000001E-2</v>
      </c>
      <c r="BM32" s="59">
        <f>(1+BQ32)^(1/4)-1</f>
        <v>4.2231718289997833E-3</v>
      </c>
      <c r="BN32" s="59">
        <f>(1+BQ32)^(1/4)-1</f>
        <v>4.2231718289997833E-3</v>
      </c>
      <c r="BO32" s="59">
        <f>(1+BQ32)^(1/4)-1</f>
        <v>4.2231718289997833E-3</v>
      </c>
      <c r="BP32" s="59">
        <f>(1+BQ32)^(1/4)-1</f>
        <v>4.2231718289997833E-3</v>
      </c>
      <c r="BQ32" s="60">
        <v>1.7000000000000001E-2</v>
      </c>
      <c r="BR32" s="59">
        <f>(1+BV32)^(1/4)-1</f>
        <v>5.4551986478605929E-3</v>
      </c>
      <c r="BS32" s="59">
        <f>(1+BV32)^(1/4)-1</f>
        <v>5.4551986478605929E-3</v>
      </c>
      <c r="BT32" s="59">
        <f>(1+BV32)^(1/4)-1</f>
        <v>5.4551986478605929E-3</v>
      </c>
      <c r="BU32" s="59">
        <f>(1+BV32)^(1/4)-1</f>
        <v>5.4551986478605929E-3</v>
      </c>
      <c r="BV32" s="60">
        <v>2.2000000000000002E-2</v>
      </c>
      <c r="BW32" s="59">
        <f>(1+CA32)^(1/4)-1</f>
        <v>5.4551986478605929E-3</v>
      </c>
      <c r="BX32" s="59">
        <f>(1+CA32)^(1/4)-1</f>
        <v>5.4551986478605929E-3</v>
      </c>
      <c r="BY32" s="59">
        <f>(1+CA32)^(1/4)-1</f>
        <v>5.4551986478605929E-3</v>
      </c>
      <c r="BZ32" s="59">
        <f>(1+CA32)^(1/4)-1</f>
        <v>5.4551986478605929E-3</v>
      </c>
      <c r="CA32" s="60">
        <v>2.2000000000000002E-2</v>
      </c>
      <c r="CB32" s="59">
        <f>(1+CF32)^(1/4)-1</f>
        <v>5.4551986478605929E-3</v>
      </c>
      <c r="CC32" s="59">
        <f>(1+CF32)^(1/4)-1</f>
        <v>5.4551986478605929E-3</v>
      </c>
      <c r="CD32" s="59">
        <f>(1+CF32)^(1/4)-1</f>
        <v>5.4551986478605929E-3</v>
      </c>
      <c r="CE32" s="59">
        <f>(1+CF32)^(1/4)-1</f>
        <v>5.4551986478605929E-3</v>
      </c>
      <c r="CF32" s="60">
        <v>2.2000000000000002E-2</v>
      </c>
      <c r="CG32" s="59">
        <f>(1+CK32)^(1/4)-1</f>
        <v>5.4551986478605929E-3</v>
      </c>
      <c r="CH32" s="59">
        <f>(1+CK32)^(1/4)-1</f>
        <v>5.4551986478605929E-3</v>
      </c>
      <c r="CI32" s="59">
        <f>(1+CK32)^(1/4)-1</f>
        <v>5.4551986478605929E-3</v>
      </c>
      <c r="CJ32" s="59">
        <f>(1+CK32)^(1/4)-1</f>
        <v>5.4551986478605929E-3</v>
      </c>
      <c r="CK32" s="60">
        <v>2.2000000000000002E-2</v>
      </c>
      <c r="CL32" s="59">
        <f>(1+CP32)^(1/4)-1</f>
        <v>9.8534065489688238E-3</v>
      </c>
      <c r="CM32" s="59">
        <f>(1+CP32)^(1/4)-1</f>
        <v>9.8534065489688238E-3</v>
      </c>
      <c r="CN32" s="59">
        <f>(1+CP32)^(1/4)-1</f>
        <v>9.8534065489688238E-3</v>
      </c>
      <c r="CO32" s="59">
        <f>(1+CP32)^(1/4)-1</f>
        <v>9.8534065489688238E-3</v>
      </c>
      <c r="CP32" s="60">
        <v>0.04</v>
      </c>
      <c r="CQ32" s="59">
        <f>(1+CU32)^(1/4)-1</f>
        <v>9.8534065489688238E-3</v>
      </c>
      <c r="CR32" s="59">
        <f>(1+CU32)^(1/4)-1</f>
        <v>9.8534065489688238E-3</v>
      </c>
      <c r="CS32" s="59">
        <f>(1+CU32)^(1/4)-1</f>
        <v>9.8534065489688238E-3</v>
      </c>
      <c r="CT32" s="59">
        <f>(1+CU32)^(1/4)-1</f>
        <v>9.8534065489688238E-3</v>
      </c>
      <c r="CU32" s="60">
        <f>+CP32</f>
        <v>0.04</v>
      </c>
      <c r="CV32" s="59">
        <f>(1+CZ32)^(1/4)-1</f>
        <v>9.8534065489688238E-3</v>
      </c>
      <c r="CW32" s="59">
        <f>(1+CZ32)^(1/4)-1</f>
        <v>9.8534065489688238E-3</v>
      </c>
      <c r="CX32" s="59">
        <f>(1+CZ32)^(1/4)-1</f>
        <v>9.8534065489688238E-3</v>
      </c>
      <c r="CY32" s="59">
        <f>(1+CZ32)^(1/4)-1</f>
        <v>9.8534065489688238E-3</v>
      </c>
      <c r="CZ32" s="60">
        <f>+CU32</f>
        <v>0.04</v>
      </c>
      <c r="DA32" s="59">
        <f>(1+DE32)^(1/4)-1</f>
        <v>9.8534065489688238E-3</v>
      </c>
      <c r="DB32" s="59">
        <f>(1+DE32)^(1/4)-1</f>
        <v>9.8534065489688238E-3</v>
      </c>
      <c r="DC32" s="59">
        <f>(1+DE32)^(1/4)-1</f>
        <v>9.8534065489688238E-3</v>
      </c>
      <c r="DD32" s="59">
        <f>(1+DE32)^(1/4)-1</f>
        <v>9.8534065489688238E-3</v>
      </c>
      <c r="DE32" s="60">
        <f>+CZ32</f>
        <v>0.04</v>
      </c>
      <c r="DF32" s="59">
        <f>(1+DJ32)^(1/4)-1</f>
        <v>9.8534065489688238E-3</v>
      </c>
      <c r="DG32" s="59">
        <f>(1+DJ32)^(1/4)-1</f>
        <v>9.8534065489688238E-3</v>
      </c>
      <c r="DH32" s="59">
        <f>(1+DJ32)^(1/4)-1</f>
        <v>9.8534065489688238E-3</v>
      </c>
      <c r="DI32" s="59">
        <f>(1+DJ32)^(1/4)-1</f>
        <v>9.8534065489688238E-3</v>
      </c>
      <c r="DJ32" s="60">
        <f>+DE32</f>
        <v>0.04</v>
      </c>
      <c r="DK32" s="59">
        <f>(1+DO32)^(1/4)-1</f>
        <v>9.8534065489688238E-3</v>
      </c>
      <c r="DL32" s="59">
        <f>(1+DO32)^(1/4)-1</f>
        <v>9.8534065489688238E-3</v>
      </c>
      <c r="DM32" s="59">
        <f>(1+DO32)^(1/4)-1</f>
        <v>9.8534065489688238E-3</v>
      </c>
      <c r="DN32" s="59">
        <f>(1+DO32)^(1/4)-1</f>
        <v>9.8534065489688238E-3</v>
      </c>
      <c r="DO32" s="60">
        <f>+DJ32</f>
        <v>0.04</v>
      </c>
      <c r="DP32" s="59">
        <f>(1+DT32)^(1/4)-1</f>
        <v>9.8534065489688238E-3</v>
      </c>
      <c r="DQ32" s="59">
        <f>(1+DT32)^(1/4)-1</f>
        <v>9.8534065489688238E-3</v>
      </c>
      <c r="DR32" s="59">
        <f>(1+DT32)^(1/4)-1</f>
        <v>9.8534065489688238E-3</v>
      </c>
      <c r="DS32" s="59">
        <f>(1+DT32)^(1/4)-1</f>
        <v>9.8534065489688238E-3</v>
      </c>
      <c r="DT32" s="60">
        <f>+DO32</f>
        <v>0.04</v>
      </c>
      <c r="DU32" s="59">
        <f>(1+DY32)^(1/4)-1</f>
        <v>9.8534065489688238E-3</v>
      </c>
      <c r="DV32" s="59">
        <f>(1+DY32)^(1/4)-1</f>
        <v>9.8534065489688238E-3</v>
      </c>
      <c r="DW32" s="59">
        <f>(1+DY32)^(1/4)-1</f>
        <v>9.8534065489688238E-3</v>
      </c>
      <c r="DX32" s="59">
        <f>(1+DY32)^(1/4)-1</f>
        <v>9.8534065489688238E-3</v>
      </c>
      <c r="DY32" s="60">
        <f>+DT32</f>
        <v>0.04</v>
      </c>
      <c r="DZ32" s="59">
        <f>(1+ED32)^(1/4)-1</f>
        <v>9.8534065489688238E-3</v>
      </c>
      <c r="EA32" s="59">
        <f>(1+ED32)^(1/4)-1</f>
        <v>9.8534065489688238E-3</v>
      </c>
      <c r="EB32" s="59">
        <f>(1+ED32)^(1/4)-1</f>
        <v>9.8534065489688238E-3</v>
      </c>
      <c r="EC32" s="59">
        <f>(1+ED32)^(1/4)-1</f>
        <v>9.8534065489688238E-3</v>
      </c>
      <c r="ED32" s="60">
        <f>+DY32</f>
        <v>0.04</v>
      </c>
      <c r="EE32" s="59">
        <f>(1+EI32)^(1/4)-1</f>
        <v>9.8534065489688238E-3</v>
      </c>
      <c r="EF32" s="59">
        <f>(1+EI32)^(1/4)-1</f>
        <v>9.8534065489688238E-3</v>
      </c>
      <c r="EG32" s="59">
        <f>(1+EI32)^(1/4)-1</f>
        <v>9.8534065489688238E-3</v>
      </c>
      <c r="EH32" s="59">
        <f>(1+EI32)^(1/4)-1</f>
        <v>9.8534065489688238E-3</v>
      </c>
      <c r="EI32" s="60">
        <f>+ED32</f>
        <v>0.04</v>
      </c>
      <c r="EJ32" s="59">
        <f>(1+EN32)^(1/4)-1</f>
        <v>9.8534065489688238E-3</v>
      </c>
      <c r="EK32" s="59">
        <f>(1+EN32)^(1/4)-1</f>
        <v>9.8534065489688238E-3</v>
      </c>
      <c r="EL32" s="59">
        <f>(1+EN32)^(1/4)-1</f>
        <v>9.8534065489688238E-3</v>
      </c>
      <c r="EM32" s="59">
        <f>(1+EN32)^(1/4)-1</f>
        <v>9.8534065489688238E-3</v>
      </c>
      <c r="EN32" s="60">
        <f>+EI32</f>
        <v>0.04</v>
      </c>
      <c r="EO32" s="59">
        <f>(1+ES32)^(1/4)-1</f>
        <v>9.8534065489688238E-3</v>
      </c>
      <c r="EP32" s="59">
        <f>(1+ES32)^(1/4)-1</f>
        <v>9.8534065489688238E-3</v>
      </c>
      <c r="EQ32" s="59">
        <f>(1+ES32)^(1/4)-1</f>
        <v>9.8534065489688238E-3</v>
      </c>
      <c r="ER32" s="59">
        <f>(1+ES32)^(1/4)-1</f>
        <v>9.8534065489688238E-3</v>
      </c>
      <c r="ES32" s="60">
        <f>+EN32</f>
        <v>0.04</v>
      </c>
      <c r="ET32" s="59">
        <f>(1+EX32)^(1/4)-1</f>
        <v>9.8534065489688238E-3</v>
      </c>
      <c r="EU32" s="59">
        <f>(1+EX32)^(1/4)-1</f>
        <v>9.8534065489688238E-3</v>
      </c>
      <c r="EV32" s="59">
        <f>(1+EX32)^(1/4)-1</f>
        <v>9.8534065489688238E-3</v>
      </c>
      <c r="EW32" s="59">
        <f>(1+EX32)^(1/4)-1</f>
        <v>9.8534065489688238E-3</v>
      </c>
      <c r="EX32" s="60">
        <f>+ES32</f>
        <v>0.04</v>
      </c>
      <c r="EY32" s="59">
        <f>(1+FC32)^(1/4)-1</f>
        <v>9.8534065489688238E-3</v>
      </c>
      <c r="EZ32" s="59">
        <f>(1+FC32)^(1/4)-1</f>
        <v>9.8534065489688238E-3</v>
      </c>
      <c r="FA32" s="59">
        <f>(1+FC32)^(1/4)-1</f>
        <v>9.8534065489688238E-3</v>
      </c>
      <c r="FB32" s="59">
        <f>(1+FC32)^(1/4)-1</f>
        <v>9.8534065489688238E-3</v>
      </c>
      <c r="FC32" s="60">
        <f>+EX32</f>
        <v>0.04</v>
      </c>
      <c r="FD32" s="59">
        <f>(1+FH32)^(1/4)-1</f>
        <v>9.8534065489688238E-3</v>
      </c>
      <c r="FE32" s="59">
        <f>(1+FH32)^(1/4)-1</f>
        <v>9.8534065489688238E-3</v>
      </c>
      <c r="FF32" s="59">
        <f>(1+FH32)^(1/4)-1</f>
        <v>9.8534065489688238E-3</v>
      </c>
      <c r="FG32" s="59">
        <f>(1+FH32)^(1/4)-1</f>
        <v>9.8534065489688238E-3</v>
      </c>
      <c r="FH32" s="60">
        <f>+FC32</f>
        <v>0.04</v>
      </c>
      <c r="FI32" s="59">
        <f>(1+FM32)^(1/4)-1</f>
        <v>9.8534065489688238E-3</v>
      </c>
      <c r="FJ32" s="59">
        <f>(1+FM32)^(1/4)-1</f>
        <v>9.8534065489688238E-3</v>
      </c>
      <c r="FK32" s="59">
        <f>(1+FM32)^(1/4)-1</f>
        <v>9.8534065489688238E-3</v>
      </c>
      <c r="FL32" s="59">
        <f>(1+FM32)^(1/4)-1</f>
        <v>9.8534065489688238E-3</v>
      </c>
      <c r="FM32" s="60">
        <f>+FH32</f>
        <v>0.04</v>
      </c>
      <c r="FN32" s="59">
        <f>(1+FR32)^(1/4)-1</f>
        <v>9.8534065489688238E-3</v>
      </c>
      <c r="FO32" s="59">
        <f>(1+FR32)^(1/4)-1</f>
        <v>9.8534065489688238E-3</v>
      </c>
      <c r="FP32" s="59">
        <f>(1+FR32)^(1/4)-1</f>
        <v>9.8534065489688238E-3</v>
      </c>
      <c r="FQ32" s="59">
        <f>(1+FR32)^(1/4)-1</f>
        <v>9.8534065489688238E-3</v>
      </c>
      <c r="FR32" s="60">
        <f>+FM32</f>
        <v>0.04</v>
      </c>
      <c r="FS32" s="59">
        <f>(1+FW32)^(1/4)-1</f>
        <v>9.8534065489688238E-3</v>
      </c>
      <c r="FT32" s="59">
        <f>(1+FW32)^(1/4)-1</f>
        <v>9.8534065489688238E-3</v>
      </c>
      <c r="FU32" s="59">
        <f>(1+FW32)^(1/4)-1</f>
        <v>9.8534065489688238E-3</v>
      </c>
      <c r="FV32" s="59">
        <f>(1+FW32)^(1/4)-1</f>
        <v>9.8534065489688238E-3</v>
      </c>
      <c r="FW32" s="60">
        <f>+FR32</f>
        <v>0.04</v>
      </c>
      <c r="FX32" s="59">
        <f>(1+GB32)^(1/4)-1</f>
        <v>9.8534065489688238E-3</v>
      </c>
      <c r="FY32" s="59">
        <f>(1+GB32)^(1/4)-1</f>
        <v>9.8534065489688238E-3</v>
      </c>
      <c r="FZ32" s="59">
        <f>(1+GB32)^(1/4)-1</f>
        <v>9.8534065489688238E-3</v>
      </c>
      <c r="GA32" s="59">
        <f>(1+GB32)^(1/4)-1</f>
        <v>9.8534065489688238E-3</v>
      </c>
      <c r="GB32" s="60">
        <f>+FW32</f>
        <v>0.04</v>
      </c>
    </row>
    <row r="33" spans="1:184" s="18" customFormat="1">
      <c r="A33" s="54">
        <f t="shared" si="0"/>
        <v>29</v>
      </c>
      <c r="B33" s="18" t="s">
        <v>339</v>
      </c>
      <c r="C33" s="51">
        <v>0</v>
      </c>
      <c r="D33" s="51">
        <v>0</v>
      </c>
      <c r="E33" s="53">
        <v>0</v>
      </c>
      <c r="F33" s="53">
        <v>0</v>
      </c>
      <c r="G33" s="53">
        <v>0</v>
      </c>
      <c r="H33" s="53">
        <v>0</v>
      </c>
      <c r="I33" s="43">
        <v>4.6444924471909621E-2</v>
      </c>
      <c r="J33" s="53">
        <v>0</v>
      </c>
      <c r="K33" s="53">
        <v>0</v>
      </c>
      <c r="L33" s="53">
        <v>0</v>
      </c>
      <c r="M33" s="53">
        <v>0</v>
      </c>
      <c r="N33" s="43">
        <v>1.8251506756420621E-2</v>
      </c>
      <c r="O33" s="53">
        <v>0</v>
      </c>
      <c r="P33" s="53">
        <v>0</v>
      </c>
      <c r="Q33" s="53">
        <v>0</v>
      </c>
      <c r="R33" s="53">
        <v>0</v>
      </c>
      <c r="S33" s="43">
        <v>2.8359907844019983E-2</v>
      </c>
      <c r="T33" s="53">
        <v>5.1000000000000004E-3</v>
      </c>
      <c r="U33" s="53">
        <v>4.4000000000000003E-3</v>
      </c>
      <c r="V33" s="53">
        <v>5.7000000000000002E-3</v>
      </c>
      <c r="W33" s="53">
        <v>4.7000000000000002E-3</v>
      </c>
      <c r="X33" s="43">
        <v>2.0105417594608266E-2</v>
      </c>
      <c r="Y33" s="53">
        <v>4.7999999999999996E-3</v>
      </c>
      <c r="Z33" s="53">
        <v>3.8999999999999998E-3</v>
      </c>
      <c r="AA33" s="53">
        <v>3.3E-3</v>
      </c>
      <c r="AB33" s="53">
        <v>2E-3</v>
      </c>
      <c r="AC33" s="43">
        <v>1.4453109429762856E-2</v>
      </c>
      <c r="AD33" s="53">
        <v>2.0999999999999999E-3</v>
      </c>
      <c r="AE33" s="53">
        <v>3.2000000000000002E-3</v>
      </c>
      <c r="AF33" s="53">
        <v>5.7000000000000002E-3</v>
      </c>
      <c r="AG33" s="53">
        <v>6.3E-3</v>
      </c>
      <c r="AH33" s="43">
        <v>1.6348438580850333E-2</v>
      </c>
      <c r="AI33" s="53">
        <v>3.3999999999999998E-3</v>
      </c>
      <c r="AJ33" s="53">
        <v>1.6999999999999999E-3</v>
      </c>
      <c r="AK33" s="53">
        <v>1.1000000000000001E-3</v>
      </c>
      <c r="AL33" s="53">
        <v>2.9999999999999997E-4</v>
      </c>
      <c r="AM33" s="43">
        <v>8.2018693184666702E-3</v>
      </c>
      <c r="AN33" s="53">
        <v>5.9999999999999995E-4</v>
      </c>
      <c r="AO33" s="53">
        <v>8.9999999999999998E-4</v>
      </c>
      <c r="AP33" s="53">
        <v>2.8E-3</v>
      </c>
      <c r="AQ33" s="53">
        <v>2.2152948629803326E-3</v>
      </c>
      <c r="AR33" s="43">
        <v>6.887517378302066E-3</v>
      </c>
      <c r="AS33" s="53">
        <v>2.4528767820877206E-3</v>
      </c>
      <c r="AT33" s="53">
        <v>3.0557400213737651E-3</v>
      </c>
      <c r="AU33" s="75">
        <v>4.3138688780581802E-3</v>
      </c>
      <c r="AV33" s="75">
        <v>2.2035855797062354E-3</v>
      </c>
      <c r="AW33" s="60">
        <v>1.2079076040045322E-2</v>
      </c>
      <c r="AX33" s="75">
        <v>1.9329227519999659E-3</v>
      </c>
      <c r="AY33" s="75">
        <v>8.2889206304859187E-4</v>
      </c>
      <c r="AZ33" s="75">
        <v>6.7530764648648933E-4</v>
      </c>
      <c r="BA33" s="75">
        <v>1.7585899090333257E-4</v>
      </c>
      <c r="BB33" s="60">
        <v>3.6170548522225232E-3</v>
      </c>
      <c r="BC33" s="75">
        <v>1.7585899090333257E-4</v>
      </c>
      <c r="BD33" s="75">
        <v>1.7585899090333257E-4</v>
      </c>
      <c r="BE33" s="75">
        <v>6.6774535526370471E-4</v>
      </c>
      <c r="BF33" s="75">
        <v>2.1732422999809486E-3</v>
      </c>
      <c r="BG33" s="60">
        <v>3.1951875606421876E-3</v>
      </c>
      <c r="BH33" s="66">
        <f>+BL33/4</f>
        <v>2.4041040622842513E-3</v>
      </c>
      <c r="BI33" s="66">
        <f>+BL33/4</f>
        <v>2.4041040622842513E-3</v>
      </c>
      <c r="BJ33" s="66">
        <f>+BL33/4</f>
        <v>2.4041040622842513E-3</v>
      </c>
      <c r="BK33" s="66">
        <f>+BL33/4</f>
        <v>2.4041040622842513E-3</v>
      </c>
      <c r="BL33" s="60">
        <v>9.6164162491370053E-3</v>
      </c>
      <c r="BM33" s="66">
        <f>+BQ33/4</f>
        <v>2.0134524355783778E-3</v>
      </c>
      <c r="BN33" s="66">
        <f>+BQ33/4</f>
        <v>2.0134524355783778E-3</v>
      </c>
      <c r="BO33" s="66">
        <f>+BQ33/4</f>
        <v>2.0134524355783778E-3</v>
      </c>
      <c r="BP33" s="66">
        <f>+BQ33/4</f>
        <v>2.0134524355783778E-3</v>
      </c>
      <c r="BQ33" s="60">
        <v>8.0538097423135113E-3</v>
      </c>
      <c r="BR33" s="66">
        <f>+BV33/4</f>
        <v>1.8749999999999999E-3</v>
      </c>
      <c r="BS33" s="66">
        <f>+BV33/4</f>
        <v>1.8749999999999999E-3</v>
      </c>
      <c r="BT33" s="66">
        <f>+BV33/4</f>
        <v>1.8749999999999999E-3</v>
      </c>
      <c r="BU33" s="66">
        <f>+BV33/4</f>
        <v>1.8749999999999999E-3</v>
      </c>
      <c r="BV33" s="60">
        <v>7.4999999999999997E-3</v>
      </c>
      <c r="BW33" s="66">
        <f>+CA33/4</f>
        <v>1.8749999999999999E-3</v>
      </c>
      <c r="BX33" s="66">
        <f>+CA33/4</f>
        <v>1.8749999999999999E-3</v>
      </c>
      <c r="BY33" s="66">
        <f>+CA33/4</f>
        <v>1.8749999999999999E-3</v>
      </c>
      <c r="BZ33" s="66">
        <f>+CA33/4</f>
        <v>1.8749999999999999E-3</v>
      </c>
      <c r="CA33" s="60">
        <v>7.4999999999999997E-3</v>
      </c>
      <c r="CB33" s="66">
        <f>+CF33/4</f>
        <v>1.25E-3</v>
      </c>
      <c r="CC33" s="66">
        <f>+CF33/4</f>
        <v>1.25E-3</v>
      </c>
      <c r="CD33" s="66">
        <f>+CF33/4</f>
        <v>1.25E-3</v>
      </c>
      <c r="CE33" s="66">
        <f>+CF33/4</f>
        <v>1.25E-3</v>
      </c>
      <c r="CF33" s="60">
        <v>5.0000000000000001E-3</v>
      </c>
      <c r="CG33" s="66">
        <f>+CK33/4</f>
        <v>1.25E-3</v>
      </c>
      <c r="CH33" s="66">
        <f>+CK33/4</f>
        <v>1.25E-3</v>
      </c>
      <c r="CI33" s="66">
        <f>+CK33/4</f>
        <v>1.25E-3</v>
      </c>
      <c r="CJ33" s="66">
        <f>+CK33/4</f>
        <v>1.25E-3</v>
      </c>
      <c r="CK33" s="60">
        <v>5.0000000000000001E-3</v>
      </c>
      <c r="CL33" s="66">
        <f>+CP33/4</f>
        <v>1.25E-3</v>
      </c>
      <c r="CM33" s="66">
        <f>+CP33/4</f>
        <v>1.25E-3</v>
      </c>
      <c r="CN33" s="66">
        <f>+CP33/4</f>
        <v>1.25E-3</v>
      </c>
      <c r="CO33" s="66">
        <f>+CP33/4</f>
        <v>1.25E-3</v>
      </c>
      <c r="CP33" s="60">
        <v>5.0000000000000001E-3</v>
      </c>
      <c r="CQ33" s="66">
        <f>+CU33/4</f>
        <v>1.25E-3</v>
      </c>
      <c r="CR33" s="66">
        <f>+CU33/4</f>
        <v>1.25E-3</v>
      </c>
      <c r="CS33" s="66">
        <f>+CU33/4</f>
        <v>1.25E-3</v>
      </c>
      <c r="CT33" s="66">
        <f>+CU33/4</f>
        <v>1.25E-3</v>
      </c>
      <c r="CU33" s="60">
        <v>5.0000000000000001E-3</v>
      </c>
      <c r="CV33" s="66">
        <f>+CZ33/4</f>
        <v>1.25E-3</v>
      </c>
      <c r="CW33" s="66">
        <f>+CZ33/4</f>
        <v>1.25E-3</v>
      </c>
      <c r="CX33" s="66">
        <f>+CZ33/4</f>
        <v>1.25E-3</v>
      </c>
      <c r="CY33" s="66">
        <f>+CZ33/4</f>
        <v>1.25E-3</v>
      </c>
      <c r="CZ33" s="60">
        <v>5.0000000000000001E-3</v>
      </c>
      <c r="DA33" s="66">
        <f>+DE33/4</f>
        <v>1.25E-3</v>
      </c>
      <c r="DB33" s="66">
        <f>+DE33/4</f>
        <v>1.25E-3</v>
      </c>
      <c r="DC33" s="66">
        <f>+DE33/4</f>
        <v>1.25E-3</v>
      </c>
      <c r="DD33" s="66">
        <f>+DE33/4</f>
        <v>1.25E-3</v>
      </c>
      <c r="DE33" s="60">
        <v>5.0000000000000001E-3</v>
      </c>
      <c r="DF33" s="66">
        <f>+DJ33/4</f>
        <v>1.25E-3</v>
      </c>
      <c r="DG33" s="66">
        <f>+DJ33/4</f>
        <v>1.25E-3</v>
      </c>
      <c r="DH33" s="66">
        <f>+DJ33/4</f>
        <v>1.25E-3</v>
      </c>
      <c r="DI33" s="66">
        <f>+DJ33/4</f>
        <v>1.25E-3</v>
      </c>
      <c r="DJ33" s="60">
        <v>5.0000000000000001E-3</v>
      </c>
      <c r="DK33" s="66">
        <f>+DO33/4</f>
        <v>1.25E-3</v>
      </c>
      <c r="DL33" s="66">
        <f>+DO33/4</f>
        <v>1.25E-3</v>
      </c>
      <c r="DM33" s="66">
        <f>+DO33/4</f>
        <v>1.25E-3</v>
      </c>
      <c r="DN33" s="66">
        <f>+DO33/4</f>
        <v>1.25E-3</v>
      </c>
      <c r="DO33" s="60">
        <v>5.0000000000000001E-3</v>
      </c>
      <c r="DP33" s="66">
        <f>+DT33/4</f>
        <v>1.25E-3</v>
      </c>
      <c r="DQ33" s="66">
        <f>+DT33/4</f>
        <v>1.25E-3</v>
      </c>
      <c r="DR33" s="66">
        <f>+DT33/4</f>
        <v>1.25E-3</v>
      </c>
      <c r="DS33" s="66">
        <f>+DT33/4</f>
        <v>1.25E-3</v>
      </c>
      <c r="DT33" s="60">
        <v>5.0000000000000001E-3</v>
      </c>
      <c r="DU33" s="66">
        <f>+DY33/4</f>
        <v>1.25E-3</v>
      </c>
      <c r="DV33" s="66">
        <f>+DY33/4</f>
        <v>1.25E-3</v>
      </c>
      <c r="DW33" s="66">
        <f>+DY33/4</f>
        <v>1.25E-3</v>
      </c>
      <c r="DX33" s="66">
        <f>+DY33/4</f>
        <v>1.25E-3</v>
      </c>
      <c r="DY33" s="60">
        <v>5.0000000000000001E-3</v>
      </c>
      <c r="DZ33" s="66">
        <f>+ED33/4</f>
        <v>1.25E-3</v>
      </c>
      <c r="EA33" s="66">
        <f>+ED33/4</f>
        <v>1.25E-3</v>
      </c>
      <c r="EB33" s="66">
        <f>+ED33/4</f>
        <v>1.25E-3</v>
      </c>
      <c r="EC33" s="66">
        <f>+ED33/4</f>
        <v>1.25E-3</v>
      </c>
      <c r="ED33" s="60">
        <v>5.0000000000000001E-3</v>
      </c>
      <c r="EE33" s="66">
        <f>+EI33/4</f>
        <v>1.25E-3</v>
      </c>
      <c r="EF33" s="66">
        <f>+EI33/4</f>
        <v>1.25E-3</v>
      </c>
      <c r="EG33" s="66">
        <f>+EI33/4</f>
        <v>1.25E-3</v>
      </c>
      <c r="EH33" s="66">
        <f>+EI33/4</f>
        <v>1.25E-3</v>
      </c>
      <c r="EI33" s="60">
        <v>5.0000000000000001E-3</v>
      </c>
      <c r="EJ33" s="66">
        <f>+EN33/4</f>
        <v>1.25E-3</v>
      </c>
      <c r="EK33" s="66">
        <f>+EN33/4</f>
        <v>1.25E-3</v>
      </c>
      <c r="EL33" s="66">
        <f>+EN33/4</f>
        <v>1.25E-3</v>
      </c>
      <c r="EM33" s="66">
        <f>+EN33/4</f>
        <v>1.25E-3</v>
      </c>
      <c r="EN33" s="60">
        <v>5.0000000000000001E-3</v>
      </c>
      <c r="EO33" s="66">
        <f>+ES33/4</f>
        <v>1.25E-3</v>
      </c>
      <c r="EP33" s="66">
        <f>+ES33/4</f>
        <v>1.25E-3</v>
      </c>
      <c r="EQ33" s="66">
        <f>+ES33/4</f>
        <v>1.25E-3</v>
      </c>
      <c r="ER33" s="66">
        <f>+ES33/4</f>
        <v>1.25E-3</v>
      </c>
      <c r="ES33" s="60">
        <f>+EN33</f>
        <v>5.0000000000000001E-3</v>
      </c>
      <c r="ET33" s="66">
        <f>+EX33/4</f>
        <v>1.25E-3</v>
      </c>
      <c r="EU33" s="66">
        <f>+EX33/4</f>
        <v>1.25E-3</v>
      </c>
      <c r="EV33" s="66">
        <f>+EX33/4</f>
        <v>1.25E-3</v>
      </c>
      <c r="EW33" s="66">
        <f>+EX33/4</f>
        <v>1.25E-3</v>
      </c>
      <c r="EX33" s="60">
        <f>+ES33</f>
        <v>5.0000000000000001E-3</v>
      </c>
      <c r="EY33" s="66">
        <f>+FC33/4</f>
        <v>1.25E-3</v>
      </c>
      <c r="EZ33" s="66">
        <f>+FC33/4</f>
        <v>1.25E-3</v>
      </c>
      <c r="FA33" s="66">
        <f>+FC33/4</f>
        <v>1.25E-3</v>
      </c>
      <c r="FB33" s="66">
        <f>+FC33/4</f>
        <v>1.25E-3</v>
      </c>
      <c r="FC33" s="60">
        <f>+EX33</f>
        <v>5.0000000000000001E-3</v>
      </c>
      <c r="FD33" s="66">
        <f>+FH33/4</f>
        <v>1.25E-3</v>
      </c>
      <c r="FE33" s="66">
        <f>+FH33/4</f>
        <v>1.25E-3</v>
      </c>
      <c r="FF33" s="66">
        <f>+FH33/4</f>
        <v>1.25E-3</v>
      </c>
      <c r="FG33" s="66">
        <f>+FH33/4</f>
        <v>1.25E-3</v>
      </c>
      <c r="FH33" s="60">
        <f>+FC33</f>
        <v>5.0000000000000001E-3</v>
      </c>
      <c r="FI33" s="66">
        <f>+FM33/4</f>
        <v>1.25E-3</v>
      </c>
      <c r="FJ33" s="66">
        <f>+FM33/4</f>
        <v>1.25E-3</v>
      </c>
      <c r="FK33" s="66">
        <f>+FM33/4</f>
        <v>1.25E-3</v>
      </c>
      <c r="FL33" s="66">
        <f>+FM33/4</f>
        <v>1.25E-3</v>
      </c>
      <c r="FM33" s="60">
        <f>+FH33</f>
        <v>5.0000000000000001E-3</v>
      </c>
      <c r="FN33" s="66">
        <f>+FR33/4</f>
        <v>1.25E-3</v>
      </c>
      <c r="FO33" s="66">
        <f>+FR33/4</f>
        <v>1.25E-3</v>
      </c>
      <c r="FP33" s="66">
        <f>+FR33/4</f>
        <v>1.25E-3</v>
      </c>
      <c r="FQ33" s="66">
        <f>+FR33/4</f>
        <v>1.25E-3</v>
      </c>
      <c r="FR33" s="60">
        <f>+FM33</f>
        <v>5.0000000000000001E-3</v>
      </c>
      <c r="FS33" s="66">
        <f>+FW33/4</f>
        <v>1.25E-3</v>
      </c>
      <c r="FT33" s="66">
        <f>+FW33/4</f>
        <v>1.25E-3</v>
      </c>
      <c r="FU33" s="66">
        <f>+FW33/4</f>
        <v>1.25E-3</v>
      </c>
      <c r="FV33" s="66">
        <f>+FW33/4</f>
        <v>1.25E-3</v>
      </c>
      <c r="FW33" s="60">
        <f>+FR33</f>
        <v>5.0000000000000001E-3</v>
      </c>
      <c r="FX33" s="66">
        <f>+GB33/4</f>
        <v>1.25E-3</v>
      </c>
      <c r="FY33" s="66">
        <f>+GB33/4</f>
        <v>1.25E-3</v>
      </c>
      <c r="FZ33" s="66">
        <f>+GB33/4</f>
        <v>1.25E-3</v>
      </c>
      <c r="GA33" s="66">
        <f>+GB33/4</f>
        <v>1.25E-3</v>
      </c>
      <c r="GB33" s="60">
        <f>+FW33</f>
        <v>5.0000000000000001E-3</v>
      </c>
    </row>
    <row r="34" spans="1:184" s="15" customFormat="1">
      <c r="A34" s="54">
        <f t="shared" si="0"/>
        <v>30</v>
      </c>
      <c r="B34" s="18" t="s">
        <v>341</v>
      </c>
      <c r="C34" s="43">
        <v>0.19</v>
      </c>
      <c r="D34" s="43">
        <v>0.25</v>
      </c>
      <c r="E34" s="59">
        <f>(1+I34)^(1/4)-1</f>
        <v>3.8918503659524317E-2</v>
      </c>
      <c r="F34" s="59">
        <f>(1+I34)^(1/4)-1</f>
        <v>3.8918503659524317E-2</v>
      </c>
      <c r="G34" s="59">
        <f>(1+I34)^(1/4)-1</f>
        <v>3.8918503659524317E-2</v>
      </c>
      <c r="H34" s="59">
        <f>(1+I34)^(1/4)-1</f>
        <v>3.8918503659524317E-2</v>
      </c>
      <c r="I34" s="43">
        <v>0.16500000000000001</v>
      </c>
      <c r="J34" s="59">
        <f>(1+N34)^(1/4)-1</f>
        <v>4.1694158911594892E-2</v>
      </c>
      <c r="K34" s="59">
        <f>(1+N34)^(1/4)-1</f>
        <v>4.1694158911594892E-2</v>
      </c>
      <c r="L34" s="59">
        <f>(1+N34)^(1/4)-1</f>
        <v>4.1694158911594892E-2</v>
      </c>
      <c r="M34" s="59">
        <f>(1+N34)^(1/4)-1</f>
        <v>4.1694158911594892E-2</v>
      </c>
      <c r="N34" s="43">
        <v>0.17749999999999999</v>
      </c>
      <c r="O34" s="59">
        <f>(1+S34)^(1/4)-1</f>
        <v>4.2246635456321124E-2</v>
      </c>
      <c r="P34" s="59">
        <f>(1+S34)^(1/4)-1</f>
        <v>4.2246635456321124E-2</v>
      </c>
      <c r="Q34" s="59">
        <f>(1+S34)^(1/4)-1</f>
        <v>4.2246635456321124E-2</v>
      </c>
      <c r="R34" s="59">
        <f>(1+S34)^(1/4)-1</f>
        <v>4.2246635456321124E-2</v>
      </c>
      <c r="S34" s="43">
        <v>0.18</v>
      </c>
      <c r="T34" s="59">
        <f>(1+X34)^(1/4)-1</f>
        <v>3.1595770003753909E-2</v>
      </c>
      <c r="U34" s="59">
        <f>(1+X34)^(1/4)-1</f>
        <v>3.1595770003753909E-2</v>
      </c>
      <c r="V34" s="59">
        <f>(1+X34)^(1/4)-1</f>
        <v>3.1595770003753909E-2</v>
      </c>
      <c r="W34" s="59">
        <f>(1+X34)^(1/4)-1</f>
        <v>3.1595770003753909E-2</v>
      </c>
      <c r="X34" s="43">
        <v>0.13250000000000001</v>
      </c>
      <c r="Y34" s="59">
        <f>(1+AC34)^(1/4)-1</f>
        <v>2.7010786450877289E-2</v>
      </c>
      <c r="Z34" s="59">
        <f>(1+AC34)^(1/4)-1</f>
        <v>2.7010786450877289E-2</v>
      </c>
      <c r="AA34" s="59">
        <f>(1+AC34)^(1/4)-1</f>
        <v>2.7010786450877289E-2</v>
      </c>
      <c r="AB34" s="59">
        <f>(1+AC34)^(1/4)-1</f>
        <v>2.7010786450877289E-2</v>
      </c>
      <c r="AC34" s="43">
        <v>0.1125</v>
      </c>
      <c r="AD34" s="59">
        <f>(1+AH34)^(1/4)-1</f>
        <v>3.2732516378310317E-2</v>
      </c>
      <c r="AE34" s="59">
        <f>(1+AH34)^(1/4)-1</f>
        <v>3.2732516378310317E-2</v>
      </c>
      <c r="AF34" s="59">
        <f>(1+AH34)^(1/4)-1</f>
        <v>3.2732516378310317E-2</v>
      </c>
      <c r="AG34" s="59">
        <f>(1+AH34)^(1/4)-1</f>
        <v>3.2732516378310317E-2</v>
      </c>
      <c r="AH34" s="52">
        <v>0.13750000000000001</v>
      </c>
      <c r="AI34" s="59">
        <f>(1+AM34)^(1/4)-1</f>
        <v>2.1191794292683586E-2</v>
      </c>
      <c r="AJ34" s="59">
        <f>(1+AM34)^(1/4)-1</f>
        <v>2.1191794292683586E-2</v>
      </c>
      <c r="AK34" s="59">
        <f>(1+AM34)^(1/4)-1</f>
        <v>2.1191794292683586E-2</v>
      </c>
      <c r="AL34" s="59">
        <f>(1+AM34)^(1/4)-1</f>
        <v>2.1191794292683586E-2</v>
      </c>
      <c r="AM34" s="52">
        <v>8.7499999999999994E-2</v>
      </c>
      <c r="AN34" s="59">
        <f>(1+AR34)^(1/4)-1</f>
        <v>2.5854891781707856E-2</v>
      </c>
      <c r="AO34" s="59">
        <f>(1+AR34)^(1/4)-1</f>
        <v>2.5854891781707856E-2</v>
      </c>
      <c r="AP34" s="59">
        <f>(1+AR34)^(1/4)-1</f>
        <v>2.5854891781707856E-2</v>
      </c>
      <c r="AQ34" s="59">
        <f>(1+AR34)^(1/4)-1</f>
        <v>2.5854891781707856E-2</v>
      </c>
      <c r="AR34" s="52">
        <v>0.1075</v>
      </c>
      <c r="AS34" s="59">
        <f>(1+AW34)^(1/4)-1</f>
        <v>2.7848926225563897E-2</v>
      </c>
      <c r="AT34" s="59">
        <f>(1+AW34)^(1/4)-1</f>
        <v>2.7848926225563897E-2</v>
      </c>
      <c r="AU34" s="59">
        <f>(1+AW34)^(1/4)-1</f>
        <v>2.7848926225563897E-2</v>
      </c>
      <c r="AV34" s="59">
        <f>(1+AW34)^(1/4)-1</f>
        <v>2.7848926225563897E-2</v>
      </c>
      <c r="AW34" s="60">
        <v>0.11613607690400851</v>
      </c>
      <c r="AX34" s="59">
        <f>(1+BB34)^(1/4)-1</f>
        <v>2.3458661351691834E-2</v>
      </c>
      <c r="AY34" s="59">
        <f>(1+BB34)^(1/4)-1</f>
        <v>2.3458661351691834E-2</v>
      </c>
      <c r="AZ34" s="59">
        <f>(1+BB34)^(1/4)-1</f>
        <v>2.3458661351691834E-2</v>
      </c>
      <c r="BA34" s="59">
        <f>(1+BB34)^(1/4)-1</f>
        <v>2.3458661351691834E-2</v>
      </c>
      <c r="BB34" s="69">
        <v>9.7188439031415039E-2</v>
      </c>
      <c r="BC34" s="59">
        <f>(1+BG34)^(1/4)-1</f>
        <v>2.3995848881269266E-2</v>
      </c>
      <c r="BD34" s="59">
        <f>(1+BG34)^(1/4)-1</f>
        <v>2.3995848881269266E-2</v>
      </c>
      <c r="BE34" s="59">
        <f>(1+BG34)^(1/4)-1</f>
        <v>2.3995848881269266E-2</v>
      </c>
      <c r="BF34" s="59">
        <f>(1+BG34)^(1/4)-1</f>
        <v>2.3995848881269266E-2</v>
      </c>
      <c r="BG34" s="69">
        <v>9.9493798965222702E-2</v>
      </c>
      <c r="BH34" s="59">
        <f>(1+BL34)^(1/4)-1</f>
        <v>2.4195072826658226E-2</v>
      </c>
      <c r="BI34" s="59">
        <f>(1+BL34)^(1/4)-1</f>
        <v>2.4195072826658226E-2</v>
      </c>
      <c r="BJ34" s="59">
        <f>(1+BL34)^(1/4)-1</f>
        <v>2.4195072826658226E-2</v>
      </c>
      <c r="BK34" s="59">
        <f>(1+BL34)^(1/4)-1</f>
        <v>2.4195072826658226E-2</v>
      </c>
      <c r="BL34" s="69">
        <v>0.10034969862858212</v>
      </c>
      <c r="BM34" s="59">
        <f>(1+BQ34)^(1/4)-1</f>
        <v>2.3354818252227183E-2</v>
      </c>
      <c r="BN34" s="59">
        <f>(1+BQ34)^(1/4)-1</f>
        <v>2.3354818252227183E-2</v>
      </c>
      <c r="BO34" s="59">
        <f>(1+BQ34)^(1/4)-1</f>
        <v>2.3354818252227183E-2</v>
      </c>
      <c r="BP34" s="59">
        <f>(1+BQ34)^(1/4)-1</f>
        <v>2.3354818252227183E-2</v>
      </c>
      <c r="BQ34" s="69">
        <v>9.6743211047729982E-2</v>
      </c>
      <c r="BR34" s="59">
        <f>(1+BV34)^(1/4)-1</f>
        <v>2.3421489959571051E-2</v>
      </c>
      <c r="BS34" s="59">
        <f>(1+BV34)^(1/4)-1</f>
        <v>2.3421489959571051E-2</v>
      </c>
      <c r="BT34" s="59">
        <f>(1+BV34)^(1/4)-1</f>
        <v>2.3421489959571051E-2</v>
      </c>
      <c r="BU34" s="59">
        <f>(1+BV34)^(1/4)-1</f>
        <v>2.3421489959571051E-2</v>
      </c>
      <c r="BV34" s="69">
        <v>9.7029050864934074E-2</v>
      </c>
      <c r="BW34" s="59">
        <f>(1+CA34)^(1/4)-1</f>
        <v>2.3232713297244301E-2</v>
      </c>
      <c r="BX34" s="59">
        <f>(1+CA34)^(1/4)-1</f>
        <v>2.3232713297244301E-2</v>
      </c>
      <c r="BY34" s="59">
        <f>(1+CA34)^(1/4)-1</f>
        <v>2.3232713297244301E-2</v>
      </c>
      <c r="BZ34" s="59">
        <f>(1+CA34)^(1/4)-1</f>
        <v>2.3232713297244301E-2</v>
      </c>
      <c r="CA34" s="69">
        <v>9.6219858592965224E-2</v>
      </c>
      <c r="CB34" s="59">
        <f>(1+CF34)^(1/4)-1</f>
        <v>2.3327097275372743E-2</v>
      </c>
      <c r="CC34" s="59">
        <f>(1+CF34)^(1/4)-1</f>
        <v>2.3327097275372743E-2</v>
      </c>
      <c r="CD34" s="59">
        <f>(1+CF34)^(1/4)-1</f>
        <v>2.3327097275372743E-2</v>
      </c>
      <c r="CE34" s="59">
        <f>(1+CF34)^(1/4)-1</f>
        <v>2.3327097275372743E-2</v>
      </c>
      <c r="CF34" s="69">
        <v>9.6624380091712828E-2</v>
      </c>
      <c r="CG34" s="59">
        <f>(1+CK34)^(1/4)-1</f>
        <v>2.3610301449388915E-2</v>
      </c>
      <c r="CH34" s="59">
        <f>(1+CK34)^(1/4)-1</f>
        <v>2.3610301449388915E-2</v>
      </c>
      <c r="CI34" s="59">
        <f>(1+CK34)^(1/4)-1</f>
        <v>2.3610301449388915E-2</v>
      </c>
      <c r="CJ34" s="59">
        <f>(1+CK34)^(1/4)-1</f>
        <v>2.3610301449388915E-2</v>
      </c>
      <c r="CK34" s="69">
        <v>9.7838840455158019E-2</v>
      </c>
      <c r="CL34" s="59">
        <f>(1+CP34)^(1/4)-1</f>
        <v>2.3421489959571051E-2</v>
      </c>
      <c r="CM34" s="59">
        <f>(1+CP34)^(1/4)-1</f>
        <v>2.3421489959571051E-2</v>
      </c>
      <c r="CN34" s="59">
        <f>(1+CP34)^(1/4)-1</f>
        <v>2.3421489959571051E-2</v>
      </c>
      <c r="CO34" s="59">
        <f>(1+CP34)^(1/4)-1</f>
        <v>2.3421489959571051E-2</v>
      </c>
      <c r="CP34" s="69">
        <v>9.7029050864934074E-2</v>
      </c>
      <c r="CQ34" s="59">
        <f>(1+CU34)^(1/4)-1</f>
        <v>2.3336833464416173E-2</v>
      </c>
      <c r="CR34" s="59">
        <f>(1+CU34)^(1/4)-1</f>
        <v>2.3336833464416173E-2</v>
      </c>
      <c r="CS34" s="59">
        <f>(1+CU34)^(1/4)-1</f>
        <v>2.3336833464416173E-2</v>
      </c>
      <c r="CT34" s="59">
        <f>(1+CU34)^(1/4)-1</f>
        <v>2.3336833464416173E-2</v>
      </c>
      <c r="CU34" s="69">
        <v>9.6666114917960191E-2</v>
      </c>
      <c r="CV34" s="59">
        <f>(1+CZ34)^(1/4)-1</f>
        <v>2.294793456109856E-2</v>
      </c>
      <c r="CW34" s="59">
        <f>(1+CZ34)^(1/4)-1</f>
        <v>2.294793456109856E-2</v>
      </c>
      <c r="CX34" s="59">
        <f>(1+CZ34)^(1/4)-1</f>
        <v>2.294793456109856E-2</v>
      </c>
      <c r="CY34" s="59">
        <f>(1+CZ34)^(1/4)-1</f>
        <v>2.294793456109856E-2</v>
      </c>
      <c r="CZ34" s="69">
        <v>9.5000000000000001E-2</v>
      </c>
      <c r="DA34" s="59">
        <f>(1+DE34)^(1/4)-1</f>
        <v>2.294793456109856E-2</v>
      </c>
      <c r="DB34" s="59">
        <f>(1+DE34)^(1/4)-1</f>
        <v>2.294793456109856E-2</v>
      </c>
      <c r="DC34" s="59">
        <f>(1+DE34)^(1/4)-1</f>
        <v>2.294793456109856E-2</v>
      </c>
      <c r="DD34" s="59">
        <f>(1+DE34)^(1/4)-1</f>
        <v>2.294793456109856E-2</v>
      </c>
      <c r="DE34" s="69">
        <v>9.5000000000000001E-2</v>
      </c>
      <c r="DF34" s="59">
        <f>(1+DJ34)^(1/4)-1</f>
        <v>2.294793456109856E-2</v>
      </c>
      <c r="DG34" s="59">
        <f>(1+DJ34)^(1/4)-1</f>
        <v>2.294793456109856E-2</v>
      </c>
      <c r="DH34" s="59">
        <f>(1+DJ34)^(1/4)-1</f>
        <v>2.294793456109856E-2</v>
      </c>
      <c r="DI34" s="59">
        <f>(1+DJ34)^(1/4)-1</f>
        <v>2.294793456109856E-2</v>
      </c>
      <c r="DJ34" s="69">
        <v>9.5000000000000001E-2</v>
      </c>
      <c r="DK34" s="59">
        <f>(1+DO34)^(1/4)-1</f>
        <v>2.294793456109856E-2</v>
      </c>
      <c r="DL34" s="59">
        <f>(1+DO34)^(1/4)-1</f>
        <v>2.294793456109856E-2</v>
      </c>
      <c r="DM34" s="59">
        <f>(1+DO34)^(1/4)-1</f>
        <v>2.294793456109856E-2</v>
      </c>
      <c r="DN34" s="59">
        <f>(1+DO34)^(1/4)-1</f>
        <v>2.294793456109856E-2</v>
      </c>
      <c r="DO34" s="69">
        <v>9.5000000000000001E-2</v>
      </c>
      <c r="DP34" s="59">
        <f>(1+DT34)^(1/4)-1</f>
        <v>2.294793456109856E-2</v>
      </c>
      <c r="DQ34" s="59">
        <f>(1+DT34)^(1/4)-1</f>
        <v>2.294793456109856E-2</v>
      </c>
      <c r="DR34" s="59">
        <f>(1+DT34)^(1/4)-1</f>
        <v>2.294793456109856E-2</v>
      </c>
      <c r="DS34" s="59">
        <f>(1+DT34)^(1/4)-1</f>
        <v>2.294793456109856E-2</v>
      </c>
      <c r="DT34" s="69">
        <v>9.5000000000000001E-2</v>
      </c>
      <c r="DU34" s="59">
        <f>(1+DY34)^(1/4)-1</f>
        <v>2.2363559609957839E-2</v>
      </c>
      <c r="DV34" s="59">
        <f>(1+DY34)^(1/4)-1</f>
        <v>2.2363559609957839E-2</v>
      </c>
      <c r="DW34" s="59">
        <f>(1+DY34)^(1/4)-1</f>
        <v>2.2363559609957839E-2</v>
      </c>
      <c r="DX34" s="59">
        <f>(1+DY34)^(1/4)-1</f>
        <v>2.2363559609957839E-2</v>
      </c>
      <c r="DY34" s="69">
        <v>9.2499999999999999E-2</v>
      </c>
      <c r="DZ34" s="59">
        <f>(1+ED34)^(1/4)-1</f>
        <v>2.2363559609957839E-2</v>
      </c>
      <c r="EA34" s="59">
        <f>(1+ED34)^(1/4)-1</f>
        <v>2.2363559609957839E-2</v>
      </c>
      <c r="EB34" s="59">
        <f>(1+ED34)^(1/4)-1</f>
        <v>2.2363559609957839E-2</v>
      </c>
      <c r="EC34" s="59">
        <f>(1+ED34)^(1/4)-1</f>
        <v>2.2363559609957839E-2</v>
      </c>
      <c r="ED34" s="69">
        <v>9.2499999999999999E-2</v>
      </c>
      <c r="EE34" s="59">
        <f>(1+EI34)^(1/4)-1</f>
        <v>2.2363559609957839E-2</v>
      </c>
      <c r="EF34" s="59">
        <f>(1+EI34)^(1/4)-1</f>
        <v>2.2363559609957839E-2</v>
      </c>
      <c r="EG34" s="59">
        <f>(1+EI34)^(1/4)-1</f>
        <v>2.2363559609957839E-2</v>
      </c>
      <c r="EH34" s="59">
        <f>(1+EI34)^(1/4)-1</f>
        <v>2.2363559609957839E-2</v>
      </c>
      <c r="EI34" s="69">
        <v>9.2499999999999999E-2</v>
      </c>
      <c r="EJ34" s="59">
        <f>(1+EN34)^(1/4)-1</f>
        <v>2.2363559609957839E-2</v>
      </c>
      <c r="EK34" s="59">
        <f>(1+EN34)^(1/4)-1</f>
        <v>2.2363559609957839E-2</v>
      </c>
      <c r="EL34" s="59">
        <f>(1+EN34)^(1/4)-1</f>
        <v>2.2363559609957839E-2</v>
      </c>
      <c r="EM34" s="59">
        <f>(1+EN34)^(1/4)-1</f>
        <v>2.2363559609957839E-2</v>
      </c>
      <c r="EN34" s="69">
        <v>9.2499999999999999E-2</v>
      </c>
      <c r="EO34" s="59">
        <f>(1+ES34)^(1/4)-1</f>
        <v>2.2363559609957839E-2</v>
      </c>
      <c r="EP34" s="59">
        <f>(1+ES34)^(1/4)-1</f>
        <v>2.2363559609957839E-2</v>
      </c>
      <c r="EQ34" s="59">
        <f>(1+ES34)^(1/4)-1</f>
        <v>2.2363559609957839E-2</v>
      </c>
      <c r="ER34" s="59">
        <f>(1+ES34)^(1/4)-1</f>
        <v>2.2363559609957839E-2</v>
      </c>
      <c r="ES34" s="69">
        <f>EN34</f>
        <v>9.2499999999999999E-2</v>
      </c>
      <c r="ET34" s="59">
        <f>(1+EX34)^(1/4)-1</f>
        <v>2.2363559609957839E-2</v>
      </c>
      <c r="EU34" s="59">
        <f>(1+EX34)^(1/4)-1</f>
        <v>2.2363559609957839E-2</v>
      </c>
      <c r="EV34" s="59">
        <f>(1+EX34)^(1/4)-1</f>
        <v>2.2363559609957839E-2</v>
      </c>
      <c r="EW34" s="59">
        <f>(1+EX34)^(1/4)-1</f>
        <v>2.2363559609957839E-2</v>
      </c>
      <c r="EX34" s="60">
        <f>+ES34</f>
        <v>9.2499999999999999E-2</v>
      </c>
      <c r="EY34" s="59">
        <f>(1+FC34)^(1/4)-1</f>
        <v>2.2363559609957839E-2</v>
      </c>
      <c r="EZ34" s="59">
        <f>(1+FC34)^(1/4)-1</f>
        <v>2.2363559609957839E-2</v>
      </c>
      <c r="FA34" s="59">
        <f>(1+FC34)^(1/4)-1</f>
        <v>2.2363559609957839E-2</v>
      </c>
      <c r="FB34" s="59">
        <f>(1+FC34)^(1/4)-1</f>
        <v>2.2363559609957839E-2</v>
      </c>
      <c r="FC34" s="60">
        <f>+EX34</f>
        <v>9.2499999999999999E-2</v>
      </c>
      <c r="FD34" s="59">
        <f>(1+FH34)^(1/4)-1</f>
        <v>2.2363559609957839E-2</v>
      </c>
      <c r="FE34" s="59">
        <f>(1+FH34)^(1/4)-1</f>
        <v>2.2363559609957839E-2</v>
      </c>
      <c r="FF34" s="59">
        <f>(1+FH34)^(1/4)-1</f>
        <v>2.2363559609957839E-2</v>
      </c>
      <c r="FG34" s="59">
        <f>(1+FH34)^(1/4)-1</f>
        <v>2.2363559609957839E-2</v>
      </c>
      <c r="FH34" s="60">
        <f>+FC34</f>
        <v>9.2499999999999999E-2</v>
      </c>
      <c r="FI34" s="59">
        <f>(1+FM34)^(1/4)-1</f>
        <v>2.2363559609957839E-2</v>
      </c>
      <c r="FJ34" s="59">
        <f>(1+FM34)^(1/4)-1</f>
        <v>2.2363559609957839E-2</v>
      </c>
      <c r="FK34" s="59">
        <f>(1+FM34)^(1/4)-1</f>
        <v>2.2363559609957839E-2</v>
      </c>
      <c r="FL34" s="59">
        <f>(1+FM34)^(1/4)-1</f>
        <v>2.2363559609957839E-2</v>
      </c>
      <c r="FM34" s="60">
        <f>+FH34</f>
        <v>9.2499999999999999E-2</v>
      </c>
      <c r="FN34" s="59">
        <f>(1+FR34)^(1/4)-1</f>
        <v>2.2363559609957839E-2</v>
      </c>
      <c r="FO34" s="59">
        <f>(1+FR34)^(1/4)-1</f>
        <v>2.2363559609957839E-2</v>
      </c>
      <c r="FP34" s="59">
        <f>(1+FR34)^(1/4)-1</f>
        <v>2.2363559609957839E-2</v>
      </c>
      <c r="FQ34" s="59">
        <f>(1+FR34)^(1/4)-1</f>
        <v>2.2363559609957839E-2</v>
      </c>
      <c r="FR34" s="60">
        <f>+FM34</f>
        <v>9.2499999999999999E-2</v>
      </c>
      <c r="FS34" s="59">
        <f>(1+FW34)^(1/4)-1</f>
        <v>2.2363559609957839E-2</v>
      </c>
      <c r="FT34" s="59">
        <f>(1+FW34)^(1/4)-1</f>
        <v>2.2363559609957839E-2</v>
      </c>
      <c r="FU34" s="59">
        <f>(1+FW34)^(1/4)-1</f>
        <v>2.2363559609957839E-2</v>
      </c>
      <c r="FV34" s="59">
        <f>(1+FW34)^(1/4)-1</f>
        <v>2.2363559609957839E-2</v>
      </c>
      <c r="FW34" s="60">
        <f>+FR34</f>
        <v>9.2499999999999999E-2</v>
      </c>
      <c r="FX34" s="59">
        <f>(1+GB34)^(1/4)-1</f>
        <v>2.2363559609957839E-2</v>
      </c>
      <c r="FY34" s="59">
        <f>(1+GB34)^(1/4)-1</f>
        <v>2.2363559609957839E-2</v>
      </c>
      <c r="FZ34" s="59">
        <f>(1+GB34)^(1/4)-1</f>
        <v>2.2363559609957839E-2</v>
      </c>
      <c r="GA34" s="59">
        <f>(1+GB34)^(1/4)-1</f>
        <v>2.2363559609957839E-2</v>
      </c>
      <c r="GB34" s="60">
        <f>+FW34</f>
        <v>9.2499999999999999E-2</v>
      </c>
    </row>
    <row r="35" spans="1:184">
      <c r="A35" s="54">
        <f t="shared" si="0"/>
        <v>31</v>
      </c>
      <c r="C35" s="43"/>
      <c r="D35" s="43"/>
      <c r="E35" s="59"/>
      <c r="F35" s="59"/>
      <c r="G35" s="59"/>
      <c r="H35" s="59"/>
      <c r="I35" s="43"/>
      <c r="J35" s="59"/>
      <c r="K35" s="59"/>
      <c r="L35" s="59"/>
      <c r="M35" s="59"/>
      <c r="N35" s="43"/>
      <c r="O35" s="59"/>
      <c r="P35" s="59"/>
      <c r="Q35" s="59"/>
      <c r="R35" s="59"/>
      <c r="S35" s="43"/>
      <c r="T35" s="59"/>
      <c r="U35" s="59"/>
      <c r="V35" s="59"/>
      <c r="W35" s="59"/>
      <c r="X35" s="43"/>
      <c r="Y35" s="59"/>
      <c r="Z35" s="59"/>
      <c r="AA35" s="59"/>
      <c r="AB35" s="59"/>
      <c r="AC35" s="43"/>
      <c r="AD35" s="59"/>
      <c r="AE35" s="59"/>
      <c r="AF35" s="59"/>
      <c r="AG35" s="59"/>
      <c r="AH35" s="52"/>
      <c r="AI35" s="59"/>
      <c r="AJ35" s="59"/>
      <c r="AK35" s="59"/>
      <c r="AL35" s="59"/>
      <c r="AM35" s="52"/>
      <c r="AN35" s="59"/>
      <c r="AO35" s="59"/>
      <c r="AP35" s="59"/>
      <c r="AQ35" s="59"/>
      <c r="AR35" s="52"/>
      <c r="AS35" s="59"/>
      <c r="AT35" s="59"/>
      <c r="AU35" s="59"/>
      <c r="AV35" s="59"/>
      <c r="AW35" s="60"/>
      <c r="AX35" s="59"/>
      <c r="AY35" s="59"/>
      <c r="AZ35" s="59"/>
      <c r="BA35" s="59"/>
      <c r="BB35" s="60"/>
      <c r="BC35" s="59"/>
      <c r="BD35" s="59"/>
      <c r="BE35" s="59"/>
      <c r="BF35" s="59"/>
      <c r="BG35" s="60"/>
      <c r="BH35" s="59"/>
      <c r="BI35" s="59"/>
      <c r="BJ35" s="59"/>
      <c r="BK35" s="59"/>
      <c r="BL35" s="60"/>
      <c r="BM35" s="59"/>
      <c r="BN35" s="59"/>
      <c r="BO35" s="59"/>
      <c r="BP35" s="59"/>
      <c r="BQ35" s="60"/>
      <c r="BR35" s="59"/>
      <c r="BS35" s="59"/>
      <c r="BT35" s="59"/>
      <c r="BU35" s="59"/>
      <c r="BV35" s="60"/>
      <c r="BW35" s="59"/>
      <c r="BX35" s="59"/>
      <c r="BY35" s="59"/>
      <c r="BZ35" s="59"/>
      <c r="CA35" s="60"/>
      <c r="CB35" s="59"/>
      <c r="CC35" s="59"/>
      <c r="CD35" s="59"/>
      <c r="CE35" s="59"/>
      <c r="CF35" s="60"/>
      <c r="CG35" s="59"/>
      <c r="CH35" s="59"/>
      <c r="CI35" s="59"/>
      <c r="CJ35" s="59"/>
      <c r="CK35" s="60"/>
      <c r="CL35" s="59"/>
      <c r="CM35" s="59"/>
      <c r="CN35" s="59"/>
      <c r="CO35" s="59"/>
      <c r="CP35" s="60"/>
      <c r="CQ35" s="59"/>
      <c r="CR35" s="59"/>
      <c r="CS35" s="59"/>
      <c r="CT35" s="59"/>
      <c r="CU35" s="60"/>
      <c r="CV35" s="59"/>
      <c r="CW35" s="59"/>
      <c r="CX35" s="59"/>
      <c r="CY35" s="59"/>
      <c r="CZ35" s="60"/>
      <c r="DA35" s="59"/>
      <c r="DB35" s="59"/>
      <c r="DC35" s="59"/>
      <c r="DD35" s="59"/>
      <c r="DE35" s="60"/>
      <c r="DF35" s="59"/>
      <c r="DG35" s="59"/>
      <c r="DH35" s="59"/>
      <c r="DI35" s="59"/>
      <c r="DJ35" s="60"/>
      <c r="DK35" s="59"/>
      <c r="DL35" s="59"/>
      <c r="DM35" s="59"/>
      <c r="DN35" s="59"/>
      <c r="DO35" s="60"/>
      <c r="DP35" s="59"/>
      <c r="DQ35" s="59"/>
      <c r="DR35" s="59"/>
      <c r="DS35" s="59"/>
      <c r="DT35" s="60"/>
      <c r="DU35" s="59"/>
      <c r="DV35" s="59"/>
      <c r="DW35" s="59"/>
      <c r="DX35" s="59"/>
      <c r="DY35" s="60"/>
      <c r="DZ35" s="59"/>
      <c r="EA35" s="59"/>
      <c r="EB35" s="59"/>
      <c r="EC35" s="59"/>
      <c r="ED35" s="60"/>
      <c r="EE35" s="59"/>
      <c r="EF35" s="59"/>
      <c r="EG35" s="59"/>
      <c r="EH35" s="59"/>
      <c r="EI35" s="60"/>
      <c r="EJ35" s="59"/>
      <c r="EK35" s="59"/>
      <c r="EL35" s="59"/>
      <c r="EM35" s="59"/>
      <c r="EN35" s="60"/>
      <c r="EO35" s="59"/>
      <c r="EP35" s="59"/>
      <c r="EQ35" s="59"/>
      <c r="ER35" s="59"/>
      <c r="ES35" s="60"/>
      <c r="ET35" s="59"/>
      <c r="EU35" s="59"/>
      <c r="EV35" s="59"/>
      <c r="EW35" s="59"/>
      <c r="EX35" s="60"/>
      <c r="EY35" s="59"/>
      <c r="EZ35" s="59"/>
      <c r="FA35" s="59"/>
      <c r="FB35" s="59"/>
      <c r="FC35" s="60"/>
      <c r="FD35" s="59"/>
      <c r="FE35" s="59"/>
      <c r="FF35" s="59"/>
      <c r="FG35" s="59"/>
      <c r="FH35" s="60"/>
      <c r="FI35" s="59"/>
      <c r="FJ35" s="59"/>
      <c r="FK35" s="59"/>
      <c r="FL35" s="59"/>
      <c r="FM35" s="60"/>
      <c r="FN35" s="59"/>
      <c r="FO35" s="59"/>
      <c r="FP35" s="59"/>
      <c r="FQ35" s="59"/>
      <c r="FR35" s="60"/>
      <c r="FS35" s="59"/>
      <c r="FT35" s="59"/>
      <c r="FU35" s="59"/>
      <c r="FV35" s="59"/>
      <c r="FW35" s="60"/>
      <c r="FX35" s="59"/>
      <c r="FY35" s="59"/>
      <c r="FZ35" s="59"/>
      <c r="GA35" s="59"/>
      <c r="GB35" s="60"/>
    </row>
    <row r="36" spans="1:184">
      <c r="A36" s="54">
        <f t="shared" si="0"/>
        <v>32</v>
      </c>
      <c r="B36" s="18" t="s">
        <v>30</v>
      </c>
      <c r="C36" s="52">
        <v>9.0323237465004036E-2</v>
      </c>
      <c r="D36" s="52">
        <v>0.12453196634826447</v>
      </c>
      <c r="E36" s="53">
        <v>4.4949931082584715E-2</v>
      </c>
      <c r="F36" s="53">
        <v>4.5884900375454674E-2</v>
      </c>
      <c r="G36" s="53">
        <v>3.0542006655422282E-2</v>
      </c>
      <c r="H36" s="53">
        <v>1.8946933840550795E-2</v>
      </c>
      <c r="I36" s="52">
        <v>0.14761612169320903</v>
      </c>
      <c r="J36" s="53">
        <v>2.3630364946603866E-2</v>
      </c>
      <c r="K36" s="53">
        <v>2.927310253184201E-2</v>
      </c>
      <c r="L36" s="53">
        <v>2.7128921607339596E-2</v>
      </c>
      <c r="M36" s="53">
        <v>2.5122016447148399E-2</v>
      </c>
      <c r="N36" s="52">
        <v>0.10936459931120313</v>
      </c>
      <c r="O36" s="53">
        <v>1.8408309011756163E-2</v>
      </c>
      <c r="P36" s="53">
        <v>3.154018571885997E-2</v>
      </c>
      <c r="Q36" s="53">
        <v>7.5275492782864717E-3</v>
      </c>
      <c r="R36" s="53">
        <v>9.4585226835091074E-3</v>
      </c>
      <c r="S36" s="52">
        <v>6.8448256183659018E-2</v>
      </c>
      <c r="T36" s="53">
        <v>7.5172824245754999E-3</v>
      </c>
      <c r="U36" s="53">
        <v>2.4822179407951506E-2</v>
      </c>
      <c r="V36" s="53">
        <v>1.013591406494796E-2</v>
      </c>
      <c r="W36" s="53">
        <v>7.1401189824746858E-3</v>
      </c>
      <c r="X36" s="52">
        <v>5.0438737047719728E-2</v>
      </c>
      <c r="Y36" s="53">
        <v>8.8793070886274972E-3</v>
      </c>
      <c r="Z36" s="53">
        <v>2.6714512408309243E-2</v>
      </c>
      <c r="AA36" s="53">
        <v>9.5735519757198517E-3</v>
      </c>
      <c r="AB36" s="53">
        <v>1.4047722246302019E-2</v>
      </c>
      <c r="AC36" s="52">
        <v>6.0437979957637777E-2</v>
      </c>
      <c r="AD36" s="53">
        <v>1.446412327520985E-2</v>
      </c>
      <c r="AE36" s="53">
        <v>4.6619725537540679E-2</v>
      </c>
      <c r="AF36" s="53">
        <v>3.6863374553562034E-2</v>
      </c>
      <c r="AG36" s="53">
        <v>1.7342090657720188E-2</v>
      </c>
      <c r="AH36" s="52">
        <v>0.11999002663217939</v>
      </c>
      <c r="AI36" s="53">
        <v>4.4132937017604679E-3</v>
      </c>
      <c r="AJ36" s="53">
        <v>1.7758281799161724E-2</v>
      </c>
      <c r="AK36" s="53">
        <v>4.5421911645047164E-3</v>
      </c>
      <c r="AL36" s="53">
        <v>5.1219988660136107E-3</v>
      </c>
      <c r="AM36" s="52">
        <v>3.2152948515651536E-2</v>
      </c>
      <c r="AN36" s="53">
        <v>1.3249333978023525E-2</v>
      </c>
      <c r="AO36" s="53">
        <v>4.1672629273731499E-2</v>
      </c>
      <c r="AP36" s="53">
        <v>1.1441067594342158E-2</v>
      </c>
      <c r="AQ36" s="53">
        <v>1.4677134184985841E-2</v>
      </c>
      <c r="AR36" s="52">
        <v>8.3218420705281515E-2</v>
      </c>
      <c r="AS36" s="44">
        <v>1.2047933492000062E-2</v>
      </c>
      <c r="AT36" s="44">
        <v>4.2651967175000083E-2</v>
      </c>
      <c r="AU36" s="63">
        <v>8.9199532160000317E-3</v>
      </c>
      <c r="AV36" s="63">
        <v>1.0541482514682343E-2</v>
      </c>
      <c r="AW36" s="67">
        <f>(1+AS36)*(1+AT36)*(1+AU36)*(1+AV36)-1</f>
        <v>7.5848964928742824E-2</v>
      </c>
      <c r="AX36" s="63">
        <v>1.4668574117999933E-2</v>
      </c>
      <c r="AY36" s="63">
        <v>4.1817908599999898E-2</v>
      </c>
      <c r="AZ36" s="63">
        <v>1.7712467473684157E-2</v>
      </c>
      <c r="BA36" s="63">
        <v>1.2701260586442942E-2</v>
      </c>
      <c r="BB36" s="67">
        <f>(1+AX36)*(1+AY36)*(1+AZ36)*(1+BA36)-1</f>
        <v>8.9488056917295333E-2</v>
      </c>
      <c r="BC36" s="63">
        <v>1.0335773876137377E-2</v>
      </c>
      <c r="BD36" s="63">
        <v>2.2605952788373074E-2</v>
      </c>
      <c r="BE36" s="63">
        <v>8.8323187661893954E-3</v>
      </c>
      <c r="BF36" s="63">
        <v>1.1645833683186391E-2</v>
      </c>
      <c r="BG36" s="67">
        <f>(1+BC36)*(1+BD36)*(1+BE36)*(1+BF36)-1</f>
        <v>5.4439171676587295E-2</v>
      </c>
      <c r="BH36" s="68">
        <v>1.2874240186884878E-2</v>
      </c>
      <c r="BI36" s="68">
        <v>1.2874240186884878E-2</v>
      </c>
      <c r="BJ36" s="68">
        <v>1.2874240186884878E-2</v>
      </c>
      <c r="BK36" s="68">
        <v>1.2874240186884878E-2</v>
      </c>
      <c r="BL36" s="69">
        <v>5.2499999999999998E-2</v>
      </c>
      <c r="BM36" s="68">
        <v>2.1866132158031126E-2</v>
      </c>
      <c r="BN36" s="68">
        <v>2.1866132158031126E-2</v>
      </c>
      <c r="BO36" s="68">
        <v>2.1866132158031126E-2</v>
      </c>
      <c r="BP36" s="68">
        <v>2.1866132158031126E-2</v>
      </c>
      <c r="BQ36" s="69">
        <v>9.0375342868587172E-2</v>
      </c>
      <c r="BR36" s="68">
        <v>2.1257557111978631E-2</v>
      </c>
      <c r="BS36" s="68">
        <v>2.1257557111978631E-2</v>
      </c>
      <c r="BT36" s="68">
        <v>2.1257557111978631E-2</v>
      </c>
      <c r="BU36" s="68">
        <v>2.1257557111978631E-2</v>
      </c>
      <c r="BV36" s="69">
        <v>8.7780158830203625E-2</v>
      </c>
      <c r="BW36" s="68">
        <v>2.2540884410374717E-2</v>
      </c>
      <c r="BX36" s="68">
        <v>2.2540884410374717E-2</v>
      </c>
      <c r="BY36" s="68">
        <v>2.2540884410374717E-2</v>
      </c>
      <c r="BZ36" s="68">
        <v>2.2540884410374717E-2</v>
      </c>
      <c r="CA36" s="69">
        <v>9.3258155942833154E-2</v>
      </c>
      <c r="CB36" s="68">
        <v>2.2663669447596568E-2</v>
      </c>
      <c r="CC36" s="68">
        <v>2.2663669447596568E-2</v>
      </c>
      <c r="CD36" s="68">
        <v>2.2663669447596568E-2</v>
      </c>
      <c r="CE36" s="68">
        <v>2.2663669447596568E-2</v>
      </c>
      <c r="CF36" s="69">
        <v>9.3783357137487977E-2</v>
      </c>
      <c r="CG36" s="68">
        <v>2.3840263660766858E-2</v>
      </c>
      <c r="CH36" s="68">
        <v>2.3840263660766858E-2</v>
      </c>
      <c r="CI36" s="68">
        <v>2.3840263660766858E-2</v>
      </c>
      <c r="CJ36" s="68">
        <v>2.3840263660766858E-2</v>
      </c>
      <c r="CK36" s="69">
        <v>9.8825725937208508E-2</v>
      </c>
      <c r="CL36" s="68">
        <v>2.262589387674141E-2</v>
      </c>
      <c r="CM36" s="68">
        <v>2.262589387674141E-2</v>
      </c>
      <c r="CN36" s="68">
        <v>2.262589387674141E-2</v>
      </c>
      <c r="CO36" s="68">
        <v>2.262589387674141E-2</v>
      </c>
      <c r="CP36" s="69">
        <v>9.3621755615304503E-2</v>
      </c>
      <c r="CQ36" s="68">
        <v>2.262589387674141E-2</v>
      </c>
      <c r="CR36" s="68">
        <v>2.262589387674141E-2</v>
      </c>
      <c r="CS36" s="68">
        <v>2.262589387674141E-2</v>
      </c>
      <c r="CT36" s="68">
        <v>2.262589387674141E-2</v>
      </c>
      <c r="CU36" s="69">
        <v>9.3621755615304503E-2</v>
      </c>
      <c r="CV36" s="68">
        <v>2.262589387674141E-2</v>
      </c>
      <c r="CW36" s="68">
        <v>2.262589387674141E-2</v>
      </c>
      <c r="CX36" s="68">
        <v>2.262589387674141E-2</v>
      </c>
      <c r="CY36" s="68">
        <v>2.262589387674141E-2</v>
      </c>
      <c r="CZ36" s="69">
        <v>9.3621755615304503E-2</v>
      </c>
      <c r="DA36" s="68">
        <v>2.262589387674141E-2</v>
      </c>
      <c r="DB36" s="68">
        <v>2.262589387674141E-2</v>
      </c>
      <c r="DC36" s="68">
        <v>2.262589387674141E-2</v>
      </c>
      <c r="DD36" s="68">
        <v>2.262589387674141E-2</v>
      </c>
      <c r="DE36" s="69">
        <v>9.3621755615304503E-2</v>
      </c>
      <c r="DF36" s="68">
        <v>2.262589387674141E-2</v>
      </c>
      <c r="DG36" s="68">
        <v>2.262589387674141E-2</v>
      </c>
      <c r="DH36" s="68">
        <v>2.262589387674141E-2</v>
      </c>
      <c r="DI36" s="68">
        <v>2.262589387674141E-2</v>
      </c>
      <c r="DJ36" s="69">
        <v>9.3621755615304503E-2</v>
      </c>
      <c r="DK36" s="68">
        <f>DF36</f>
        <v>2.262589387674141E-2</v>
      </c>
      <c r="DL36" s="68">
        <f t="shared" ref="DL36:DO37" si="21">DG36</f>
        <v>2.262589387674141E-2</v>
      </c>
      <c r="DM36" s="68">
        <f t="shared" si="21"/>
        <v>2.262589387674141E-2</v>
      </c>
      <c r="DN36" s="68">
        <f t="shared" si="21"/>
        <v>2.262589387674141E-2</v>
      </c>
      <c r="DO36" s="70">
        <f t="shared" si="21"/>
        <v>9.3621755615304503E-2</v>
      </c>
      <c r="DP36" s="68">
        <f t="shared" ref="DP36:DY37" si="22">DK36</f>
        <v>2.262589387674141E-2</v>
      </c>
      <c r="DQ36" s="68">
        <f t="shared" si="22"/>
        <v>2.262589387674141E-2</v>
      </c>
      <c r="DR36" s="68">
        <f t="shared" si="22"/>
        <v>2.262589387674141E-2</v>
      </c>
      <c r="DS36" s="68">
        <f t="shared" si="22"/>
        <v>2.262589387674141E-2</v>
      </c>
      <c r="DT36" s="70">
        <f t="shared" si="22"/>
        <v>9.3621755615304503E-2</v>
      </c>
      <c r="DU36" s="68">
        <f t="shared" si="22"/>
        <v>2.262589387674141E-2</v>
      </c>
      <c r="DV36" s="68">
        <f t="shared" si="22"/>
        <v>2.262589387674141E-2</v>
      </c>
      <c r="DW36" s="68">
        <f t="shared" si="22"/>
        <v>2.262589387674141E-2</v>
      </c>
      <c r="DX36" s="68">
        <f t="shared" si="22"/>
        <v>2.262589387674141E-2</v>
      </c>
      <c r="DY36" s="70">
        <f t="shared" si="22"/>
        <v>9.3621755615304503E-2</v>
      </c>
      <c r="DZ36" s="68">
        <f t="shared" ref="DZ36:EI37" si="23">DU36</f>
        <v>2.262589387674141E-2</v>
      </c>
      <c r="EA36" s="68">
        <f t="shared" si="23"/>
        <v>2.262589387674141E-2</v>
      </c>
      <c r="EB36" s="68">
        <f t="shared" si="23"/>
        <v>2.262589387674141E-2</v>
      </c>
      <c r="EC36" s="68">
        <f t="shared" si="23"/>
        <v>2.262589387674141E-2</v>
      </c>
      <c r="ED36" s="70">
        <f t="shared" si="23"/>
        <v>9.3621755615304503E-2</v>
      </c>
      <c r="EE36" s="68">
        <f t="shared" si="23"/>
        <v>2.262589387674141E-2</v>
      </c>
      <c r="EF36" s="68">
        <f t="shared" si="23"/>
        <v>2.262589387674141E-2</v>
      </c>
      <c r="EG36" s="68">
        <f t="shared" si="23"/>
        <v>2.262589387674141E-2</v>
      </c>
      <c r="EH36" s="68">
        <f t="shared" si="23"/>
        <v>2.262589387674141E-2</v>
      </c>
      <c r="EI36" s="70">
        <f t="shared" si="23"/>
        <v>9.3621755615304503E-2</v>
      </c>
      <c r="EJ36" s="68">
        <f t="shared" ref="EJ36:ES37" si="24">EE36</f>
        <v>2.262589387674141E-2</v>
      </c>
      <c r="EK36" s="68">
        <f t="shared" si="24"/>
        <v>2.262589387674141E-2</v>
      </c>
      <c r="EL36" s="68">
        <f t="shared" si="24"/>
        <v>2.262589387674141E-2</v>
      </c>
      <c r="EM36" s="68">
        <f t="shared" si="24"/>
        <v>2.262589387674141E-2</v>
      </c>
      <c r="EN36" s="70">
        <f t="shared" si="24"/>
        <v>9.3621755615304503E-2</v>
      </c>
      <c r="EO36" s="68">
        <f t="shared" si="24"/>
        <v>2.262589387674141E-2</v>
      </c>
      <c r="EP36" s="68">
        <f t="shared" si="24"/>
        <v>2.262589387674141E-2</v>
      </c>
      <c r="EQ36" s="68">
        <f t="shared" si="24"/>
        <v>2.262589387674141E-2</v>
      </c>
      <c r="ER36" s="68">
        <f t="shared" si="24"/>
        <v>2.262589387674141E-2</v>
      </c>
      <c r="ES36" s="70">
        <f t="shared" si="24"/>
        <v>9.3621755615304503E-2</v>
      </c>
      <c r="ET36" s="68">
        <f t="shared" ref="ET36:FC37" si="25">EO36</f>
        <v>2.262589387674141E-2</v>
      </c>
      <c r="EU36" s="68">
        <f t="shared" si="25"/>
        <v>2.262589387674141E-2</v>
      </c>
      <c r="EV36" s="68">
        <f t="shared" si="25"/>
        <v>2.262589387674141E-2</v>
      </c>
      <c r="EW36" s="68">
        <f t="shared" si="25"/>
        <v>2.262589387674141E-2</v>
      </c>
      <c r="EX36" s="70">
        <f t="shared" si="25"/>
        <v>9.3621755615304503E-2</v>
      </c>
      <c r="EY36" s="68">
        <f t="shared" si="25"/>
        <v>2.262589387674141E-2</v>
      </c>
      <c r="EZ36" s="68">
        <f t="shared" si="25"/>
        <v>2.262589387674141E-2</v>
      </c>
      <c r="FA36" s="68">
        <f t="shared" si="25"/>
        <v>2.262589387674141E-2</v>
      </c>
      <c r="FB36" s="68">
        <f t="shared" si="25"/>
        <v>2.262589387674141E-2</v>
      </c>
      <c r="FC36" s="70">
        <f t="shared" si="25"/>
        <v>9.3621755615304503E-2</v>
      </c>
      <c r="FD36" s="68">
        <f t="shared" ref="FD36:FM37" si="26">EY36</f>
        <v>2.262589387674141E-2</v>
      </c>
      <c r="FE36" s="68">
        <f t="shared" si="26"/>
        <v>2.262589387674141E-2</v>
      </c>
      <c r="FF36" s="68">
        <f t="shared" si="26"/>
        <v>2.262589387674141E-2</v>
      </c>
      <c r="FG36" s="68">
        <f t="shared" si="26"/>
        <v>2.262589387674141E-2</v>
      </c>
      <c r="FH36" s="70">
        <f t="shared" si="26"/>
        <v>9.3621755615304503E-2</v>
      </c>
      <c r="FI36" s="68">
        <f t="shared" si="26"/>
        <v>2.262589387674141E-2</v>
      </c>
      <c r="FJ36" s="68">
        <f t="shared" si="26"/>
        <v>2.262589387674141E-2</v>
      </c>
      <c r="FK36" s="68">
        <f t="shared" si="26"/>
        <v>2.262589387674141E-2</v>
      </c>
      <c r="FL36" s="68">
        <f t="shared" si="26"/>
        <v>2.262589387674141E-2</v>
      </c>
      <c r="FM36" s="70">
        <f t="shared" si="26"/>
        <v>9.3621755615304503E-2</v>
      </c>
      <c r="FN36" s="68">
        <f t="shared" ref="FN36:FW37" si="27">FI36</f>
        <v>2.262589387674141E-2</v>
      </c>
      <c r="FO36" s="68">
        <f t="shared" si="27"/>
        <v>2.262589387674141E-2</v>
      </c>
      <c r="FP36" s="68">
        <f t="shared" si="27"/>
        <v>2.262589387674141E-2</v>
      </c>
      <c r="FQ36" s="68">
        <f t="shared" si="27"/>
        <v>2.262589387674141E-2</v>
      </c>
      <c r="FR36" s="70">
        <f t="shared" si="27"/>
        <v>9.3621755615304503E-2</v>
      </c>
      <c r="FS36" s="68">
        <f t="shared" si="27"/>
        <v>2.262589387674141E-2</v>
      </c>
      <c r="FT36" s="68">
        <f t="shared" si="27"/>
        <v>2.262589387674141E-2</v>
      </c>
      <c r="FU36" s="68">
        <f t="shared" si="27"/>
        <v>2.262589387674141E-2</v>
      </c>
      <c r="FV36" s="68">
        <f t="shared" si="27"/>
        <v>2.262589387674141E-2</v>
      </c>
      <c r="FW36" s="70">
        <f t="shared" si="27"/>
        <v>9.3621755615304503E-2</v>
      </c>
      <c r="FX36" s="68">
        <f t="shared" ref="FX36:GB37" si="28">FS36</f>
        <v>2.262589387674141E-2</v>
      </c>
      <c r="FY36" s="68">
        <f t="shared" si="28"/>
        <v>2.262589387674141E-2</v>
      </c>
      <c r="FZ36" s="68">
        <f t="shared" si="28"/>
        <v>2.262589387674141E-2</v>
      </c>
      <c r="GA36" s="68">
        <f t="shared" si="28"/>
        <v>2.262589387674141E-2</v>
      </c>
      <c r="GB36" s="70">
        <f t="shared" si="28"/>
        <v>9.3621755615304503E-2</v>
      </c>
    </row>
    <row r="37" spans="1:184">
      <c r="A37" s="10"/>
      <c r="V37" s="28">
        <v>8.2191024080000563E-3</v>
      </c>
      <c r="W37" s="28">
        <v>8.0206873879999918E-3</v>
      </c>
      <c r="X37" s="31">
        <v>1.6305712647024517E-2</v>
      </c>
      <c r="Y37" s="28">
        <v>9.3272955149998893E-3</v>
      </c>
      <c r="Z37" s="28">
        <v>2.5501506680000174E-2</v>
      </c>
      <c r="AA37" s="28">
        <v>1.0837171106000243E-2</v>
      </c>
      <c r="AB37" s="28">
        <v>1.4669798324000283E-2</v>
      </c>
      <c r="AC37" s="31">
        <v>6.1632629978217057E-2</v>
      </c>
      <c r="AD37" s="28">
        <v>1.4466780320000039E-2</v>
      </c>
      <c r="AE37" s="28">
        <v>4.8833994208000053E-2</v>
      </c>
      <c r="AF37" s="28">
        <v>3.6324716660000034E-2</v>
      </c>
      <c r="AG37" s="28">
        <v>1.4460155450000123E-2</v>
      </c>
      <c r="AH37" s="31">
        <v>0.11860159862803665</v>
      </c>
      <c r="AI37" s="28">
        <v>3.4938877250001443E-3</v>
      </c>
      <c r="AJ37" s="28">
        <v>2.0588901079999999E-2</v>
      </c>
      <c r="AK37" s="28">
        <v>3.6018480499999672E-3</v>
      </c>
      <c r="AL37" s="28">
        <v>4.5052417399997768E-3</v>
      </c>
      <c r="AM37" s="31">
        <v>3.2474257580620058E-2</v>
      </c>
      <c r="AN37" s="28">
        <v>1.7598212800000068E-2</v>
      </c>
      <c r="AO37" s="28">
        <v>0.01</v>
      </c>
      <c r="AP37" s="28">
        <v>5.0022901799999797E-3</v>
      </c>
      <c r="AQ37" s="28">
        <v>2.2262182174999978E-2</v>
      </c>
      <c r="AR37" s="31">
        <v>5.5910370935063458E-2</v>
      </c>
      <c r="AS37" s="28">
        <f t="shared" ref="AS37:BX37" si="29">+AS36</f>
        <v>1.2047933492000062E-2</v>
      </c>
      <c r="AT37" s="28">
        <f t="shared" si="29"/>
        <v>4.2651967175000083E-2</v>
      </c>
      <c r="AU37" s="71">
        <f t="shared" si="29"/>
        <v>8.9199532160000317E-3</v>
      </c>
      <c r="AV37" s="71">
        <f t="shared" si="29"/>
        <v>1.0541482514682343E-2</v>
      </c>
      <c r="AW37" s="72">
        <f t="shared" si="29"/>
        <v>7.5848964928742824E-2</v>
      </c>
      <c r="AX37" s="71">
        <f t="shared" si="29"/>
        <v>1.4668574117999933E-2</v>
      </c>
      <c r="AY37" s="71">
        <f t="shared" si="29"/>
        <v>4.1817908599999898E-2</v>
      </c>
      <c r="AZ37" s="71">
        <f t="shared" si="29"/>
        <v>1.7712467473684157E-2</v>
      </c>
      <c r="BA37" s="71">
        <f t="shared" si="29"/>
        <v>1.2701260586442942E-2</v>
      </c>
      <c r="BB37" s="72">
        <f t="shared" si="29"/>
        <v>8.9488056917295333E-2</v>
      </c>
      <c r="BC37" s="71">
        <f t="shared" si="29"/>
        <v>1.0335773876137377E-2</v>
      </c>
      <c r="BD37" s="71">
        <f t="shared" si="29"/>
        <v>2.2605952788373074E-2</v>
      </c>
      <c r="BE37" s="71">
        <f t="shared" si="29"/>
        <v>8.8323187661893954E-3</v>
      </c>
      <c r="BF37" s="71">
        <f t="shared" si="29"/>
        <v>1.1645833683186391E-2</v>
      </c>
      <c r="BG37" s="72">
        <f t="shared" si="29"/>
        <v>5.4439171676587295E-2</v>
      </c>
      <c r="BH37" s="73">
        <f t="shared" si="29"/>
        <v>1.2874240186884878E-2</v>
      </c>
      <c r="BI37" s="73">
        <f t="shared" si="29"/>
        <v>1.2874240186884878E-2</v>
      </c>
      <c r="BJ37" s="73">
        <f t="shared" si="29"/>
        <v>1.2874240186884878E-2</v>
      </c>
      <c r="BK37" s="73">
        <f t="shared" si="29"/>
        <v>1.2874240186884878E-2</v>
      </c>
      <c r="BL37" s="74">
        <f t="shared" si="29"/>
        <v>5.2499999999999998E-2</v>
      </c>
      <c r="BM37" s="73">
        <f t="shared" si="29"/>
        <v>2.1866132158031126E-2</v>
      </c>
      <c r="BN37" s="73">
        <f t="shared" si="29"/>
        <v>2.1866132158031126E-2</v>
      </c>
      <c r="BO37" s="73">
        <f t="shared" si="29"/>
        <v>2.1866132158031126E-2</v>
      </c>
      <c r="BP37" s="73">
        <f t="shared" si="29"/>
        <v>2.1866132158031126E-2</v>
      </c>
      <c r="BQ37" s="74">
        <f t="shared" si="29"/>
        <v>9.0375342868587172E-2</v>
      </c>
      <c r="BR37" s="73">
        <f t="shared" si="29"/>
        <v>2.1257557111978631E-2</v>
      </c>
      <c r="BS37" s="73">
        <f t="shared" si="29"/>
        <v>2.1257557111978631E-2</v>
      </c>
      <c r="BT37" s="73">
        <f t="shared" si="29"/>
        <v>2.1257557111978631E-2</v>
      </c>
      <c r="BU37" s="73">
        <f t="shared" si="29"/>
        <v>2.1257557111978631E-2</v>
      </c>
      <c r="BV37" s="74">
        <f t="shared" si="29"/>
        <v>8.7780158830203625E-2</v>
      </c>
      <c r="BW37" s="73">
        <f t="shared" si="29"/>
        <v>2.2540884410374717E-2</v>
      </c>
      <c r="BX37" s="73">
        <f t="shared" si="29"/>
        <v>2.2540884410374717E-2</v>
      </c>
      <c r="BY37" s="73">
        <f t="shared" ref="BY37:DD37" si="30">+BY36</f>
        <v>2.2540884410374717E-2</v>
      </c>
      <c r="BZ37" s="73">
        <f t="shared" si="30"/>
        <v>2.2540884410374717E-2</v>
      </c>
      <c r="CA37" s="74">
        <f t="shared" si="30"/>
        <v>9.3258155942833154E-2</v>
      </c>
      <c r="CB37" s="73">
        <f t="shared" si="30"/>
        <v>2.2663669447596568E-2</v>
      </c>
      <c r="CC37" s="73">
        <f t="shared" si="30"/>
        <v>2.2663669447596568E-2</v>
      </c>
      <c r="CD37" s="73">
        <f t="shared" si="30"/>
        <v>2.2663669447596568E-2</v>
      </c>
      <c r="CE37" s="73">
        <f t="shared" si="30"/>
        <v>2.2663669447596568E-2</v>
      </c>
      <c r="CF37" s="74">
        <f t="shared" si="30"/>
        <v>9.3783357137487977E-2</v>
      </c>
      <c r="CG37" s="73">
        <f t="shared" si="30"/>
        <v>2.3840263660766858E-2</v>
      </c>
      <c r="CH37" s="73">
        <f t="shared" si="30"/>
        <v>2.3840263660766858E-2</v>
      </c>
      <c r="CI37" s="73">
        <f t="shared" si="30"/>
        <v>2.3840263660766858E-2</v>
      </c>
      <c r="CJ37" s="73">
        <f t="shared" si="30"/>
        <v>2.3840263660766858E-2</v>
      </c>
      <c r="CK37" s="74">
        <f t="shared" si="30"/>
        <v>9.8825725937208508E-2</v>
      </c>
      <c r="CL37" s="73">
        <f t="shared" si="30"/>
        <v>2.262589387674141E-2</v>
      </c>
      <c r="CM37" s="73">
        <f t="shared" si="30"/>
        <v>2.262589387674141E-2</v>
      </c>
      <c r="CN37" s="73">
        <f t="shared" si="30"/>
        <v>2.262589387674141E-2</v>
      </c>
      <c r="CO37" s="73">
        <f t="shared" si="30"/>
        <v>2.262589387674141E-2</v>
      </c>
      <c r="CP37" s="74">
        <f t="shared" si="30"/>
        <v>9.3621755615304503E-2</v>
      </c>
      <c r="CQ37" s="73">
        <f t="shared" si="30"/>
        <v>2.262589387674141E-2</v>
      </c>
      <c r="CR37" s="73">
        <f t="shared" si="30"/>
        <v>2.262589387674141E-2</v>
      </c>
      <c r="CS37" s="73">
        <f t="shared" si="30"/>
        <v>2.262589387674141E-2</v>
      </c>
      <c r="CT37" s="73">
        <f t="shared" si="30"/>
        <v>2.262589387674141E-2</v>
      </c>
      <c r="CU37" s="74">
        <f t="shared" si="30"/>
        <v>9.3621755615304503E-2</v>
      </c>
      <c r="CV37" s="73">
        <f t="shared" si="30"/>
        <v>2.262589387674141E-2</v>
      </c>
      <c r="CW37" s="73">
        <f t="shared" si="30"/>
        <v>2.262589387674141E-2</v>
      </c>
      <c r="CX37" s="73">
        <f t="shared" si="30"/>
        <v>2.262589387674141E-2</v>
      </c>
      <c r="CY37" s="73">
        <f t="shared" si="30"/>
        <v>2.262589387674141E-2</v>
      </c>
      <c r="CZ37" s="74">
        <f t="shared" si="30"/>
        <v>9.3621755615304503E-2</v>
      </c>
      <c r="DA37" s="73">
        <f t="shared" si="30"/>
        <v>2.262589387674141E-2</v>
      </c>
      <c r="DB37" s="73">
        <f t="shared" si="30"/>
        <v>2.262589387674141E-2</v>
      </c>
      <c r="DC37" s="73">
        <f t="shared" si="30"/>
        <v>2.262589387674141E-2</v>
      </c>
      <c r="DD37" s="73">
        <f t="shared" si="30"/>
        <v>2.262589387674141E-2</v>
      </c>
      <c r="DE37" s="74">
        <f t="shared" ref="DE37:DJ37" si="31">+DE36</f>
        <v>9.3621755615304503E-2</v>
      </c>
      <c r="DF37" s="73">
        <f t="shared" si="31"/>
        <v>2.262589387674141E-2</v>
      </c>
      <c r="DG37" s="73">
        <f t="shared" si="31"/>
        <v>2.262589387674141E-2</v>
      </c>
      <c r="DH37" s="73">
        <f t="shared" si="31"/>
        <v>2.262589387674141E-2</v>
      </c>
      <c r="DI37" s="73">
        <f t="shared" si="31"/>
        <v>2.262589387674141E-2</v>
      </c>
      <c r="DJ37" s="74">
        <f t="shared" si="31"/>
        <v>9.3621755615304503E-2</v>
      </c>
      <c r="DK37" s="68">
        <f>DF37</f>
        <v>2.262589387674141E-2</v>
      </c>
      <c r="DL37" s="68">
        <f t="shared" si="21"/>
        <v>2.262589387674141E-2</v>
      </c>
      <c r="DM37" s="68">
        <f t="shared" si="21"/>
        <v>2.262589387674141E-2</v>
      </c>
      <c r="DN37" s="68">
        <f t="shared" si="21"/>
        <v>2.262589387674141E-2</v>
      </c>
      <c r="DO37" s="70">
        <f t="shared" si="21"/>
        <v>9.3621755615304503E-2</v>
      </c>
      <c r="DP37" s="68">
        <f t="shared" si="22"/>
        <v>2.262589387674141E-2</v>
      </c>
      <c r="DQ37" s="68">
        <f t="shared" si="22"/>
        <v>2.262589387674141E-2</v>
      </c>
      <c r="DR37" s="68">
        <f t="shared" si="22"/>
        <v>2.262589387674141E-2</v>
      </c>
      <c r="DS37" s="68">
        <f t="shared" si="22"/>
        <v>2.262589387674141E-2</v>
      </c>
      <c r="DT37" s="70">
        <f t="shared" si="22"/>
        <v>9.3621755615304503E-2</v>
      </c>
      <c r="DU37" s="68">
        <f t="shared" si="22"/>
        <v>2.262589387674141E-2</v>
      </c>
      <c r="DV37" s="68">
        <f t="shared" si="22"/>
        <v>2.262589387674141E-2</v>
      </c>
      <c r="DW37" s="68">
        <f t="shared" si="22"/>
        <v>2.262589387674141E-2</v>
      </c>
      <c r="DX37" s="68">
        <f t="shared" si="22"/>
        <v>2.262589387674141E-2</v>
      </c>
      <c r="DY37" s="70">
        <f t="shared" si="22"/>
        <v>9.3621755615304503E-2</v>
      </c>
      <c r="DZ37" s="68">
        <f t="shared" si="23"/>
        <v>2.262589387674141E-2</v>
      </c>
      <c r="EA37" s="68">
        <f t="shared" si="23"/>
        <v>2.262589387674141E-2</v>
      </c>
      <c r="EB37" s="68">
        <f t="shared" si="23"/>
        <v>2.262589387674141E-2</v>
      </c>
      <c r="EC37" s="68">
        <f t="shared" si="23"/>
        <v>2.262589387674141E-2</v>
      </c>
      <c r="ED37" s="70">
        <f t="shared" si="23"/>
        <v>9.3621755615304503E-2</v>
      </c>
      <c r="EE37" s="68">
        <f t="shared" si="23"/>
        <v>2.262589387674141E-2</v>
      </c>
      <c r="EF37" s="68">
        <f t="shared" si="23"/>
        <v>2.262589387674141E-2</v>
      </c>
      <c r="EG37" s="68">
        <f t="shared" si="23"/>
        <v>2.262589387674141E-2</v>
      </c>
      <c r="EH37" s="68">
        <f t="shared" si="23"/>
        <v>2.262589387674141E-2</v>
      </c>
      <c r="EI37" s="70">
        <f t="shared" si="23"/>
        <v>9.3621755615304503E-2</v>
      </c>
      <c r="EJ37" s="68">
        <f t="shared" si="24"/>
        <v>2.262589387674141E-2</v>
      </c>
      <c r="EK37" s="68">
        <f t="shared" si="24"/>
        <v>2.262589387674141E-2</v>
      </c>
      <c r="EL37" s="68">
        <f t="shared" si="24"/>
        <v>2.262589387674141E-2</v>
      </c>
      <c r="EM37" s="68">
        <f t="shared" si="24"/>
        <v>2.262589387674141E-2</v>
      </c>
      <c r="EN37" s="70">
        <f t="shared" si="24"/>
        <v>9.3621755615304503E-2</v>
      </c>
      <c r="EO37" s="68">
        <f t="shared" si="24"/>
        <v>2.262589387674141E-2</v>
      </c>
      <c r="EP37" s="68">
        <f t="shared" si="24"/>
        <v>2.262589387674141E-2</v>
      </c>
      <c r="EQ37" s="68">
        <f t="shared" si="24"/>
        <v>2.262589387674141E-2</v>
      </c>
      <c r="ER37" s="68">
        <f t="shared" si="24"/>
        <v>2.262589387674141E-2</v>
      </c>
      <c r="ES37" s="70">
        <f t="shared" si="24"/>
        <v>9.3621755615304503E-2</v>
      </c>
      <c r="ET37" s="68">
        <f t="shared" si="25"/>
        <v>2.262589387674141E-2</v>
      </c>
      <c r="EU37" s="68">
        <f t="shared" si="25"/>
        <v>2.262589387674141E-2</v>
      </c>
      <c r="EV37" s="68">
        <f t="shared" si="25"/>
        <v>2.262589387674141E-2</v>
      </c>
      <c r="EW37" s="68">
        <f t="shared" si="25"/>
        <v>2.262589387674141E-2</v>
      </c>
      <c r="EX37" s="70">
        <f t="shared" si="25"/>
        <v>9.3621755615304503E-2</v>
      </c>
      <c r="EY37" s="68">
        <f t="shared" si="25"/>
        <v>2.262589387674141E-2</v>
      </c>
      <c r="EZ37" s="68">
        <f t="shared" si="25"/>
        <v>2.262589387674141E-2</v>
      </c>
      <c r="FA37" s="68">
        <f t="shared" si="25"/>
        <v>2.262589387674141E-2</v>
      </c>
      <c r="FB37" s="68">
        <f t="shared" si="25"/>
        <v>2.262589387674141E-2</v>
      </c>
      <c r="FC37" s="70">
        <f t="shared" si="25"/>
        <v>9.3621755615304503E-2</v>
      </c>
      <c r="FD37" s="68">
        <f t="shared" si="26"/>
        <v>2.262589387674141E-2</v>
      </c>
      <c r="FE37" s="68">
        <f t="shared" si="26"/>
        <v>2.262589387674141E-2</v>
      </c>
      <c r="FF37" s="68">
        <f t="shared" si="26"/>
        <v>2.262589387674141E-2</v>
      </c>
      <c r="FG37" s="68">
        <f t="shared" si="26"/>
        <v>2.262589387674141E-2</v>
      </c>
      <c r="FH37" s="70">
        <f t="shared" si="26"/>
        <v>9.3621755615304503E-2</v>
      </c>
      <c r="FI37" s="68">
        <f t="shared" si="26"/>
        <v>2.262589387674141E-2</v>
      </c>
      <c r="FJ37" s="68">
        <f t="shared" si="26"/>
        <v>2.262589387674141E-2</v>
      </c>
      <c r="FK37" s="68">
        <f t="shared" si="26"/>
        <v>2.262589387674141E-2</v>
      </c>
      <c r="FL37" s="68">
        <f t="shared" si="26"/>
        <v>2.262589387674141E-2</v>
      </c>
      <c r="FM37" s="70">
        <f t="shared" si="26"/>
        <v>9.3621755615304503E-2</v>
      </c>
      <c r="FN37" s="68">
        <f t="shared" si="27"/>
        <v>2.262589387674141E-2</v>
      </c>
      <c r="FO37" s="68">
        <f t="shared" si="27"/>
        <v>2.262589387674141E-2</v>
      </c>
      <c r="FP37" s="68">
        <f t="shared" si="27"/>
        <v>2.262589387674141E-2</v>
      </c>
      <c r="FQ37" s="68">
        <f t="shared" si="27"/>
        <v>2.262589387674141E-2</v>
      </c>
      <c r="FR37" s="70">
        <f t="shared" si="27"/>
        <v>9.3621755615304503E-2</v>
      </c>
      <c r="FS37" s="68">
        <f t="shared" si="27"/>
        <v>2.262589387674141E-2</v>
      </c>
      <c r="FT37" s="68">
        <f t="shared" si="27"/>
        <v>2.262589387674141E-2</v>
      </c>
      <c r="FU37" s="68">
        <f t="shared" si="27"/>
        <v>2.262589387674141E-2</v>
      </c>
      <c r="FV37" s="68">
        <f t="shared" si="27"/>
        <v>2.262589387674141E-2</v>
      </c>
      <c r="FW37" s="70">
        <f t="shared" si="27"/>
        <v>9.3621755615304503E-2</v>
      </c>
      <c r="FX37" s="68">
        <f t="shared" si="28"/>
        <v>2.262589387674141E-2</v>
      </c>
      <c r="FY37" s="68">
        <f t="shared" si="28"/>
        <v>2.262589387674141E-2</v>
      </c>
      <c r="FZ37" s="68">
        <f t="shared" si="28"/>
        <v>2.262589387674141E-2</v>
      </c>
      <c r="GA37" s="68">
        <f t="shared" si="28"/>
        <v>2.262589387674141E-2</v>
      </c>
      <c r="GB37" s="70">
        <f t="shared" si="28"/>
        <v>9.3621755615304503E-2</v>
      </c>
    </row>
    <row r="38" spans="1:184">
      <c r="B38" s="121" t="s">
        <v>372</v>
      </c>
      <c r="C38" s="122">
        <v>0</v>
      </c>
      <c r="D38" s="121" t="s">
        <v>373</v>
      </c>
      <c r="E38" s="122">
        <v>0</v>
      </c>
    </row>
    <row r="39" spans="1:184">
      <c r="C39" s="55">
        <f>(1+C38)^(1/4)-1</f>
        <v>0</v>
      </c>
      <c r="E39" s="55">
        <f>(1+E38)^(1/4)-1</f>
        <v>0</v>
      </c>
      <c r="X39" s="55">
        <f>(1+T36)*(1+U36)*(1+V36)*(1+W36)-1</f>
        <v>5.043873704771995E-2</v>
      </c>
    </row>
    <row r="41" spans="1:184" ht="15.75">
      <c r="B41" s="33" t="s">
        <v>352</v>
      </c>
    </row>
    <row r="43" spans="1:184">
      <c r="A43" s="54">
        <v>1</v>
      </c>
      <c r="B43" s="35"/>
      <c r="C43" s="36">
        <v>37711</v>
      </c>
      <c r="D43" s="36">
        <v>37802</v>
      </c>
      <c r="E43" s="36">
        <v>37894</v>
      </c>
      <c r="F43" s="36">
        <v>37986</v>
      </c>
      <c r="G43" s="36">
        <v>38077</v>
      </c>
      <c r="H43" s="36">
        <v>38168</v>
      </c>
      <c r="I43" s="36">
        <v>38260</v>
      </c>
      <c r="J43" s="36">
        <v>38352</v>
      </c>
      <c r="K43" s="36">
        <v>38442</v>
      </c>
      <c r="L43" s="36">
        <v>38533</v>
      </c>
      <c r="M43" s="36">
        <v>38625</v>
      </c>
      <c r="N43" s="36">
        <v>38717</v>
      </c>
      <c r="O43" s="36">
        <v>38807</v>
      </c>
      <c r="P43" s="36">
        <v>38898</v>
      </c>
      <c r="Q43" s="36">
        <v>38990</v>
      </c>
      <c r="R43" s="36">
        <v>39082</v>
      </c>
      <c r="S43" s="36">
        <v>39172</v>
      </c>
      <c r="T43" s="36">
        <v>39263</v>
      </c>
      <c r="U43" s="36">
        <v>39355</v>
      </c>
      <c r="V43" s="36">
        <v>39447</v>
      </c>
      <c r="W43" s="36">
        <v>39538</v>
      </c>
      <c r="X43" s="36">
        <v>39629</v>
      </c>
      <c r="Y43" s="36">
        <v>39721</v>
      </c>
      <c r="Z43" s="36">
        <v>39813</v>
      </c>
      <c r="AA43" s="36">
        <v>39903</v>
      </c>
      <c r="AB43" s="36">
        <v>39994</v>
      </c>
      <c r="AC43" s="36">
        <v>40086</v>
      </c>
      <c r="AD43" s="36">
        <v>40178</v>
      </c>
      <c r="AE43" s="36">
        <v>40268</v>
      </c>
      <c r="AF43" s="36">
        <v>40359</v>
      </c>
      <c r="AG43" s="36">
        <v>40451</v>
      </c>
      <c r="AH43" s="123">
        <v>40543</v>
      </c>
      <c r="AI43" s="36">
        <v>40633</v>
      </c>
      <c r="AJ43" s="36">
        <v>40724</v>
      </c>
      <c r="AK43" s="36">
        <v>40816</v>
      </c>
      <c r="AL43" s="36">
        <v>40908</v>
      </c>
      <c r="AM43" s="36">
        <v>40999</v>
      </c>
      <c r="AN43" s="36">
        <v>41090</v>
      </c>
      <c r="AO43" s="36">
        <v>41182</v>
      </c>
      <c r="AP43" s="36">
        <v>41274</v>
      </c>
      <c r="AQ43" s="36">
        <v>41364</v>
      </c>
      <c r="AR43" s="36">
        <v>41455</v>
      </c>
      <c r="AS43" s="36">
        <v>41547</v>
      </c>
      <c r="AT43" s="36">
        <v>41639</v>
      </c>
      <c r="AU43" s="36">
        <v>41729</v>
      </c>
      <c r="AV43" s="36">
        <v>41820</v>
      </c>
      <c r="AW43" s="36">
        <v>41912</v>
      </c>
      <c r="AX43" s="36">
        <v>42004</v>
      </c>
      <c r="AY43" s="36">
        <v>42094</v>
      </c>
      <c r="AZ43" s="36">
        <v>42185</v>
      </c>
      <c r="BA43" s="36">
        <v>42277</v>
      </c>
      <c r="BB43" s="36">
        <v>42369</v>
      </c>
      <c r="BC43" s="36">
        <v>42460</v>
      </c>
      <c r="BD43" s="36">
        <v>42551</v>
      </c>
      <c r="BE43" s="36">
        <v>42643</v>
      </c>
      <c r="BF43" s="36">
        <v>42735</v>
      </c>
      <c r="BG43" s="36">
        <v>42825</v>
      </c>
      <c r="BH43" s="36">
        <v>42916</v>
      </c>
      <c r="BI43" s="36">
        <v>43008</v>
      </c>
      <c r="BJ43" s="36">
        <v>43100</v>
      </c>
      <c r="BK43" s="36">
        <v>43190</v>
      </c>
      <c r="BL43" s="36">
        <v>43281</v>
      </c>
      <c r="BM43" s="36">
        <v>43373</v>
      </c>
      <c r="BN43" s="36">
        <v>43465</v>
      </c>
      <c r="BO43" s="36">
        <v>43555</v>
      </c>
      <c r="BP43" s="36">
        <v>43646</v>
      </c>
      <c r="BQ43" s="36">
        <v>43738</v>
      </c>
      <c r="BR43" s="36">
        <v>43830</v>
      </c>
      <c r="BS43" s="36">
        <v>43921</v>
      </c>
      <c r="BT43" s="36">
        <v>44012</v>
      </c>
      <c r="BU43" s="36">
        <v>44104</v>
      </c>
      <c r="BV43" s="36">
        <v>44196</v>
      </c>
      <c r="BW43" s="36">
        <v>44286</v>
      </c>
      <c r="BX43" s="36">
        <v>44377</v>
      </c>
      <c r="BY43" s="36">
        <v>44469</v>
      </c>
      <c r="BZ43" s="36">
        <v>44561</v>
      </c>
      <c r="CA43" s="36">
        <v>44651</v>
      </c>
      <c r="CB43" s="36">
        <v>44742</v>
      </c>
      <c r="CC43" s="36">
        <v>44834</v>
      </c>
      <c r="CD43" s="36">
        <v>44926</v>
      </c>
      <c r="CE43" s="36">
        <v>45016</v>
      </c>
      <c r="CF43" s="36">
        <v>45107</v>
      </c>
      <c r="CG43" s="36">
        <v>45199</v>
      </c>
      <c r="CH43" s="36">
        <v>45291</v>
      </c>
      <c r="CI43" s="36">
        <v>45382</v>
      </c>
      <c r="CJ43" s="36">
        <v>45473</v>
      </c>
      <c r="CK43" s="36">
        <v>45565</v>
      </c>
      <c r="CL43" s="36">
        <v>45657</v>
      </c>
      <c r="CM43" s="36">
        <v>45747</v>
      </c>
      <c r="CN43" s="36">
        <v>45838</v>
      </c>
      <c r="CO43" s="36">
        <v>45930</v>
      </c>
      <c r="CP43" s="36">
        <v>46022</v>
      </c>
      <c r="CQ43" s="36">
        <v>46112</v>
      </c>
      <c r="CR43" s="36">
        <v>46203</v>
      </c>
      <c r="CS43" s="36">
        <v>46295</v>
      </c>
      <c r="CT43" s="36">
        <v>46387</v>
      </c>
      <c r="CU43" s="36">
        <v>46477</v>
      </c>
      <c r="CV43" s="36">
        <v>46568</v>
      </c>
      <c r="CW43" s="36">
        <v>46660</v>
      </c>
      <c r="CX43" s="36">
        <v>46752</v>
      </c>
      <c r="CY43" s="36">
        <v>46843</v>
      </c>
      <c r="CZ43" s="36">
        <v>46934</v>
      </c>
      <c r="DA43" s="36">
        <v>47026</v>
      </c>
      <c r="DB43" s="36">
        <v>47118</v>
      </c>
      <c r="DC43" s="36">
        <v>47208</v>
      </c>
      <c r="DD43" s="36">
        <v>47299</v>
      </c>
      <c r="DE43" s="36">
        <v>47391</v>
      </c>
      <c r="DF43" s="36">
        <v>47483</v>
      </c>
      <c r="DG43" s="36">
        <v>47573</v>
      </c>
      <c r="DH43" s="36">
        <v>47664</v>
      </c>
      <c r="DI43" s="36">
        <v>47756</v>
      </c>
      <c r="DJ43" s="36">
        <v>47848</v>
      </c>
      <c r="DK43" s="36">
        <v>47938</v>
      </c>
      <c r="DL43" s="36">
        <v>48029</v>
      </c>
      <c r="DM43" s="36">
        <v>48121</v>
      </c>
      <c r="DN43" s="36">
        <v>48213</v>
      </c>
      <c r="DO43" s="36">
        <v>48304</v>
      </c>
      <c r="DP43" s="36">
        <v>48395</v>
      </c>
      <c r="DQ43" s="36">
        <v>48487</v>
      </c>
      <c r="DR43" s="36">
        <v>48579</v>
      </c>
      <c r="DS43" s="36">
        <v>48669</v>
      </c>
      <c r="DT43" s="36">
        <v>48760</v>
      </c>
      <c r="DU43" s="36">
        <v>48852</v>
      </c>
      <c r="DV43" s="36">
        <v>48944</v>
      </c>
      <c r="DW43" s="36">
        <v>49034</v>
      </c>
      <c r="DX43" s="36">
        <v>49125</v>
      </c>
      <c r="DY43" s="36">
        <v>49217</v>
      </c>
      <c r="DZ43" s="36">
        <v>49309</v>
      </c>
      <c r="EA43" s="36">
        <v>49399</v>
      </c>
      <c r="EB43" s="36">
        <v>49490</v>
      </c>
      <c r="EC43" s="36">
        <v>49582</v>
      </c>
      <c r="ED43" s="36">
        <v>49674</v>
      </c>
      <c r="EE43" s="36">
        <v>49765</v>
      </c>
      <c r="EF43" s="36">
        <v>49856</v>
      </c>
      <c r="EG43" s="36">
        <v>49948</v>
      </c>
      <c r="EH43" s="36">
        <v>50040</v>
      </c>
      <c r="EI43" s="36">
        <v>50130</v>
      </c>
      <c r="EJ43" s="36">
        <v>50221</v>
      </c>
      <c r="EK43" s="36">
        <v>50313</v>
      </c>
      <c r="EL43" s="36">
        <v>50405</v>
      </c>
      <c r="EM43" s="36">
        <v>50495</v>
      </c>
      <c r="EN43" s="36">
        <v>50586</v>
      </c>
      <c r="EO43" s="36">
        <v>50678</v>
      </c>
      <c r="EP43" s="36">
        <v>50770</v>
      </c>
      <c r="EQ43" s="76"/>
      <c r="ER43" s="76"/>
      <c r="ES43" s="76"/>
    </row>
    <row r="44" spans="1:184">
      <c r="A44" s="54">
        <v>2</v>
      </c>
      <c r="B44" s="10"/>
      <c r="C44" s="114">
        <v>1</v>
      </c>
      <c r="D44" s="114">
        <v>1</v>
      </c>
      <c r="E44" s="114">
        <v>1</v>
      </c>
      <c r="F44" s="114">
        <v>1</v>
      </c>
      <c r="G44" s="114">
        <v>1</v>
      </c>
      <c r="H44" s="114">
        <v>1</v>
      </c>
      <c r="I44" s="114">
        <v>1</v>
      </c>
      <c r="J44" s="114">
        <v>1</v>
      </c>
      <c r="K44" s="114">
        <v>1</v>
      </c>
      <c r="L44" s="114">
        <v>1</v>
      </c>
      <c r="M44" s="114">
        <v>1</v>
      </c>
      <c r="N44" s="114">
        <v>1</v>
      </c>
      <c r="O44" s="114">
        <v>1</v>
      </c>
      <c r="P44" s="114">
        <v>1</v>
      </c>
      <c r="Q44" s="114">
        <v>1</v>
      </c>
      <c r="R44" s="114">
        <v>1</v>
      </c>
      <c r="S44" s="114">
        <v>1</v>
      </c>
      <c r="T44" s="114">
        <v>1</v>
      </c>
      <c r="U44" s="114">
        <v>1</v>
      </c>
      <c r="V44" s="114">
        <v>1</v>
      </c>
      <c r="W44" s="114">
        <v>1</v>
      </c>
      <c r="X44" s="114">
        <v>1</v>
      </c>
      <c r="Y44" s="114">
        <v>1</v>
      </c>
      <c r="Z44" s="114">
        <v>1</v>
      </c>
      <c r="AA44" s="114">
        <v>1</v>
      </c>
      <c r="AB44" s="114">
        <v>1</v>
      </c>
      <c r="AC44" s="114">
        <v>1</v>
      </c>
      <c r="AD44" s="114">
        <v>1</v>
      </c>
      <c r="AE44" s="114">
        <v>1</v>
      </c>
      <c r="AF44" s="114">
        <v>1</v>
      </c>
      <c r="AG44" s="114">
        <v>1</v>
      </c>
      <c r="AH44" s="124">
        <v>1</v>
      </c>
      <c r="AI44" s="114">
        <v>1</v>
      </c>
      <c r="AJ44" s="114">
        <v>1</v>
      </c>
      <c r="AK44" s="114">
        <v>1</v>
      </c>
      <c r="AL44" s="114">
        <v>1</v>
      </c>
      <c r="AM44" s="114">
        <v>1</v>
      </c>
      <c r="AN44" s="114">
        <v>1</v>
      </c>
      <c r="AO44" s="114">
        <v>1</v>
      </c>
      <c r="AP44" s="114">
        <v>1</v>
      </c>
      <c r="AQ44" s="114">
        <v>1</v>
      </c>
      <c r="AR44" s="114">
        <v>1</v>
      </c>
      <c r="AS44" s="114">
        <v>1</v>
      </c>
      <c r="AT44" s="114">
        <v>1</v>
      </c>
      <c r="AU44" s="114">
        <v>1</v>
      </c>
      <c r="AV44" s="114">
        <v>1</v>
      </c>
      <c r="AW44" s="114">
        <v>1</v>
      </c>
      <c r="AX44" s="114">
        <v>1</v>
      </c>
      <c r="AY44" s="114">
        <v>1</v>
      </c>
      <c r="AZ44" s="114">
        <v>1</v>
      </c>
      <c r="BA44" s="114">
        <v>1</v>
      </c>
      <c r="BB44" s="114">
        <v>1</v>
      </c>
      <c r="BC44" s="114">
        <v>1</v>
      </c>
      <c r="BD44" s="114">
        <v>1</v>
      </c>
      <c r="BE44" s="114">
        <v>1</v>
      </c>
      <c r="BF44" s="114">
        <v>1</v>
      </c>
      <c r="BG44" s="114">
        <v>1</v>
      </c>
      <c r="BH44" s="114">
        <v>1</v>
      </c>
      <c r="BI44" s="114">
        <v>1</v>
      </c>
      <c r="BJ44" s="114">
        <v>1</v>
      </c>
      <c r="BK44" s="114">
        <v>1</v>
      </c>
      <c r="BL44" s="114">
        <v>1</v>
      </c>
      <c r="BM44" s="114">
        <v>1</v>
      </c>
      <c r="BN44" s="114">
        <v>1</v>
      </c>
      <c r="BO44" s="114">
        <v>1</v>
      </c>
      <c r="BP44" s="114">
        <v>1</v>
      </c>
      <c r="BQ44" s="114">
        <v>1</v>
      </c>
      <c r="BR44" s="114">
        <v>1</v>
      </c>
      <c r="BS44" s="114">
        <v>1</v>
      </c>
      <c r="BT44" s="114">
        <v>1</v>
      </c>
      <c r="BU44" s="114">
        <v>1</v>
      </c>
      <c r="BV44" s="114">
        <v>1</v>
      </c>
      <c r="BW44" s="114">
        <v>1</v>
      </c>
      <c r="BX44" s="114">
        <v>1</v>
      </c>
      <c r="BY44" s="114">
        <v>1</v>
      </c>
      <c r="BZ44" s="114">
        <v>1</v>
      </c>
      <c r="CA44" s="114">
        <v>1</v>
      </c>
      <c r="CB44" s="114">
        <v>1</v>
      </c>
      <c r="CC44" s="114">
        <v>1</v>
      </c>
      <c r="CD44" s="114">
        <v>1</v>
      </c>
      <c r="CE44" s="114">
        <v>1</v>
      </c>
      <c r="CF44" s="114">
        <v>1</v>
      </c>
      <c r="CG44" s="114">
        <v>1</v>
      </c>
      <c r="CH44" s="114">
        <v>1</v>
      </c>
      <c r="CI44" s="114">
        <v>1</v>
      </c>
      <c r="CJ44" s="114">
        <v>1</v>
      </c>
      <c r="CK44" s="114">
        <v>1</v>
      </c>
      <c r="CL44" s="114">
        <v>1</v>
      </c>
      <c r="CM44" s="114">
        <v>1</v>
      </c>
      <c r="CN44" s="114">
        <v>1</v>
      </c>
      <c r="CO44" s="114">
        <v>1</v>
      </c>
      <c r="CP44" s="114">
        <v>1</v>
      </c>
      <c r="CQ44" s="114">
        <v>1</v>
      </c>
      <c r="CR44" s="114">
        <v>1</v>
      </c>
      <c r="CS44" s="114">
        <v>1</v>
      </c>
      <c r="CT44" s="114">
        <v>1</v>
      </c>
      <c r="CU44" s="114">
        <v>1</v>
      </c>
      <c r="CV44" s="114">
        <v>1</v>
      </c>
      <c r="CW44" s="114">
        <v>1</v>
      </c>
      <c r="CX44" s="114">
        <v>1</v>
      </c>
      <c r="CY44" s="114">
        <v>1</v>
      </c>
      <c r="CZ44" s="114">
        <v>1</v>
      </c>
      <c r="DA44" s="114">
        <v>1</v>
      </c>
      <c r="DB44" s="114">
        <v>1</v>
      </c>
      <c r="DC44" s="114">
        <v>1</v>
      </c>
      <c r="DD44" s="114">
        <v>1</v>
      </c>
      <c r="DE44" s="114">
        <v>1</v>
      </c>
      <c r="DF44" s="114">
        <v>1</v>
      </c>
      <c r="DG44" s="114">
        <v>1</v>
      </c>
      <c r="DH44" s="114">
        <v>1</v>
      </c>
      <c r="DI44" s="114">
        <v>1</v>
      </c>
      <c r="DJ44" s="114">
        <v>1</v>
      </c>
      <c r="DK44" s="114">
        <v>1</v>
      </c>
      <c r="DL44" s="114">
        <v>1</v>
      </c>
      <c r="DM44" s="114">
        <v>1</v>
      </c>
      <c r="DN44" s="114">
        <v>1</v>
      </c>
      <c r="DO44" s="114">
        <v>1</v>
      </c>
      <c r="DP44" s="114">
        <v>1</v>
      </c>
      <c r="DQ44" s="114">
        <v>1</v>
      </c>
      <c r="DR44" s="114">
        <v>1</v>
      </c>
      <c r="DS44" s="114">
        <v>1</v>
      </c>
      <c r="DT44" s="114">
        <v>1</v>
      </c>
      <c r="DU44" s="114">
        <v>1</v>
      </c>
      <c r="DV44" s="114">
        <v>1</v>
      </c>
      <c r="DW44" s="114">
        <v>1</v>
      </c>
      <c r="DX44" s="114">
        <v>1</v>
      </c>
      <c r="DY44" s="114">
        <v>1</v>
      </c>
      <c r="DZ44" s="114">
        <v>1</v>
      </c>
      <c r="EA44" s="114">
        <v>1</v>
      </c>
      <c r="EB44" s="114">
        <v>1</v>
      </c>
      <c r="EC44" s="114">
        <v>1</v>
      </c>
      <c r="ED44" s="114">
        <v>1</v>
      </c>
      <c r="EE44" s="114">
        <v>1</v>
      </c>
      <c r="EF44" s="114">
        <v>1</v>
      </c>
      <c r="EG44" s="114">
        <v>1</v>
      </c>
      <c r="EH44" s="114">
        <v>1</v>
      </c>
      <c r="EI44" s="114">
        <v>1</v>
      </c>
      <c r="EJ44" s="114">
        <v>1</v>
      </c>
      <c r="EK44" s="114">
        <v>1</v>
      </c>
      <c r="EL44" s="114">
        <v>1</v>
      </c>
      <c r="EM44" s="114">
        <v>1</v>
      </c>
      <c r="EN44" s="114">
        <v>1</v>
      </c>
      <c r="EO44" s="114">
        <v>1</v>
      </c>
      <c r="EP44" s="114">
        <v>1</v>
      </c>
      <c r="EQ44" s="8"/>
      <c r="ER44" s="8"/>
      <c r="ES44" s="8"/>
    </row>
    <row r="45" spans="1:184">
      <c r="A45" s="54">
        <f>A44+1</f>
        <v>3</v>
      </c>
      <c r="B45" s="6" t="s">
        <v>313</v>
      </c>
      <c r="C45" s="79">
        <f t="shared" ref="C45:AJ45" si="32">HLOOKUP(C43,$B$5:$GB$36,7,FALSE)</f>
        <v>6.2600000000000003E-2</v>
      </c>
      <c r="D45" s="79">
        <f t="shared" si="32"/>
        <v>-3.5000000000000001E-3</v>
      </c>
      <c r="E45" s="79">
        <f t="shared" si="32"/>
        <v>1.14E-2</v>
      </c>
      <c r="F45" s="79">
        <f t="shared" si="32"/>
        <v>1.49E-2</v>
      </c>
      <c r="G45" s="79">
        <f t="shared" si="32"/>
        <v>2.7199999999999998E-2</v>
      </c>
      <c r="H45" s="79">
        <f t="shared" si="32"/>
        <v>3.95E-2</v>
      </c>
      <c r="I45" s="79">
        <f t="shared" si="32"/>
        <v>3.2500000000000001E-2</v>
      </c>
      <c r="J45" s="79">
        <f t="shared" si="32"/>
        <v>1.9599999999999999E-2</v>
      </c>
      <c r="K45" s="79">
        <f t="shared" si="32"/>
        <v>1.55E-2</v>
      </c>
      <c r="L45" s="79">
        <f t="shared" si="32"/>
        <v>2E-3</v>
      </c>
      <c r="M45" s="79">
        <f t="shared" si="32"/>
        <v>-1.52E-2</v>
      </c>
      <c r="N45" s="79">
        <f t="shared" si="32"/>
        <v>9.9000000000000008E-3</v>
      </c>
      <c r="O45" s="79">
        <f t="shared" si="32"/>
        <v>7.0000000000000001E-3</v>
      </c>
      <c r="P45" s="79">
        <f t="shared" si="32"/>
        <v>7.1000000000000004E-3</v>
      </c>
      <c r="Q45" s="79">
        <f t="shared" si="32"/>
        <v>8.3999999999999995E-3</v>
      </c>
      <c r="R45" s="79">
        <f t="shared" si="32"/>
        <v>1.55E-2</v>
      </c>
      <c r="S45" s="79">
        <f t="shared" si="32"/>
        <v>1.11E-2</v>
      </c>
      <c r="T45" s="79">
        <f t="shared" si="32"/>
        <v>3.5000000000000001E-3</v>
      </c>
      <c r="U45" s="79">
        <f t="shared" si="32"/>
        <v>2.5700000000000001E-2</v>
      </c>
      <c r="V45" s="79">
        <f t="shared" si="32"/>
        <v>3.0599999999999999E-2</v>
      </c>
      <c r="W45" s="79">
        <f t="shared" si="32"/>
        <v>2.3800000000000002E-2</v>
      </c>
      <c r="X45" s="79">
        <f t="shared" si="32"/>
        <v>4.3400000000000001E-2</v>
      </c>
      <c r="Y45" s="79">
        <f t="shared" si="32"/>
        <v>1.55E-2</v>
      </c>
      <c r="Z45" s="79">
        <f t="shared" si="32"/>
        <v>1.23E-2</v>
      </c>
      <c r="AA45" s="79">
        <f t="shared" si="32"/>
        <v>-9.1999999999999998E-3</v>
      </c>
      <c r="AB45" s="79">
        <f t="shared" si="32"/>
        <v>-3.2000000000000002E-3</v>
      </c>
      <c r="AC45" s="79">
        <f t="shared" si="32"/>
        <v>-3.7000000000000002E-3</v>
      </c>
      <c r="AD45" s="79">
        <f t="shared" si="32"/>
        <v>-1.1000000000000001E-3</v>
      </c>
      <c r="AE45" s="79">
        <f t="shared" si="32"/>
        <v>2.7699999999999999E-2</v>
      </c>
      <c r="AF45" s="79">
        <f t="shared" si="32"/>
        <v>2.8400000000000002E-2</v>
      </c>
      <c r="AG45" s="79">
        <f t="shared" si="32"/>
        <v>2.0817482825000067E-2</v>
      </c>
      <c r="AH45" s="125">
        <f t="shared" si="32"/>
        <v>3.1817200504999699E-2</v>
      </c>
      <c r="AI45" s="79">
        <f t="shared" si="32"/>
        <v>2.4290469799999936E-2</v>
      </c>
      <c r="AJ45" s="79">
        <f t="shared" si="32"/>
        <v>7.0034751699998843E-3</v>
      </c>
      <c r="AK45" s="130">
        <f t="shared" ref="AK45:AR45" si="33">HLOOKUP(AK43,$B$5:$GB$36,7,FALSE)+$C$39</f>
        <v>9.7154856799999134E-3</v>
      </c>
      <c r="AL45" s="130">
        <f t="shared" si="33"/>
        <v>9.1141081999999152E-3</v>
      </c>
      <c r="AM45" s="130">
        <f t="shared" si="33"/>
        <v>6.2066635499997691E-3</v>
      </c>
      <c r="AN45" s="130">
        <f t="shared" si="33"/>
        <v>2.2659339999999917E-2</v>
      </c>
      <c r="AO45" s="130">
        <f t="shared" si="33"/>
        <v>7.5170120000001006E-3</v>
      </c>
      <c r="AP45" s="130">
        <f t="shared" si="33"/>
        <v>1.0532022499999849E-2</v>
      </c>
      <c r="AQ45" s="130">
        <f t="shared" si="33"/>
        <v>1.1882369336534637E-2</v>
      </c>
      <c r="AR45" s="130">
        <f t="shared" si="33"/>
        <v>1.0913642404244417E-2</v>
      </c>
      <c r="AS45" s="79">
        <f t="shared" ref="AS45:BX45" si="34">HLOOKUP(AS43,$B$5:$GB$36,7,FALSE)</f>
        <v>7.3909530332922913E-3</v>
      </c>
      <c r="AT45" s="79">
        <f t="shared" si="34"/>
        <v>1.3673824916461852E-2</v>
      </c>
      <c r="AU45" s="79">
        <f t="shared" si="34"/>
        <v>1.1064990499148664E-2</v>
      </c>
      <c r="AV45" s="79">
        <f t="shared" si="34"/>
        <v>1.1064990499148664E-2</v>
      </c>
      <c r="AW45" s="79">
        <f t="shared" si="34"/>
        <v>1.1064990499148664E-2</v>
      </c>
      <c r="AX45" s="79">
        <f t="shared" si="34"/>
        <v>1.1064990499148664E-2</v>
      </c>
      <c r="AY45" s="79">
        <f t="shared" si="34"/>
        <v>1.1064990499148664E-2</v>
      </c>
      <c r="AZ45" s="79">
        <f t="shared" si="34"/>
        <v>1.1064990499148664E-2</v>
      </c>
      <c r="BA45" s="79">
        <f t="shared" si="34"/>
        <v>1.1064990499148664E-2</v>
      </c>
      <c r="BB45" s="79">
        <f t="shared" si="34"/>
        <v>1.1064990499148664E-2</v>
      </c>
      <c r="BC45" s="79">
        <f t="shared" si="34"/>
        <v>1.1064990499148664E-2</v>
      </c>
      <c r="BD45" s="79">
        <f t="shared" si="34"/>
        <v>1.1064990499148664E-2</v>
      </c>
      <c r="BE45" s="79">
        <f t="shared" si="34"/>
        <v>1.1064990499148664E-2</v>
      </c>
      <c r="BF45" s="79">
        <f t="shared" si="34"/>
        <v>1.1064990499148664E-2</v>
      </c>
      <c r="BG45" s="79">
        <f t="shared" si="34"/>
        <v>9.8534065489688238E-3</v>
      </c>
      <c r="BH45" s="79">
        <f t="shared" si="34"/>
        <v>9.8534065489688238E-3</v>
      </c>
      <c r="BI45" s="79">
        <f t="shared" si="34"/>
        <v>9.8534065489688238E-3</v>
      </c>
      <c r="BJ45" s="79">
        <f t="shared" si="34"/>
        <v>9.8534065489688238E-3</v>
      </c>
      <c r="BK45" s="79">
        <f t="shared" si="34"/>
        <v>9.8534065489688238E-3</v>
      </c>
      <c r="BL45" s="79">
        <f t="shared" si="34"/>
        <v>9.8534065489688238E-3</v>
      </c>
      <c r="BM45" s="79">
        <f t="shared" si="34"/>
        <v>9.8534065489688238E-3</v>
      </c>
      <c r="BN45" s="79">
        <f t="shared" si="34"/>
        <v>9.8534065489688238E-3</v>
      </c>
      <c r="BO45" s="79">
        <f t="shared" si="34"/>
        <v>9.8534065489688238E-3</v>
      </c>
      <c r="BP45" s="79">
        <f t="shared" si="34"/>
        <v>9.8534065489688238E-3</v>
      </c>
      <c r="BQ45" s="79">
        <f t="shared" si="34"/>
        <v>9.8534065489688238E-3</v>
      </c>
      <c r="BR45" s="79">
        <f t="shared" si="34"/>
        <v>9.8534065489688238E-3</v>
      </c>
      <c r="BS45" s="79">
        <f t="shared" si="34"/>
        <v>9.8534065489688238E-3</v>
      </c>
      <c r="BT45" s="79">
        <f t="shared" si="34"/>
        <v>9.8534065489688238E-3</v>
      </c>
      <c r="BU45" s="79">
        <f t="shared" si="34"/>
        <v>9.8534065489688238E-3</v>
      </c>
      <c r="BV45" s="79">
        <f t="shared" si="34"/>
        <v>9.8534065489688238E-3</v>
      </c>
      <c r="BW45" s="79">
        <f t="shared" si="34"/>
        <v>9.8534065489688238E-3</v>
      </c>
      <c r="BX45" s="79">
        <f t="shared" si="34"/>
        <v>9.8534065489688238E-3</v>
      </c>
      <c r="BY45" s="79">
        <f t="shared" ref="BY45:DD45" si="35">HLOOKUP(BY43,$B$5:$GB$36,7,FALSE)</f>
        <v>9.8534065489688238E-3</v>
      </c>
      <c r="BZ45" s="79">
        <f t="shared" si="35"/>
        <v>9.8534065489688238E-3</v>
      </c>
      <c r="CA45" s="79">
        <f t="shared" si="35"/>
        <v>9.8534065489688238E-3</v>
      </c>
      <c r="CB45" s="79">
        <f t="shared" si="35"/>
        <v>9.8534065489688238E-3</v>
      </c>
      <c r="CC45" s="79">
        <f t="shared" si="35"/>
        <v>9.8534065489688238E-3</v>
      </c>
      <c r="CD45" s="79">
        <f t="shared" si="35"/>
        <v>9.8534065489688238E-3</v>
      </c>
      <c r="CE45" s="79">
        <f t="shared" si="35"/>
        <v>9.8534065489688238E-3</v>
      </c>
      <c r="CF45" s="79">
        <f t="shared" si="35"/>
        <v>9.8534065489688238E-3</v>
      </c>
      <c r="CG45" s="79">
        <f t="shared" si="35"/>
        <v>9.8534065489688238E-3</v>
      </c>
      <c r="CH45" s="79">
        <f t="shared" si="35"/>
        <v>9.8534065489688238E-3</v>
      </c>
      <c r="CI45" s="79">
        <f t="shared" si="35"/>
        <v>9.8534065489688238E-3</v>
      </c>
      <c r="CJ45" s="79">
        <f t="shared" si="35"/>
        <v>9.8534065489688238E-3</v>
      </c>
      <c r="CK45" s="79">
        <f t="shared" si="35"/>
        <v>9.8534065489688238E-3</v>
      </c>
      <c r="CL45" s="79">
        <f t="shared" si="35"/>
        <v>9.8534065489688238E-3</v>
      </c>
      <c r="CM45" s="79">
        <f t="shared" si="35"/>
        <v>8.6374459977134332E-3</v>
      </c>
      <c r="CN45" s="79">
        <f t="shared" si="35"/>
        <v>8.6374459977134332E-3</v>
      </c>
      <c r="CO45" s="79">
        <f t="shared" si="35"/>
        <v>8.6374459977134332E-3</v>
      </c>
      <c r="CP45" s="79">
        <f t="shared" si="35"/>
        <v>8.6374459977134332E-3</v>
      </c>
      <c r="CQ45" s="79">
        <f t="shared" si="35"/>
        <v>8.6374459977134332E-3</v>
      </c>
      <c r="CR45" s="79">
        <f t="shared" si="35"/>
        <v>8.6374459977134332E-3</v>
      </c>
      <c r="CS45" s="79">
        <f t="shared" si="35"/>
        <v>8.6374459977134332E-3</v>
      </c>
      <c r="CT45" s="79">
        <f t="shared" si="35"/>
        <v>8.6374459977134332E-3</v>
      </c>
      <c r="CU45" s="79">
        <f t="shared" si="35"/>
        <v>8.6374459977134332E-3</v>
      </c>
      <c r="CV45" s="79">
        <f t="shared" si="35"/>
        <v>8.6374459977134332E-3</v>
      </c>
      <c r="CW45" s="79">
        <f t="shared" si="35"/>
        <v>8.6374459977134332E-3</v>
      </c>
      <c r="CX45" s="79">
        <f t="shared" si="35"/>
        <v>8.6374459977134332E-3</v>
      </c>
      <c r="CY45" s="79">
        <f t="shared" si="35"/>
        <v>8.6374459977134332E-3</v>
      </c>
      <c r="CZ45" s="79">
        <f t="shared" si="35"/>
        <v>8.6374459977134332E-3</v>
      </c>
      <c r="DA45" s="79">
        <f t="shared" si="35"/>
        <v>8.6374459977134332E-3</v>
      </c>
      <c r="DB45" s="79">
        <f t="shared" si="35"/>
        <v>8.6374459977134332E-3</v>
      </c>
      <c r="DC45" s="79">
        <f t="shared" si="35"/>
        <v>8.6374459977134332E-3</v>
      </c>
      <c r="DD45" s="79">
        <f t="shared" si="35"/>
        <v>8.6374459977134332E-3</v>
      </c>
      <c r="DE45" s="79">
        <f t="shared" ref="DE45:EJ45" si="36">HLOOKUP(DE43,$B$5:$GB$36,7,FALSE)</f>
        <v>8.6374459977134332E-3</v>
      </c>
      <c r="DF45" s="79">
        <f t="shared" si="36"/>
        <v>8.6374459977134332E-3</v>
      </c>
      <c r="DG45" s="79">
        <f t="shared" si="36"/>
        <v>8.6374459977134332E-3</v>
      </c>
      <c r="DH45" s="79">
        <f t="shared" si="36"/>
        <v>8.6374459977134332E-3</v>
      </c>
      <c r="DI45" s="79">
        <f t="shared" si="36"/>
        <v>8.6374459977134332E-3</v>
      </c>
      <c r="DJ45" s="79">
        <f t="shared" si="36"/>
        <v>8.6374459977134332E-3</v>
      </c>
      <c r="DK45" s="79">
        <f t="shared" si="36"/>
        <v>8.6374459977134332E-3</v>
      </c>
      <c r="DL45" s="79">
        <f t="shared" si="36"/>
        <v>8.6374459977134332E-3</v>
      </c>
      <c r="DM45" s="79">
        <f t="shared" si="36"/>
        <v>8.6374459977134332E-3</v>
      </c>
      <c r="DN45" s="79">
        <f t="shared" si="36"/>
        <v>8.6374459977134332E-3</v>
      </c>
      <c r="DO45" s="79">
        <f t="shared" si="36"/>
        <v>8.6374459977134332E-3</v>
      </c>
      <c r="DP45" s="79">
        <f t="shared" si="36"/>
        <v>8.6374459977134332E-3</v>
      </c>
      <c r="DQ45" s="79">
        <f t="shared" si="36"/>
        <v>8.6374459977134332E-3</v>
      </c>
      <c r="DR45" s="79">
        <f t="shared" si="36"/>
        <v>8.6374459977134332E-3</v>
      </c>
      <c r="DS45" s="79">
        <f t="shared" si="36"/>
        <v>8.6374459977134332E-3</v>
      </c>
      <c r="DT45" s="79">
        <f t="shared" si="36"/>
        <v>8.6374459977134332E-3</v>
      </c>
      <c r="DU45" s="79">
        <f t="shared" si="36"/>
        <v>8.6374459977134332E-3</v>
      </c>
      <c r="DV45" s="79">
        <f t="shared" si="36"/>
        <v>8.6374459977134332E-3</v>
      </c>
      <c r="DW45" s="79">
        <f t="shared" si="36"/>
        <v>8.6374459977134332E-3</v>
      </c>
      <c r="DX45" s="79">
        <f t="shared" si="36"/>
        <v>8.6374459977134332E-3</v>
      </c>
      <c r="DY45" s="79">
        <f t="shared" si="36"/>
        <v>8.6374459977134332E-3</v>
      </c>
      <c r="DZ45" s="79">
        <f t="shared" si="36"/>
        <v>8.6374459977134332E-3</v>
      </c>
      <c r="EA45" s="79">
        <f t="shared" si="36"/>
        <v>8.6374459977134332E-3</v>
      </c>
      <c r="EB45" s="79">
        <f t="shared" si="36"/>
        <v>8.6374459977134332E-3</v>
      </c>
      <c r="EC45" s="79">
        <f t="shared" si="36"/>
        <v>8.6374459977134332E-3</v>
      </c>
      <c r="ED45" s="79">
        <f t="shared" si="36"/>
        <v>8.6374459977134332E-3</v>
      </c>
      <c r="EE45" s="79">
        <f t="shared" si="36"/>
        <v>8.6374459977134332E-3</v>
      </c>
      <c r="EF45" s="79">
        <f t="shared" si="36"/>
        <v>8.6374459977134332E-3</v>
      </c>
      <c r="EG45" s="79">
        <f t="shared" si="36"/>
        <v>8.6374459977134332E-3</v>
      </c>
      <c r="EH45" s="79">
        <f t="shared" si="36"/>
        <v>8.6374459977134332E-3</v>
      </c>
      <c r="EI45" s="79">
        <f t="shared" si="36"/>
        <v>8.6374459977134332E-3</v>
      </c>
      <c r="EJ45" s="79">
        <f t="shared" si="36"/>
        <v>8.6374459977134332E-3</v>
      </c>
      <c r="EK45" s="79">
        <f t="shared" ref="EK45:EP45" si="37">HLOOKUP(EK43,$B$5:$GB$36,7,FALSE)</f>
        <v>8.6374459977134332E-3</v>
      </c>
      <c r="EL45" s="79">
        <f t="shared" si="37"/>
        <v>8.6374459977134332E-3</v>
      </c>
      <c r="EM45" s="79">
        <f t="shared" si="37"/>
        <v>8.6374459977134332E-3</v>
      </c>
      <c r="EN45" s="79">
        <f t="shared" si="37"/>
        <v>8.6374459977134332E-3</v>
      </c>
      <c r="EO45" s="79">
        <f t="shared" si="37"/>
        <v>8.6374459977134332E-3</v>
      </c>
      <c r="EP45" s="79">
        <f t="shared" si="37"/>
        <v>8.6374459977134332E-3</v>
      </c>
      <c r="EQ45" s="77"/>
      <c r="ER45" s="77"/>
      <c r="ES45" s="77"/>
    </row>
    <row r="46" spans="1:184">
      <c r="A46" s="54">
        <f t="shared" ref="A46:A61" si="38">A45+1</f>
        <v>4</v>
      </c>
      <c r="B46" s="6" t="s">
        <v>355</v>
      </c>
      <c r="C46" s="80">
        <f t="shared" ref="C46:X46" si="39">D46/(1+D45)</f>
        <v>0.70260479270537135</v>
      </c>
      <c r="D46" s="80">
        <f t="shared" si="39"/>
        <v>0.7001456759309026</v>
      </c>
      <c r="E46" s="80">
        <f t="shared" si="39"/>
        <v>0.70812733663651495</v>
      </c>
      <c r="F46" s="80">
        <f t="shared" si="39"/>
        <v>0.71867843395239894</v>
      </c>
      <c r="G46" s="80">
        <f t="shared" si="39"/>
        <v>0.73822648735590413</v>
      </c>
      <c r="H46" s="80">
        <f t="shared" si="39"/>
        <v>0.76738643360646241</v>
      </c>
      <c r="I46" s="80">
        <f t="shared" si="39"/>
        <v>0.79232649269867239</v>
      </c>
      <c r="J46" s="80">
        <f t="shared" si="39"/>
        <v>0.8078560919555664</v>
      </c>
      <c r="K46" s="80">
        <f t="shared" si="39"/>
        <v>0.82037786138087776</v>
      </c>
      <c r="L46" s="80">
        <f t="shared" si="39"/>
        <v>0.82201861710363955</v>
      </c>
      <c r="M46" s="80">
        <f t="shared" si="39"/>
        <v>0.80952393412366419</v>
      </c>
      <c r="N46" s="80">
        <f t="shared" si="39"/>
        <v>0.81753822107148844</v>
      </c>
      <c r="O46" s="80">
        <f t="shared" si="39"/>
        <v>0.82326098861898878</v>
      </c>
      <c r="P46" s="80">
        <f t="shared" si="39"/>
        <v>0.82910614163818364</v>
      </c>
      <c r="Q46" s="80">
        <f t="shared" si="39"/>
        <v>0.83607063322794439</v>
      </c>
      <c r="R46" s="80">
        <f t="shared" si="39"/>
        <v>0.84902972804297761</v>
      </c>
      <c r="S46" s="80">
        <f t="shared" si="39"/>
        <v>0.85845395802425473</v>
      </c>
      <c r="T46" s="80">
        <f t="shared" si="39"/>
        <v>0.86145854687733969</v>
      </c>
      <c r="U46" s="80">
        <f t="shared" si="39"/>
        <v>0.88359803153208738</v>
      </c>
      <c r="V46" s="80">
        <f t="shared" si="39"/>
        <v>0.91063613129696919</v>
      </c>
      <c r="W46" s="80">
        <f t="shared" si="39"/>
        <v>0.93230927122183704</v>
      </c>
      <c r="X46" s="80">
        <f t="shared" si="39"/>
        <v>0.97277149359286486</v>
      </c>
      <c r="Y46" s="80">
        <f>Z46/(1+Z45)</f>
        <v>0.98784945174355432</v>
      </c>
      <c r="Z46" s="78">
        <v>1</v>
      </c>
      <c r="AA46" s="80">
        <f t="shared" ref="AA46:BP46" si="40">Z46*(1+AA45)</f>
        <v>0.99080000000000001</v>
      </c>
      <c r="AB46" s="80">
        <f t="shared" si="40"/>
        <v>0.98762944000000008</v>
      </c>
      <c r="AC46" s="80">
        <f t="shared" si="40"/>
        <v>0.98397521107200003</v>
      </c>
      <c r="AD46" s="80">
        <f t="shared" si="40"/>
        <v>0.98289283833982088</v>
      </c>
      <c r="AE46" s="80">
        <f t="shared" si="40"/>
        <v>1.010118969961834</v>
      </c>
      <c r="AF46" s="80">
        <f t="shared" si="40"/>
        <v>1.03880634870875</v>
      </c>
      <c r="AG46" s="80">
        <f t="shared" si="40"/>
        <v>1.0604316820314954</v>
      </c>
      <c r="AH46" s="126">
        <f t="shared" si="40"/>
        <v>1.0941716494805456</v>
      </c>
      <c r="AI46" s="80">
        <f t="shared" si="40"/>
        <v>1.1207495928882689</v>
      </c>
      <c r="AJ46" s="80">
        <f t="shared" si="40"/>
        <v>1.1285987348338493</v>
      </c>
      <c r="AK46" s="80">
        <f t="shared" si="40"/>
        <v>1.1395636196805936</v>
      </c>
      <c r="AL46" s="80">
        <f t="shared" si="40"/>
        <v>1.1499497258111462</v>
      </c>
      <c r="AM46" s="80">
        <f t="shared" si="40"/>
        <v>1.1570870768586705</v>
      </c>
      <c r="AN46" s="80">
        <f t="shared" si="40"/>
        <v>1.1833059063428171</v>
      </c>
      <c r="AO46" s="80">
        <f t="shared" si="40"/>
        <v>1.192200831040467</v>
      </c>
      <c r="AP46" s="80">
        <f t="shared" si="40"/>
        <v>1.2047571170175038</v>
      </c>
      <c r="AQ46" s="80">
        <f t="shared" si="40"/>
        <v>1.2190724860427244</v>
      </c>
      <c r="AR46" s="80">
        <f t="shared" si="40"/>
        <v>1.232377007220248</v>
      </c>
      <c r="AS46" s="80">
        <f t="shared" si="40"/>
        <v>1.2414854477999222</v>
      </c>
      <c r="AT46" s="80">
        <f t="shared" si="40"/>
        <v>1.2584613024494735</v>
      </c>
      <c r="AU46" s="80">
        <f t="shared" si="40"/>
        <v>1.2723861648046233</v>
      </c>
      <c r="AV46" s="80">
        <f t="shared" si="40"/>
        <v>1.2864651056294347</v>
      </c>
      <c r="AW46" s="80">
        <f t="shared" si="40"/>
        <v>1.3006998298007106</v>
      </c>
      <c r="AX46" s="80">
        <f t="shared" si="40"/>
        <v>1.3150920610596999</v>
      </c>
      <c r="AY46" s="80">
        <f t="shared" si="40"/>
        <v>1.3296435422208313</v>
      </c>
      <c r="AZ46" s="80">
        <f t="shared" si="40"/>
        <v>1.3443560353827591</v>
      </c>
      <c r="BA46" s="80">
        <f t="shared" si="40"/>
        <v>1.3592313221417425</v>
      </c>
      <c r="BB46" s="80">
        <f t="shared" si="40"/>
        <v>1.3742712038073861</v>
      </c>
      <c r="BC46" s="80">
        <f t="shared" si="40"/>
        <v>1.3894775016207683</v>
      </c>
      <c r="BD46" s="80">
        <f t="shared" si="40"/>
        <v>1.4048520569749829</v>
      </c>
      <c r="BE46" s="80">
        <f t="shared" si="40"/>
        <v>1.4203967316381205</v>
      </c>
      <c r="BF46" s="80">
        <f t="shared" si="40"/>
        <v>1.4361134079787181</v>
      </c>
      <c r="BG46" s="80">
        <f t="shared" si="40"/>
        <v>1.4502640172379575</v>
      </c>
      <c r="BH46" s="80">
        <f t="shared" si="40"/>
        <v>1.4645540582031438</v>
      </c>
      <c r="BI46" s="80">
        <f t="shared" si="40"/>
        <v>1.4789849047515615</v>
      </c>
      <c r="BJ46" s="80">
        <f t="shared" si="40"/>
        <v>1.4935579442978666</v>
      </c>
      <c r="BK46" s="80">
        <f t="shared" si="40"/>
        <v>1.5082745779274755</v>
      </c>
      <c r="BL46" s="80">
        <f t="shared" si="40"/>
        <v>1.5231362205312693</v>
      </c>
      <c r="BM46" s="80">
        <f t="shared" si="40"/>
        <v>1.5381443009416238</v>
      </c>
      <c r="BN46" s="80">
        <f t="shared" si="40"/>
        <v>1.5533002620697811</v>
      </c>
      <c r="BO46" s="80">
        <f t="shared" si="40"/>
        <v>1.5686055610445744</v>
      </c>
      <c r="BP46" s="80">
        <f t="shared" si="40"/>
        <v>1.5840616693525198</v>
      </c>
      <c r="BQ46" s="80">
        <f t="shared" ref="BQ46:DR46" si="41">BP46*(1+BQ45)</f>
        <v>1.5996700729792883</v>
      </c>
      <c r="BR46" s="80">
        <f t="shared" si="41"/>
        <v>1.6154322725525718</v>
      </c>
      <c r="BS46" s="80">
        <f t="shared" si="41"/>
        <v>1.6313497834863568</v>
      </c>
      <c r="BT46" s="80">
        <f t="shared" si="41"/>
        <v>1.6474241361266202</v>
      </c>
      <c r="BU46" s="80">
        <f t="shared" si="41"/>
        <v>1.6636568758984596</v>
      </c>
      <c r="BV46" s="80">
        <f t="shared" si="41"/>
        <v>1.6800495634546744</v>
      </c>
      <c r="BW46" s="80">
        <f t="shared" si="41"/>
        <v>1.6966037748258109</v>
      </c>
      <c r="BX46" s="80">
        <f t="shared" si="41"/>
        <v>1.7133211015716847</v>
      </c>
      <c r="BY46" s="80">
        <f t="shared" si="41"/>
        <v>1.7302031509343976</v>
      </c>
      <c r="BZ46" s="80">
        <f t="shared" si="41"/>
        <v>1.747251545992861</v>
      </c>
      <c r="CA46" s="80">
        <f t="shared" si="41"/>
        <v>1.7644679258188429</v>
      </c>
      <c r="CB46" s="80">
        <f t="shared" si="41"/>
        <v>1.7818539456345517</v>
      </c>
      <c r="CC46" s="80">
        <f t="shared" si="41"/>
        <v>1.7994112769717732</v>
      </c>
      <c r="CD46" s="80">
        <f t="shared" si="41"/>
        <v>1.8171416078325753</v>
      </c>
      <c r="CE46" s="80">
        <f t="shared" si="41"/>
        <v>1.8350466428515966</v>
      </c>
      <c r="CF46" s="80">
        <f t="shared" si="41"/>
        <v>1.8531281034599338</v>
      </c>
      <c r="CG46" s="80">
        <f t="shared" si="41"/>
        <v>1.8713877280506441</v>
      </c>
      <c r="CH46" s="80">
        <f t="shared" si="41"/>
        <v>1.8898272721458782</v>
      </c>
      <c r="CI46" s="80">
        <f t="shared" si="41"/>
        <v>1.9084485085656604</v>
      </c>
      <c r="CJ46" s="80">
        <f t="shared" si="41"/>
        <v>1.927253227598331</v>
      </c>
      <c r="CK46" s="80">
        <f t="shared" si="41"/>
        <v>1.9462432371726697</v>
      </c>
      <c r="CL46" s="80">
        <f t="shared" si="41"/>
        <v>1.9654203630317131</v>
      </c>
      <c r="CM46" s="80">
        <f t="shared" si="41"/>
        <v>1.9823965752802057</v>
      </c>
      <c r="CN46" s="80">
        <f t="shared" si="41"/>
        <v>1.9995194186452405</v>
      </c>
      <c r="CO46" s="80">
        <f t="shared" si="41"/>
        <v>2.0167901596451681</v>
      </c>
      <c r="CP46" s="80">
        <f t="shared" si="41"/>
        <v>2.034210075737823</v>
      </c>
      <c r="CQ46" s="80">
        <f t="shared" si="41"/>
        <v>2.0517804554150132</v>
      </c>
      <c r="CR46" s="80">
        <f t="shared" si="41"/>
        <v>2.0695025982978241</v>
      </c>
      <c r="CS46" s="80">
        <f t="shared" si="41"/>
        <v>2.0873778152327493</v>
      </c>
      <c r="CT46" s="80">
        <f t="shared" si="41"/>
        <v>2.1054074283886473</v>
      </c>
      <c r="CU46" s="80">
        <f t="shared" si="41"/>
        <v>2.1235927713545388</v>
      </c>
      <c r="CV46" s="80">
        <f t="shared" si="41"/>
        <v>2.1419351892382483</v>
      </c>
      <c r="CW46" s="80">
        <f t="shared" si="41"/>
        <v>2.1604360387658956</v>
      </c>
      <c r="CX46" s="80">
        <f t="shared" si="41"/>
        <v>2.1790966883822498</v>
      </c>
      <c r="CY46" s="80">
        <f t="shared" si="41"/>
        <v>2.1979185183519476</v>
      </c>
      <c r="CZ46" s="80">
        <f t="shared" si="41"/>
        <v>2.2169029208615867</v>
      </c>
      <c r="DA46" s="80">
        <f t="shared" si="41"/>
        <v>2.236051300122702</v>
      </c>
      <c r="DB46" s="80">
        <f t="shared" si="41"/>
        <v>2.2553650724756289</v>
      </c>
      <c r="DC46" s="80">
        <f t="shared" si="41"/>
        <v>2.274845666494266</v>
      </c>
      <c r="DD46" s="80">
        <f t="shared" si="41"/>
        <v>2.2944945230917426</v>
      </c>
      <c r="DE46" s="80">
        <f t="shared" si="41"/>
        <v>2.3143130956269968</v>
      </c>
      <c r="DF46" s="80">
        <f t="shared" si="41"/>
        <v>2.3343028500122762</v>
      </c>
      <c r="DG46" s="80">
        <f t="shared" si="41"/>
        <v>2.3544652648215658</v>
      </c>
      <c r="DH46" s="80">
        <f t="shared" si="41"/>
        <v>2.3748018313999539</v>
      </c>
      <c r="DI46" s="80">
        <f t="shared" si="41"/>
        <v>2.3953140539739421</v>
      </c>
      <c r="DJ46" s="80">
        <f t="shared" si="41"/>
        <v>2.4160034497627061</v>
      </c>
      <c r="DK46" s="80">
        <f t="shared" si="41"/>
        <v>2.4368715490903208</v>
      </c>
      <c r="DL46" s="80">
        <f t="shared" si="41"/>
        <v>2.4579198954989527</v>
      </c>
      <c r="DM46" s="80">
        <f t="shared" si="41"/>
        <v>2.4791500458630304</v>
      </c>
      <c r="DN46" s="80">
        <f t="shared" si="41"/>
        <v>2.5005635705044011</v>
      </c>
      <c r="DO46" s="80">
        <f t="shared" si="41"/>
        <v>2.5221620533084823</v>
      </c>
      <c r="DP46" s="80">
        <f t="shared" si="41"/>
        <v>2.5439470918414164</v>
      </c>
      <c r="DQ46" s="80">
        <f t="shared" si="41"/>
        <v>2.5659202974682369</v>
      </c>
      <c r="DR46" s="80">
        <f t="shared" si="41"/>
        <v>2.5880832954720554</v>
      </c>
      <c r="DS46" s="80">
        <f t="shared" ref="DS46:EP46" si="42">DR46*(1+DS45)</f>
        <v>2.6104377251742794</v>
      </c>
      <c r="DT46" s="80">
        <f t="shared" si="42"/>
        <v>2.632985240055866</v>
      </c>
      <c r="DU46" s="80">
        <f t="shared" si="42"/>
        <v>2.6557275078796252</v>
      </c>
      <c r="DV46" s="80">
        <f t="shared" si="42"/>
        <v>2.6786662108135775</v>
      </c>
      <c r="DW46" s="80">
        <f t="shared" si="42"/>
        <v>2.7018030455553794</v>
      </c>
      <c r="DX46" s="80">
        <f t="shared" si="42"/>
        <v>2.7251397234578216</v>
      </c>
      <c r="DY46" s="80">
        <f t="shared" si="42"/>
        <v>2.7486779706554123</v>
      </c>
      <c r="DZ46" s="80">
        <f t="shared" si="42"/>
        <v>2.772419528192053</v>
      </c>
      <c r="EA46" s="80">
        <f t="shared" si="42"/>
        <v>2.796366152149818</v>
      </c>
      <c r="EB46" s="80">
        <f t="shared" si="42"/>
        <v>2.8205196137788455</v>
      </c>
      <c r="EC46" s="80">
        <f t="shared" si="42"/>
        <v>2.8448816996283517</v>
      </c>
      <c r="ED46" s="80">
        <f t="shared" si="42"/>
        <v>2.8694542116787747</v>
      </c>
      <c r="EE46" s="80">
        <f t="shared" si="42"/>
        <v>2.8942389674750615</v>
      </c>
      <c r="EF46" s="80">
        <f t="shared" si="42"/>
        <v>2.9192378002611052</v>
      </c>
      <c r="EG46" s="80">
        <f t="shared" si="42"/>
        <v>2.9444525591153443</v>
      </c>
      <c r="EH46" s="80">
        <f t="shared" si="42"/>
        <v>2.969885109087532</v>
      </c>
      <c r="EI46" s="80">
        <f t="shared" si="42"/>
        <v>2.9955373313366889</v>
      </c>
      <c r="EJ46" s="80">
        <f t="shared" si="42"/>
        <v>3.0214111232702443</v>
      </c>
      <c r="EK46" s="80">
        <f t="shared" si="42"/>
        <v>3.0475083986843816</v>
      </c>
      <c r="EL46" s="80">
        <f t="shared" si="42"/>
        <v>3.0738310879055959</v>
      </c>
      <c r="EM46" s="80">
        <f t="shared" si="42"/>
        <v>3.1003811379334731</v>
      </c>
      <c r="EN46" s="80">
        <f t="shared" si="42"/>
        <v>3.1271605125847026</v>
      </c>
      <c r="EO46" s="80">
        <f t="shared" si="42"/>
        <v>3.1541711926383349</v>
      </c>
      <c r="EP46" s="80">
        <f t="shared" si="42"/>
        <v>3.1814151759822917</v>
      </c>
    </row>
    <row r="47" spans="1:184">
      <c r="A47" s="54">
        <f t="shared" si="38"/>
        <v>5</v>
      </c>
      <c r="B47" s="6" t="s">
        <v>342</v>
      </c>
      <c r="C47" s="81"/>
      <c r="D47" s="82">
        <f>+C46*(D46/C46)^(0.5)</f>
        <v>0.70137415656765822</v>
      </c>
      <c r="E47" s="82">
        <f t="shared" ref="E47:BP47" si="43">+D46*(E46/D46)^(0.5)</f>
        <v>0.70412519678997609</v>
      </c>
      <c r="F47" s="82">
        <f t="shared" si="43"/>
        <v>0.71338337892946013</v>
      </c>
      <c r="G47" s="82">
        <f t="shared" si="43"/>
        <v>0.72838688609496638</v>
      </c>
      <c r="H47" s="82">
        <f t="shared" si="43"/>
        <v>0.75266525848206478</v>
      </c>
      <c r="I47" s="82">
        <f t="shared" si="43"/>
        <v>0.77975675789566001</v>
      </c>
      <c r="J47" s="82">
        <f t="shared" si="43"/>
        <v>0.80005361316877388</v>
      </c>
      <c r="K47" s="82">
        <f t="shared" si="43"/>
        <v>0.81409290196022543</v>
      </c>
      <c r="L47" s="82">
        <f t="shared" si="43"/>
        <v>0.8211978294630049</v>
      </c>
      <c r="M47" s="82">
        <f t="shared" si="43"/>
        <v>0.81574735356029948</v>
      </c>
      <c r="N47" s="82">
        <f t="shared" si="43"/>
        <v>0.81352120870832445</v>
      </c>
      <c r="O47" s="82">
        <f t="shared" si="43"/>
        <v>0.82039461487330767</v>
      </c>
      <c r="P47" s="82">
        <f t="shared" si="43"/>
        <v>0.82617839588985043</v>
      </c>
      <c r="Q47" s="82">
        <f t="shared" si="43"/>
        <v>0.8325811052699994</v>
      </c>
      <c r="R47" s="82">
        <f t="shared" si="43"/>
        <v>0.84252526511330306</v>
      </c>
      <c r="S47" s="82">
        <f t="shared" si="43"/>
        <v>0.85372883898738638</v>
      </c>
      <c r="T47" s="82">
        <f t="shared" si="43"/>
        <v>0.85995494023854246</v>
      </c>
      <c r="U47" s="82">
        <f t="shared" si="43"/>
        <v>0.87245806562109895</v>
      </c>
      <c r="V47" s="82">
        <f t="shared" si="43"/>
        <v>0.89701521339161105</v>
      </c>
      <c r="W47" s="82">
        <f t="shared" si="43"/>
        <v>0.92140897972493763</v>
      </c>
      <c r="X47" s="82">
        <f t="shared" si="43"/>
        <v>0.95232551276175614</v>
      </c>
      <c r="Y47" s="82">
        <f t="shared" si="43"/>
        <v>0.98028148335948384</v>
      </c>
      <c r="Z47" s="82">
        <f>+Y46*(Z46/Y46)^(0.5)</f>
        <v>0.99390615841917107</v>
      </c>
      <c r="AA47" s="82">
        <f>+Z46*(AA46/Z46)^(0.5)</f>
        <v>0.99538937105034431</v>
      </c>
      <c r="AB47" s="82">
        <f t="shared" si="43"/>
        <v>0.98921344974277414</v>
      </c>
      <c r="AC47" s="82">
        <f t="shared" si="43"/>
        <v>0.98580063232122206</v>
      </c>
      <c r="AD47" s="82">
        <f t="shared" si="43"/>
        <v>0.98343387579774899</v>
      </c>
      <c r="AE47" s="82">
        <f t="shared" si="43"/>
        <v>0.99641291714162517</v>
      </c>
      <c r="AF47" s="82">
        <f t="shared" si="43"/>
        <v>1.024362240102346</v>
      </c>
      <c r="AG47" s="82">
        <f t="shared" si="43"/>
        <v>1.0495633204653332</v>
      </c>
      <c r="AH47" s="127">
        <f t="shared" si="43"/>
        <v>1.0771695700723405</v>
      </c>
      <c r="AI47" s="82">
        <f t="shared" si="43"/>
        <v>1.1073808878182823</v>
      </c>
      <c r="AJ47" s="82">
        <f t="shared" si="43"/>
        <v>1.1246673164092802</v>
      </c>
      <c r="AK47" s="82">
        <f t="shared" si="43"/>
        <v>1.1340679254057933</v>
      </c>
      <c r="AL47" s="82">
        <f t="shared" si="43"/>
        <v>1.1447448938501783</v>
      </c>
      <c r="AM47" s="82">
        <f t="shared" si="43"/>
        <v>1.1535128810608266</v>
      </c>
      <c r="AN47" s="82">
        <f t="shared" si="43"/>
        <v>1.1701230585711102</v>
      </c>
      <c r="AO47" s="82">
        <f t="shared" si="43"/>
        <v>1.1877450420511129</v>
      </c>
      <c r="AP47" s="82">
        <f t="shared" si="43"/>
        <v>1.1984625301235685</v>
      </c>
      <c r="AQ47" s="82">
        <f t="shared" si="43"/>
        <v>1.2118936643617682</v>
      </c>
      <c r="AR47" s="82">
        <f t="shared" si="43"/>
        <v>1.2257066949045683</v>
      </c>
      <c r="AS47" s="82">
        <f t="shared" si="43"/>
        <v>1.236922843457569</v>
      </c>
      <c r="AT47" s="82">
        <f t="shared" si="43"/>
        <v>1.2499445562145377</v>
      </c>
      <c r="AU47" s="82">
        <f t="shared" si="43"/>
        <v>1.2654045796419089</v>
      </c>
      <c r="AV47" s="82">
        <f t="shared" si="43"/>
        <v>1.279406269293226</v>
      </c>
      <c r="AW47" s="82">
        <f t="shared" si="43"/>
        <v>1.2935628875075067</v>
      </c>
      <c r="AX47" s="82">
        <f t="shared" si="43"/>
        <v>1.3078761485678285</v>
      </c>
      <c r="AY47" s="82">
        <f t="shared" si="43"/>
        <v>1.3223477857257948</v>
      </c>
      <c r="AZ47" s="82">
        <f t="shared" si="43"/>
        <v>1.3369795514114211</v>
      </c>
      <c r="BA47" s="82">
        <f t="shared" si="43"/>
        <v>1.3517732174453443</v>
      </c>
      <c r="BB47" s="82">
        <f t="shared" si="43"/>
        <v>1.3667305752533807</v>
      </c>
      <c r="BC47" s="82">
        <f t="shared" si="43"/>
        <v>1.3818534360834553</v>
      </c>
      <c r="BD47" s="82">
        <f t="shared" si="43"/>
        <v>1.3971436312249346</v>
      </c>
      <c r="BE47" s="82">
        <f t="shared" si="43"/>
        <v>1.4126030122303845</v>
      </c>
      <c r="BF47" s="82">
        <f t="shared" si="43"/>
        <v>1.4282334511397825</v>
      </c>
      <c r="BG47" s="82">
        <f t="shared" si="43"/>
        <v>1.4431713689872416</v>
      </c>
      <c r="BH47" s="82">
        <f t="shared" si="43"/>
        <v>1.4573915232057049</v>
      </c>
      <c r="BI47" s="82">
        <f t="shared" si="43"/>
        <v>1.4717517943848715</v>
      </c>
      <c r="BJ47" s="82">
        <f t="shared" si="43"/>
        <v>1.48625356315412</v>
      </c>
      <c r="BK47" s="82">
        <f t="shared" si="43"/>
        <v>1.500898223746731</v>
      </c>
      <c r="BL47" s="82">
        <f t="shared" si="43"/>
        <v>1.5156871841339328</v>
      </c>
      <c r="BM47" s="82">
        <f t="shared" si="43"/>
        <v>1.5306218661602662</v>
      </c>
      <c r="BN47" s="82">
        <f t="shared" si="43"/>
        <v>1.5457037056802847</v>
      </c>
      <c r="BO47" s="82">
        <f t="shared" si="43"/>
        <v>1.5609341526966003</v>
      </c>
      <c r="BP47" s="82">
        <f t="shared" si="43"/>
        <v>1.5763146714992899</v>
      </c>
      <c r="BQ47" s="82">
        <f t="shared" ref="BQ47:DR47" si="44">+BP46*(BQ46/BP46)^(0.5)</f>
        <v>1.5918467408066765</v>
      </c>
      <c r="BR47" s="82">
        <f t="shared" si="44"/>
        <v>1.6075318539074956</v>
      </c>
      <c r="BS47" s="82">
        <f t="shared" si="44"/>
        <v>1.6233715188044637</v>
      </c>
      <c r="BT47" s="82">
        <f t="shared" si="44"/>
        <v>1.6393672583592609</v>
      </c>
      <c r="BU47" s="82">
        <f t="shared" si="44"/>
        <v>1.6555206104389433</v>
      </c>
      <c r="BV47" s="82">
        <f t="shared" si="44"/>
        <v>1.6718331280637952</v>
      </c>
      <c r="BW47" s="82">
        <f t="shared" si="44"/>
        <v>1.688306379556642</v>
      </c>
      <c r="BX47" s="82">
        <f t="shared" si="44"/>
        <v>1.7049419486936312</v>
      </c>
      <c r="BY47" s="82">
        <f t="shared" si="44"/>
        <v>1.7217414348565006</v>
      </c>
      <c r="BZ47" s="82">
        <f t="shared" si="44"/>
        <v>1.7387064531863465</v>
      </c>
      <c r="CA47" s="82">
        <f t="shared" si="44"/>
        <v>1.7558386347389072</v>
      </c>
      <c r="CB47" s="82">
        <f t="shared" si="44"/>
        <v>1.7731396266413759</v>
      </c>
      <c r="CC47" s="82">
        <f t="shared" si="44"/>
        <v>1.7906110922507603</v>
      </c>
      <c r="CD47" s="82">
        <f t="shared" si="44"/>
        <v>1.8082547113138001</v>
      </c>
      <c r="CE47" s="82">
        <f t="shared" si="44"/>
        <v>1.8260721801284634</v>
      </c>
      <c r="CF47" s="82">
        <f t="shared" si="44"/>
        <v>1.8440652117070311</v>
      </c>
      <c r="CG47" s="82">
        <f t="shared" si="44"/>
        <v>1.8622355359407907</v>
      </c>
      <c r="CH47" s="82">
        <f t="shared" si="44"/>
        <v>1.8805848997663521</v>
      </c>
      <c r="CI47" s="82">
        <f t="shared" si="44"/>
        <v>1.8991150673336017</v>
      </c>
      <c r="CJ47" s="82">
        <f t="shared" si="44"/>
        <v>1.9178278201753123</v>
      </c>
      <c r="CK47" s="82">
        <f t="shared" si="44"/>
        <v>1.9367249573784222</v>
      </c>
      <c r="CL47" s="82">
        <f t="shared" si="44"/>
        <v>1.955808295757006</v>
      </c>
      <c r="CM47" s="82">
        <f t="shared" si="44"/>
        <v>1.9738902189990319</v>
      </c>
      <c r="CN47" s="82">
        <f t="shared" si="44"/>
        <v>1.9909395891710508</v>
      </c>
      <c r="CO47" s="82">
        <f t="shared" si="44"/>
        <v>2.0081362223572254</v>
      </c>
      <c r="CP47" s="82">
        <f t="shared" si="44"/>
        <v>2.025481390533888</v>
      </c>
      <c r="CQ47" s="82">
        <f t="shared" si="44"/>
        <v>2.0429763766639981</v>
      </c>
      <c r="CR47" s="82">
        <f t="shared" si="44"/>
        <v>2.0606224747920376</v>
      </c>
      <c r="CS47" s="82">
        <f t="shared" si="44"/>
        <v>2.0784209901397284</v>
      </c>
      <c r="CT47" s="82">
        <f t="shared" si="44"/>
        <v>2.0963732392025745</v>
      </c>
      <c r="CU47" s="82">
        <f t="shared" si="44"/>
        <v>2.1144805498472383</v>
      </c>
      <c r="CV47" s="82">
        <f t="shared" si="44"/>
        <v>2.1327442614097594</v>
      </c>
      <c r="CW47" s="82">
        <f t="shared" si="44"/>
        <v>2.1511657247946192</v>
      </c>
      <c r="CX47" s="82">
        <f t="shared" si="44"/>
        <v>2.1697463025746648</v>
      </c>
      <c r="CY47" s="82">
        <f t="shared" si="44"/>
        <v>2.1884873690918916</v>
      </c>
      <c r="CZ47" s="82">
        <f t="shared" si="44"/>
        <v>2.2073903105591008</v>
      </c>
      <c r="DA47" s="82">
        <f t="shared" si="44"/>
        <v>2.2264565251624306</v>
      </c>
      <c r="DB47" s="82">
        <f t="shared" si="44"/>
        <v>2.2456874231647781</v>
      </c>
      <c r="DC47" s="82">
        <f t="shared" si="44"/>
        <v>2.2650844270101085</v>
      </c>
      <c r="DD47" s="82">
        <f t="shared" si="44"/>
        <v>2.2846489714286697</v>
      </c>
      <c r="DE47" s="82">
        <f t="shared" si="44"/>
        <v>2.304382503543116</v>
      </c>
      <c r="DF47" s="82">
        <f t="shared" si="44"/>
        <v>2.3242864829755456</v>
      </c>
      <c r="DG47" s="82">
        <f t="shared" si="44"/>
        <v>2.3443623819554622</v>
      </c>
      <c r="DH47" s="82">
        <f t="shared" si="44"/>
        <v>2.3646116854286734</v>
      </c>
      <c r="DI47" s="82">
        <f t="shared" si="44"/>
        <v>2.3850358911671257</v>
      </c>
      <c r="DJ47" s="82">
        <f t="shared" si="44"/>
        <v>2.4056365098796904</v>
      </c>
      <c r="DK47" s="82">
        <f t="shared" si="44"/>
        <v>2.4264150653239036</v>
      </c>
      <c r="DL47" s="82">
        <f t="shared" si="44"/>
        <v>2.4473730944186771</v>
      </c>
      <c r="DM47" s="82">
        <f t="shared" si="44"/>
        <v>2.4685121473579756</v>
      </c>
      <c r="DN47" s="82">
        <f t="shared" si="44"/>
        <v>2.4898337877254795</v>
      </c>
      <c r="DO47" s="82">
        <f t="shared" si="44"/>
        <v>2.5113395926102409</v>
      </c>
      <c r="DP47" s="82">
        <f t="shared" si="44"/>
        <v>2.5330311527233311</v>
      </c>
      <c r="DQ47" s="82">
        <f t="shared" si="44"/>
        <v>2.5549100725155047</v>
      </c>
      <c r="DR47" s="82">
        <f t="shared" si="44"/>
        <v>2.5769779702958719</v>
      </c>
      <c r="DS47" s="82">
        <f t="shared" ref="DS47:EP47" si="45">+DR46*(DS46/DR46)^(0.5)</f>
        <v>2.5992364783515995</v>
      </c>
      <c r="DT47" s="82">
        <f t="shared" si="45"/>
        <v>2.621687243068648</v>
      </c>
      <c r="DU47" s="82">
        <f t="shared" si="45"/>
        <v>2.6443319250535477</v>
      </c>
      <c r="DV47" s="82">
        <f t="shared" si="45"/>
        <v>2.6671721992562274</v>
      </c>
      <c r="DW47" s="82">
        <f t="shared" si="45"/>
        <v>2.6902097550939055</v>
      </c>
      <c r="DX47" s="82">
        <f t="shared" si="45"/>
        <v>2.7134462965760511</v>
      </c>
      <c r="DY47" s="82">
        <f t="shared" si="45"/>
        <v>2.7368835424304221</v>
      </c>
      <c r="DZ47" s="82">
        <f t="shared" si="45"/>
        <v>2.7605232262301955</v>
      </c>
      <c r="EA47" s="82">
        <f t="shared" si="45"/>
        <v>2.7843670965221925</v>
      </c>
      <c r="EB47" s="82">
        <f t="shared" si="45"/>
        <v>2.808416916956213</v>
      </c>
      <c r="EC47" s="82">
        <f t="shared" si="45"/>
        <v>2.832674466415487</v>
      </c>
      <c r="ED47" s="82">
        <f t="shared" si="45"/>
        <v>2.8571415391482522</v>
      </c>
      <c r="EE47" s="82">
        <f t="shared" si="45"/>
        <v>2.8818199449004691</v>
      </c>
      <c r="EF47" s="82">
        <f t="shared" si="45"/>
        <v>2.9067115090496802</v>
      </c>
      <c r="EG47" s="82">
        <f t="shared" si="45"/>
        <v>2.9318180727400294</v>
      </c>
      <c r="EH47" s="82">
        <f t="shared" si="45"/>
        <v>2.9571414930184416</v>
      </c>
      <c r="EI47" s="82">
        <f t="shared" si="45"/>
        <v>2.9826836429719856</v>
      </c>
      <c r="EJ47" s="82">
        <f t="shared" si="45"/>
        <v>3.0084464118664194</v>
      </c>
      <c r="EK47" s="82">
        <f t="shared" si="45"/>
        <v>3.0344317052859306</v>
      </c>
      <c r="EL47" s="82">
        <f t="shared" si="45"/>
        <v>3.0606414452740873</v>
      </c>
      <c r="EM47" s="82">
        <f t="shared" si="45"/>
        <v>3.0870775704760054</v>
      </c>
      <c r="EN47" s="82">
        <f t="shared" si="45"/>
        <v>3.1137420362817445</v>
      </c>
      <c r="EO47" s="82">
        <f t="shared" si="45"/>
        <v>3.1406368149709381</v>
      </c>
      <c r="EP47" s="82">
        <f t="shared" si="45"/>
        <v>3.16776389585868</v>
      </c>
    </row>
    <row r="48" spans="1:184">
      <c r="A48" s="54">
        <f t="shared" si="38"/>
        <v>6</v>
      </c>
      <c r="B48" s="6" t="s">
        <v>330</v>
      </c>
      <c r="C48" s="79">
        <f t="shared" ref="C48:AJ48" si="46">HLOOKUP(C43,$B$5:$GB$36,8,FALSE)</f>
        <v>5.1299999999999998E-2</v>
      </c>
      <c r="D48" s="79">
        <f t="shared" si="46"/>
        <v>1.43E-2</v>
      </c>
      <c r="E48" s="79">
        <f t="shared" si="46"/>
        <v>1.32E-2</v>
      </c>
      <c r="F48" s="79">
        <f t="shared" si="46"/>
        <v>1.15E-2</v>
      </c>
      <c r="G48" s="79">
        <f t="shared" si="46"/>
        <v>1.8499999999999999E-2</v>
      </c>
      <c r="H48" s="79">
        <f t="shared" si="46"/>
        <v>1.6E-2</v>
      </c>
      <c r="I48" s="79">
        <f t="shared" si="46"/>
        <v>1.9400000000000001E-2</v>
      </c>
      <c r="J48" s="79">
        <f t="shared" si="46"/>
        <v>0.02</v>
      </c>
      <c r="K48" s="79">
        <f t="shared" si="46"/>
        <v>1.7899999999999999E-2</v>
      </c>
      <c r="L48" s="79">
        <f t="shared" si="46"/>
        <v>1.35E-2</v>
      </c>
      <c r="M48" s="79">
        <f t="shared" si="46"/>
        <v>7.7000000000000002E-3</v>
      </c>
      <c r="N48" s="79">
        <f t="shared" si="46"/>
        <v>1.67E-2</v>
      </c>
      <c r="O48" s="79">
        <f t="shared" si="46"/>
        <v>1.44E-2</v>
      </c>
      <c r="P48" s="79">
        <f t="shared" si="46"/>
        <v>1E-3</v>
      </c>
      <c r="Q48" s="79">
        <f t="shared" si="46"/>
        <v>4.4999999999999997E-3</v>
      </c>
      <c r="R48" s="79">
        <f t="shared" si="46"/>
        <v>1.12E-2</v>
      </c>
      <c r="S48" s="79">
        <f t="shared" si="46"/>
        <v>1.26E-2</v>
      </c>
      <c r="T48" s="79">
        <f t="shared" si="46"/>
        <v>8.0999999999999996E-3</v>
      </c>
      <c r="U48" s="79">
        <f t="shared" si="46"/>
        <v>8.8999999999999999E-3</v>
      </c>
      <c r="V48" s="79">
        <f t="shared" si="46"/>
        <v>8.6E-3</v>
      </c>
      <c r="W48" s="79">
        <f t="shared" si="46"/>
        <v>1.52E-2</v>
      </c>
      <c r="X48" s="79">
        <f t="shared" si="46"/>
        <v>2.0899999999999998E-2</v>
      </c>
      <c r="Y48" s="79">
        <f t="shared" si="46"/>
        <v>1.0699999999999999E-2</v>
      </c>
      <c r="Z48" s="79">
        <f t="shared" si="46"/>
        <v>1.09E-2</v>
      </c>
      <c r="AA48" s="79">
        <f t="shared" si="46"/>
        <v>1.23E-2</v>
      </c>
      <c r="AB48" s="79">
        <f t="shared" si="46"/>
        <v>1.32E-2</v>
      </c>
      <c r="AC48" s="79">
        <f t="shared" si="46"/>
        <v>6.3E-3</v>
      </c>
      <c r="AD48" s="79">
        <f t="shared" si="46"/>
        <v>1.06E-2</v>
      </c>
      <c r="AE48" s="79">
        <f t="shared" si="46"/>
        <v>2.06E-2</v>
      </c>
      <c r="AF48" s="79">
        <f t="shared" si="46"/>
        <v>0.01</v>
      </c>
      <c r="AG48" s="79">
        <f t="shared" si="46"/>
        <v>5.0022901799999797E-3</v>
      </c>
      <c r="AH48" s="125">
        <f t="shared" si="46"/>
        <v>2.2262182174999978E-2</v>
      </c>
      <c r="AI48" s="79">
        <f t="shared" si="46"/>
        <v>2.4395694559999903E-2</v>
      </c>
      <c r="AJ48" s="79">
        <f t="shared" si="46"/>
        <v>1.3954844285000156E-2</v>
      </c>
      <c r="AK48" s="130">
        <f t="shared" ref="AK48:AR48" si="47">HLOOKUP(AK43,$B$5:$GB$36,8,FALSE)+$E$39</f>
        <v>1.0634041376000214E-2</v>
      </c>
      <c r="AL48" s="130">
        <f t="shared" si="47"/>
        <v>1.4569971799999859E-2</v>
      </c>
      <c r="AM48" s="130">
        <f t="shared" si="47"/>
        <v>1.224646292000009E-2</v>
      </c>
      <c r="AN48" s="130">
        <f t="shared" si="47"/>
        <v>1.2243007439999953E-2</v>
      </c>
      <c r="AO48" s="130">
        <f t="shared" si="47"/>
        <v>6.6094500000000167E-3</v>
      </c>
      <c r="AP48" s="130">
        <f t="shared" si="47"/>
        <v>1.8411424399999987E-2</v>
      </c>
      <c r="AQ48" s="130">
        <f t="shared" si="47"/>
        <v>1.8753775170560205E-2</v>
      </c>
      <c r="AR48" s="130">
        <f t="shared" si="47"/>
        <v>1.0674067800319875E-2</v>
      </c>
      <c r="AS48" s="79">
        <f t="shared" ref="AS48:BX48" si="48">HLOOKUP(AS43,$B$5:$GB$36,8,FALSE)</f>
        <v>8.941541608000092E-3</v>
      </c>
      <c r="AT48" s="79">
        <f t="shared" si="48"/>
        <v>2.1106668243200177E-2</v>
      </c>
      <c r="AU48" s="79">
        <f t="shared" si="48"/>
        <v>1.1064990499148664E-2</v>
      </c>
      <c r="AV48" s="79">
        <f t="shared" si="48"/>
        <v>1.1064990499148664E-2</v>
      </c>
      <c r="AW48" s="79">
        <f t="shared" si="48"/>
        <v>1.1064990499148664E-2</v>
      </c>
      <c r="AX48" s="79">
        <f t="shared" si="48"/>
        <v>1.1064990499148664E-2</v>
      </c>
      <c r="AY48" s="79">
        <f t="shared" si="48"/>
        <v>1.1064990499148664E-2</v>
      </c>
      <c r="AZ48" s="79">
        <f t="shared" si="48"/>
        <v>1.1064990499148664E-2</v>
      </c>
      <c r="BA48" s="79">
        <f t="shared" si="48"/>
        <v>1.1064990499148664E-2</v>
      </c>
      <c r="BB48" s="79">
        <f t="shared" si="48"/>
        <v>1.1064990499148664E-2</v>
      </c>
      <c r="BC48" s="79">
        <f t="shared" si="48"/>
        <v>1.1064990499148664E-2</v>
      </c>
      <c r="BD48" s="79">
        <f t="shared" si="48"/>
        <v>1.1064990499148664E-2</v>
      </c>
      <c r="BE48" s="79">
        <f t="shared" si="48"/>
        <v>1.1064990499148664E-2</v>
      </c>
      <c r="BF48" s="79">
        <f t="shared" si="48"/>
        <v>1.1064990499148664E-2</v>
      </c>
      <c r="BG48" s="79">
        <f t="shared" si="48"/>
        <v>9.8534065489688238E-3</v>
      </c>
      <c r="BH48" s="79">
        <f t="shared" si="48"/>
        <v>9.8534065489688238E-3</v>
      </c>
      <c r="BI48" s="79">
        <f t="shared" si="48"/>
        <v>9.8534065489688238E-3</v>
      </c>
      <c r="BJ48" s="79">
        <f t="shared" si="48"/>
        <v>9.8534065489688238E-3</v>
      </c>
      <c r="BK48" s="79">
        <f t="shared" si="48"/>
        <v>9.8534065489688238E-3</v>
      </c>
      <c r="BL48" s="79">
        <f t="shared" si="48"/>
        <v>9.8534065489688238E-3</v>
      </c>
      <c r="BM48" s="79">
        <f t="shared" si="48"/>
        <v>9.8534065489688238E-3</v>
      </c>
      <c r="BN48" s="79">
        <f t="shared" si="48"/>
        <v>9.8534065489688238E-3</v>
      </c>
      <c r="BO48" s="79">
        <f t="shared" si="48"/>
        <v>9.8534065489688238E-3</v>
      </c>
      <c r="BP48" s="79">
        <f t="shared" si="48"/>
        <v>9.8534065489688238E-3</v>
      </c>
      <c r="BQ48" s="79">
        <f t="shared" si="48"/>
        <v>9.8534065489688238E-3</v>
      </c>
      <c r="BR48" s="79">
        <f t="shared" si="48"/>
        <v>9.8534065489688238E-3</v>
      </c>
      <c r="BS48" s="79">
        <f t="shared" si="48"/>
        <v>9.8534065489688238E-3</v>
      </c>
      <c r="BT48" s="79">
        <f t="shared" si="48"/>
        <v>9.8534065489688238E-3</v>
      </c>
      <c r="BU48" s="79">
        <f t="shared" si="48"/>
        <v>9.8534065489688238E-3</v>
      </c>
      <c r="BV48" s="79">
        <f t="shared" si="48"/>
        <v>9.8534065489688238E-3</v>
      </c>
      <c r="BW48" s="79">
        <f t="shared" si="48"/>
        <v>9.8534065489688238E-3</v>
      </c>
      <c r="BX48" s="79">
        <f t="shared" si="48"/>
        <v>9.8534065489688238E-3</v>
      </c>
      <c r="BY48" s="79">
        <f t="shared" ref="BY48:DD48" si="49">HLOOKUP(BY43,$B$5:$GB$36,8,FALSE)</f>
        <v>9.8534065489688238E-3</v>
      </c>
      <c r="BZ48" s="79">
        <f t="shared" si="49"/>
        <v>9.8534065489688238E-3</v>
      </c>
      <c r="CA48" s="79">
        <f t="shared" si="49"/>
        <v>9.8534065489688238E-3</v>
      </c>
      <c r="CB48" s="79">
        <f t="shared" si="49"/>
        <v>9.8534065489688238E-3</v>
      </c>
      <c r="CC48" s="79">
        <f t="shared" si="49"/>
        <v>9.8534065489688238E-3</v>
      </c>
      <c r="CD48" s="79">
        <f t="shared" si="49"/>
        <v>9.8534065489688238E-3</v>
      </c>
      <c r="CE48" s="79">
        <f t="shared" si="49"/>
        <v>9.8534065489688238E-3</v>
      </c>
      <c r="CF48" s="79">
        <f t="shared" si="49"/>
        <v>9.8534065489688238E-3</v>
      </c>
      <c r="CG48" s="79">
        <f t="shared" si="49"/>
        <v>9.8534065489688238E-3</v>
      </c>
      <c r="CH48" s="79">
        <f t="shared" si="49"/>
        <v>9.8534065489688238E-3</v>
      </c>
      <c r="CI48" s="79">
        <f t="shared" si="49"/>
        <v>9.8534065489688238E-3</v>
      </c>
      <c r="CJ48" s="79">
        <f t="shared" si="49"/>
        <v>9.8534065489688238E-3</v>
      </c>
      <c r="CK48" s="79">
        <f t="shared" si="49"/>
        <v>9.8534065489688238E-3</v>
      </c>
      <c r="CL48" s="79">
        <f t="shared" si="49"/>
        <v>9.8534065489688238E-3</v>
      </c>
      <c r="CM48" s="79">
        <f t="shared" si="49"/>
        <v>8.6374459977134332E-3</v>
      </c>
      <c r="CN48" s="79">
        <f t="shared" si="49"/>
        <v>8.6374459977134332E-3</v>
      </c>
      <c r="CO48" s="79">
        <f t="shared" si="49"/>
        <v>8.6374459977134332E-3</v>
      </c>
      <c r="CP48" s="79">
        <f t="shared" si="49"/>
        <v>8.6374459977134332E-3</v>
      </c>
      <c r="CQ48" s="79">
        <f t="shared" si="49"/>
        <v>8.6374459977134332E-3</v>
      </c>
      <c r="CR48" s="79">
        <f t="shared" si="49"/>
        <v>8.6374459977134332E-3</v>
      </c>
      <c r="CS48" s="79">
        <f t="shared" si="49"/>
        <v>8.6374459977134332E-3</v>
      </c>
      <c r="CT48" s="79">
        <f t="shared" si="49"/>
        <v>8.6374459977134332E-3</v>
      </c>
      <c r="CU48" s="79">
        <f t="shared" si="49"/>
        <v>8.6374459977134332E-3</v>
      </c>
      <c r="CV48" s="79">
        <f t="shared" si="49"/>
        <v>8.6374459977134332E-3</v>
      </c>
      <c r="CW48" s="79">
        <f t="shared" si="49"/>
        <v>8.6374459977134332E-3</v>
      </c>
      <c r="CX48" s="79">
        <f t="shared" si="49"/>
        <v>8.6374459977134332E-3</v>
      </c>
      <c r="CY48" s="79">
        <f t="shared" si="49"/>
        <v>8.6374459977134332E-3</v>
      </c>
      <c r="CZ48" s="79">
        <f t="shared" si="49"/>
        <v>8.6374459977134332E-3</v>
      </c>
      <c r="DA48" s="79">
        <f t="shared" si="49"/>
        <v>8.6374459977134332E-3</v>
      </c>
      <c r="DB48" s="79">
        <f t="shared" si="49"/>
        <v>8.6374459977134332E-3</v>
      </c>
      <c r="DC48" s="79">
        <f t="shared" si="49"/>
        <v>8.6374459977134332E-3</v>
      </c>
      <c r="DD48" s="79">
        <f t="shared" si="49"/>
        <v>8.6374459977134332E-3</v>
      </c>
      <c r="DE48" s="79">
        <f t="shared" ref="DE48:EJ48" si="50">HLOOKUP(DE43,$B$5:$GB$36,8,FALSE)</f>
        <v>8.6374459977134332E-3</v>
      </c>
      <c r="DF48" s="79">
        <f t="shared" si="50"/>
        <v>8.6374459977134332E-3</v>
      </c>
      <c r="DG48" s="79">
        <f t="shared" si="50"/>
        <v>8.6374459977134332E-3</v>
      </c>
      <c r="DH48" s="79">
        <f t="shared" si="50"/>
        <v>8.6374459977134332E-3</v>
      </c>
      <c r="DI48" s="79">
        <f t="shared" si="50"/>
        <v>8.6374459977134332E-3</v>
      </c>
      <c r="DJ48" s="79">
        <f t="shared" si="50"/>
        <v>8.6374459977134332E-3</v>
      </c>
      <c r="DK48" s="79">
        <f t="shared" si="50"/>
        <v>8.6374459977134332E-3</v>
      </c>
      <c r="DL48" s="79">
        <f t="shared" si="50"/>
        <v>8.6374459977134332E-3</v>
      </c>
      <c r="DM48" s="79">
        <f t="shared" si="50"/>
        <v>8.6374459977134332E-3</v>
      </c>
      <c r="DN48" s="79">
        <f t="shared" si="50"/>
        <v>8.6374459977134332E-3</v>
      </c>
      <c r="DO48" s="79">
        <f t="shared" si="50"/>
        <v>8.6374459977134332E-3</v>
      </c>
      <c r="DP48" s="79">
        <f t="shared" si="50"/>
        <v>8.6374459977134332E-3</v>
      </c>
      <c r="DQ48" s="79">
        <f t="shared" si="50"/>
        <v>8.6374459977134332E-3</v>
      </c>
      <c r="DR48" s="79">
        <f t="shared" si="50"/>
        <v>8.6374459977134332E-3</v>
      </c>
      <c r="DS48" s="79">
        <f t="shared" si="50"/>
        <v>8.6374459977134332E-3</v>
      </c>
      <c r="DT48" s="79">
        <f t="shared" si="50"/>
        <v>8.6374459977134332E-3</v>
      </c>
      <c r="DU48" s="79">
        <f t="shared" si="50"/>
        <v>8.6374459977134332E-3</v>
      </c>
      <c r="DV48" s="79">
        <f t="shared" si="50"/>
        <v>8.6374459977134332E-3</v>
      </c>
      <c r="DW48" s="79">
        <f t="shared" si="50"/>
        <v>8.6374459977134332E-3</v>
      </c>
      <c r="DX48" s="79">
        <f t="shared" si="50"/>
        <v>8.6374459977134332E-3</v>
      </c>
      <c r="DY48" s="79">
        <f t="shared" si="50"/>
        <v>8.6374459977134332E-3</v>
      </c>
      <c r="DZ48" s="79">
        <f t="shared" si="50"/>
        <v>8.6374459977134332E-3</v>
      </c>
      <c r="EA48" s="79">
        <f t="shared" si="50"/>
        <v>8.6374459977134332E-3</v>
      </c>
      <c r="EB48" s="79">
        <f t="shared" si="50"/>
        <v>8.6374459977134332E-3</v>
      </c>
      <c r="EC48" s="79">
        <f t="shared" si="50"/>
        <v>8.6374459977134332E-3</v>
      </c>
      <c r="ED48" s="79">
        <f t="shared" si="50"/>
        <v>8.6374459977134332E-3</v>
      </c>
      <c r="EE48" s="79">
        <f t="shared" si="50"/>
        <v>8.6374459977134332E-3</v>
      </c>
      <c r="EF48" s="79">
        <f t="shared" si="50"/>
        <v>8.6374459977134332E-3</v>
      </c>
      <c r="EG48" s="79">
        <f t="shared" si="50"/>
        <v>8.6374459977134332E-3</v>
      </c>
      <c r="EH48" s="79">
        <f t="shared" si="50"/>
        <v>8.6374459977134332E-3</v>
      </c>
      <c r="EI48" s="79">
        <f t="shared" si="50"/>
        <v>8.6374459977134332E-3</v>
      </c>
      <c r="EJ48" s="79">
        <f t="shared" si="50"/>
        <v>8.6374459977134332E-3</v>
      </c>
      <c r="EK48" s="79">
        <f t="shared" ref="EK48:EP48" si="51">HLOOKUP(EK43,$B$5:$GB$36,8,FALSE)</f>
        <v>8.6374459977134332E-3</v>
      </c>
      <c r="EL48" s="79">
        <f t="shared" si="51"/>
        <v>8.6374459977134332E-3</v>
      </c>
      <c r="EM48" s="79">
        <f t="shared" si="51"/>
        <v>8.6374459977134332E-3</v>
      </c>
      <c r="EN48" s="79">
        <f t="shared" si="51"/>
        <v>8.6374459977134332E-3</v>
      </c>
      <c r="EO48" s="79">
        <f t="shared" si="51"/>
        <v>8.6374459977134332E-3</v>
      </c>
      <c r="EP48" s="79">
        <f t="shared" si="51"/>
        <v>8.6374459977134332E-3</v>
      </c>
    </row>
    <row r="49" spans="1:146">
      <c r="A49" s="54">
        <f t="shared" si="38"/>
        <v>7</v>
      </c>
      <c r="B49" s="6" t="s">
        <v>356</v>
      </c>
      <c r="C49" s="80">
        <f t="shared" ref="C49:X49" si="52">D49/(1+D48)</f>
        <v>0.74561699022630956</v>
      </c>
      <c r="D49" s="80">
        <f t="shared" si="52"/>
        <v>0.75627931318654573</v>
      </c>
      <c r="E49" s="80">
        <f t="shared" si="52"/>
        <v>0.76626220012060819</v>
      </c>
      <c r="F49" s="80">
        <f t="shared" si="52"/>
        <v>0.77507421542199528</v>
      </c>
      <c r="G49" s="80">
        <f t="shared" si="52"/>
        <v>0.78941308840730218</v>
      </c>
      <c r="H49" s="80">
        <f t="shared" si="52"/>
        <v>0.80204369782181906</v>
      </c>
      <c r="I49" s="80">
        <f t="shared" si="52"/>
        <v>0.81760334555956238</v>
      </c>
      <c r="J49" s="80">
        <f t="shared" si="52"/>
        <v>0.83395541247075367</v>
      </c>
      <c r="K49" s="80">
        <f t="shared" si="52"/>
        <v>0.84888321435398018</v>
      </c>
      <c r="L49" s="80">
        <f t="shared" si="52"/>
        <v>0.86034313774775895</v>
      </c>
      <c r="M49" s="80">
        <f t="shared" si="52"/>
        <v>0.86696777990841667</v>
      </c>
      <c r="N49" s="80">
        <f t="shared" si="52"/>
        <v>0.88144614183288716</v>
      </c>
      <c r="O49" s="80">
        <f t="shared" si="52"/>
        <v>0.89413896627528067</v>
      </c>
      <c r="P49" s="80">
        <f t="shared" si="52"/>
        <v>0.89503310524155588</v>
      </c>
      <c r="Q49" s="80">
        <f t="shared" si="52"/>
        <v>0.89906075421514287</v>
      </c>
      <c r="R49" s="80">
        <f t="shared" si="52"/>
        <v>0.90913023466235254</v>
      </c>
      <c r="S49" s="80">
        <f t="shared" si="52"/>
        <v>0.92058527561909809</v>
      </c>
      <c r="T49" s="80">
        <f t="shared" si="52"/>
        <v>0.92804201635161276</v>
      </c>
      <c r="U49" s="80">
        <f t="shared" si="52"/>
        <v>0.93630159029714199</v>
      </c>
      <c r="V49" s="80">
        <f t="shared" si="52"/>
        <v>0.9443537839736974</v>
      </c>
      <c r="W49" s="80">
        <f t="shared" si="52"/>
        <v>0.95870796149009774</v>
      </c>
      <c r="X49" s="80">
        <f t="shared" si="52"/>
        <v>0.97874495788524074</v>
      </c>
      <c r="Y49" s="80">
        <f>Z49/(1+Z48)</f>
        <v>0.98921752893461279</v>
      </c>
      <c r="Z49" s="78">
        <v>1</v>
      </c>
      <c r="AA49" s="80">
        <f t="shared" ref="AA49:BF49" si="53">Z49*(1+AA48)</f>
        <v>1.0123</v>
      </c>
      <c r="AB49" s="80">
        <f t="shared" si="53"/>
        <v>1.0256623600000001</v>
      </c>
      <c r="AC49" s="80">
        <f t="shared" si="53"/>
        <v>1.0321240328680001</v>
      </c>
      <c r="AD49" s="80">
        <f t="shared" si="53"/>
        <v>1.0430645476164009</v>
      </c>
      <c r="AE49" s="80">
        <f t="shared" si="53"/>
        <v>1.0645516772972987</v>
      </c>
      <c r="AF49" s="80">
        <f t="shared" si="53"/>
        <v>1.0751971940702718</v>
      </c>
      <c r="AG49" s="80">
        <f t="shared" si="53"/>
        <v>1.0805756424357331</v>
      </c>
      <c r="AH49" s="126">
        <f t="shared" si="53"/>
        <v>1.1046316142415051</v>
      </c>
      <c r="AI49" s="80">
        <f t="shared" si="53"/>
        <v>1.1315798697038606</v>
      </c>
      <c r="AJ49" s="80">
        <f t="shared" si="53"/>
        <v>1.1473708905816187</v>
      </c>
      <c r="AK49" s="80">
        <f t="shared" si="53"/>
        <v>1.1595720801056819</v>
      </c>
      <c r="AL49" s="80">
        <f t="shared" si="53"/>
        <v>1.1764670126128889</v>
      </c>
      <c r="AM49" s="80">
        <f t="shared" si="53"/>
        <v>1.1908745722594558</v>
      </c>
      <c r="AN49" s="80">
        <f t="shared" si="53"/>
        <v>1.2054544585077351</v>
      </c>
      <c r="AO49" s="80">
        <f t="shared" si="53"/>
        <v>1.2134218494785192</v>
      </c>
      <c r="AP49" s="80">
        <f t="shared" si="53"/>
        <v>1.235762674125501</v>
      </c>
      <c r="AQ49" s="80">
        <f t="shared" si="53"/>
        <v>1.258937889480221</v>
      </c>
      <c r="AR49" s="80">
        <f t="shared" si="53"/>
        <v>1.2723758778689245</v>
      </c>
      <c r="AS49" s="80">
        <f t="shared" si="53"/>
        <v>1.2837528797219051</v>
      </c>
      <c r="AT49" s="80">
        <f t="shared" si="53"/>
        <v>1.3108486258604481</v>
      </c>
      <c r="AU49" s="80">
        <f t="shared" si="53"/>
        <v>1.325353153451416</v>
      </c>
      <c r="AV49" s="80">
        <f t="shared" si="53"/>
        <v>1.3400181735023726</v>
      </c>
      <c r="AW49" s="80">
        <f t="shared" si="53"/>
        <v>1.354845461860863</v>
      </c>
      <c r="AX49" s="80">
        <f t="shared" si="53"/>
        <v>1.3698368140241681</v>
      </c>
      <c r="AY49" s="80">
        <f t="shared" si="53"/>
        <v>1.3849940453567295</v>
      </c>
      <c r="AZ49" s="80">
        <f t="shared" si="53"/>
        <v>1.4003189913099792</v>
      </c>
      <c r="BA49" s="80">
        <f t="shared" si="53"/>
        <v>1.4158135076446015</v>
      </c>
      <c r="BB49" s="80">
        <f t="shared" si="53"/>
        <v>1.4314794706552554</v>
      </c>
      <c r="BC49" s="80">
        <f t="shared" si="53"/>
        <v>1.447318777397782</v>
      </c>
      <c r="BD49" s="80">
        <f t="shared" si="53"/>
        <v>1.4633333459189279</v>
      </c>
      <c r="BE49" s="80">
        <f t="shared" si="53"/>
        <v>1.4795251154886082</v>
      </c>
      <c r="BF49" s="80">
        <f t="shared" si="53"/>
        <v>1.4958960468347415</v>
      </c>
      <c r="BG49" s="80">
        <f t="shared" ref="BG49:CL49" si="54">BF49*(1+BG48)</f>
        <v>1.5106357187391994</v>
      </c>
      <c r="BH49" s="80">
        <f t="shared" si="54"/>
        <v>1.5255206266233305</v>
      </c>
      <c r="BI49" s="80">
        <f t="shared" si="54"/>
        <v>1.5405522015562878</v>
      </c>
      <c r="BJ49" s="80">
        <f t="shared" si="54"/>
        <v>1.5557318887081308</v>
      </c>
      <c r="BK49" s="80">
        <f t="shared" si="54"/>
        <v>1.5710611474887672</v>
      </c>
      <c r="BL49" s="80">
        <f t="shared" si="54"/>
        <v>1.5865414516882634</v>
      </c>
      <c r="BM49" s="80">
        <f t="shared" si="54"/>
        <v>1.6021742896185391</v>
      </c>
      <c r="BN49" s="80">
        <f t="shared" si="54"/>
        <v>1.617961164256456</v>
      </c>
      <c r="BO49" s="80">
        <f t="shared" si="54"/>
        <v>1.6339035933883177</v>
      </c>
      <c r="BP49" s="80">
        <f t="shared" si="54"/>
        <v>1.6500031097557939</v>
      </c>
      <c r="BQ49" s="80">
        <f t="shared" si="54"/>
        <v>1.6662612612032806</v>
      </c>
      <c r="BR49" s="80">
        <f t="shared" si="54"/>
        <v>1.6826796108267139</v>
      </c>
      <c r="BS49" s="80">
        <f t="shared" si="54"/>
        <v>1.6992597371238503</v>
      </c>
      <c r="BT49" s="80">
        <f t="shared" si="54"/>
        <v>1.7160032341460254</v>
      </c>
      <c r="BU49" s="80">
        <f t="shared" si="54"/>
        <v>1.7329117116514114</v>
      </c>
      <c r="BV49" s="80">
        <f t="shared" si="54"/>
        <v>1.7499867952597823</v>
      </c>
      <c r="BW49" s="80">
        <f t="shared" si="54"/>
        <v>1.767230126608804</v>
      </c>
      <c r="BX49" s="80">
        <f t="shared" si="54"/>
        <v>1.7846433635118661</v>
      </c>
      <c r="BY49" s="80">
        <f t="shared" si="54"/>
        <v>1.8022281801174678</v>
      </c>
      <c r="BZ49" s="80">
        <f t="shared" si="54"/>
        <v>1.8199862670701734</v>
      </c>
      <c r="CA49" s="80">
        <f t="shared" si="54"/>
        <v>1.8379193316731559</v>
      </c>
      <c r="CB49" s="80">
        <f t="shared" si="54"/>
        <v>1.8560290980523406</v>
      </c>
      <c r="CC49" s="80">
        <f t="shared" si="54"/>
        <v>1.8743173073221662</v>
      </c>
      <c r="CD49" s="80">
        <f t="shared" si="54"/>
        <v>1.8927857177529801</v>
      </c>
      <c r="CE49" s="80">
        <f t="shared" si="54"/>
        <v>1.9114361049400819</v>
      </c>
      <c r="CF49" s="80">
        <f t="shared" si="54"/>
        <v>1.9302702619744339</v>
      </c>
      <c r="CG49" s="80">
        <f t="shared" si="54"/>
        <v>1.9492899996150526</v>
      </c>
      <c r="CH49" s="80">
        <f t="shared" si="54"/>
        <v>1.9684971464630989</v>
      </c>
      <c r="CI49" s="80">
        <f t="shared" si="54"/>
        <v>1.9878935491376848</v>
      </c>
      <c r="CJ49" s="80">
        <f t="shared" si="54"/>
        <v>2.0074810724534111</v>
      </c>
      <c r="CK49" s="80">
        <f t="shared" si="54"/>
        <v>2.0272615995996546</v>
      </c>
      <c r="CL49" s="80">
        <f t="shared" si="54"/>
        <v>2.0472370323216227</v>
      </c>
      <c r="CM49" s="80">
        <f t="shared" ref="CM49:DR49" si="55">CL49*(1+CM48)</f>
        <v>2.0649199316328199</v>
      </c>
      <c r="CN49" s="80">
        <f t="shared" si="55"/>
        <v>2.0827555660319006</v>
      </c>
      <c r="CO49" s="80">
        <f t="shared" si="55"/>
        <v>2.1007452547599383</v>
      </c>
      <c r="CP49" s="80">
        <f t="shared" si="55"/>
        <v>2.1188903284528799</v>
      </c>
      <c r="CQ49" s="80">
        <f t="shared" si="55"/>
        <v>2.1371921292399692</v>
      </c>
      <c r="CR49" s="80">
        <f t="shared" si="55"/>
        <v>2.1556520108430175</v>
      </c>
      <c r="CS49" s="80">
        <f t="shared" si="55"/>
        <v>2.1742713386765362</v>
      </c>
      <c r="CT49" s="80">
        <f t="shared" si="55"/>
        <v>2.193051489948731</v>
      </c>
      <c r="CU49" s="80">
        <f t="shared" si="55"/>
        <v>2.2119938537633681</v>
      </c>
      <c r="CV49" s="80">
        <f t="shared" si="55"/>
        <v>2.2310998312225232</v>
      </c>
      <c r="CW49" s="80">
        <f t="shared" si="55"/>
        <v>2.2503708355302154</v>
      </c>
      <c r="CX49" s="80">
        <f t="shared" si="55"/>
        <v>2.2698082920969371</v>
      </c>
      <c r="CY49" s="80">
        <f t="shared" si="55"/>
        <v>2.2894136386450867</v>
      </c>
      <c r="CZ49" s="80">
        <f t="shared" si="55"/>
        <v>2.3091883253153123</v>
      </c>
      <c r="DA49" s="80">
        <f t="shared" si="55"/>
        <v>2.3291338147737735</v>
      </c>
      <c r="DB49" s="80">
        <f t="shared" si="55"/>
        <v>2.3492515823203304</v>
      </c>
      <c r="DC49" s="80">
        <f t="shared" si="55"/>
        <v>2.369543115997665</v>
      </c>
      <c r="DD49" s="80">
        <f t="shared" si="55"/>
        <v>2.3900099167013482</v>
      </c>
      <c r="DE49" s="80">
        <f t="shared" si="55"/>
        <v>2.4106534982908556</v>
      </c>
      <c r="DF49" s="80">
        <f t="shared" si="55"/>
        <v>2.4314753877015418</v>
      </c>
      <c r="DG49" s="80">
        <f t="shared" si="55"/>
        <v>2.4524771250575834</v>
      </c>
      <c r="DH49" s="80">
        <f t="shared" si="55"/>
        <v>2.473660263785896</v>
      </c>
      <c r="DI49" s="80">
        <f t="shared" si="55"/>
        <v>2.4950263707310363</v>
      </c>
      <c r="DJ49" s="80">
        <f t="shared" si="55"/>
        <v>2.5165770262710967</v>
      </c>
      <c r="DK49" s="80">
        <f t="shared" si="55"/>
        <v>2.5383138244345997</v>
      </c>
      <c r="DL49" s="80">
        <f t="shared" si="55"/>
        <v>2.5602383730184028</v>
      </c>
      <c r="DM49" s="80">
        <f t="shared" si="55"/>
        <v>2.5823522937066228</v>
      </c>
      <c r="DN49" s="80">
        <f t="shared" si="55"/>
        <v>2.604657222190585</v>
      </c>
      <c r="DO49" s="80">
        <f t="shared" si="55"/>
        <v>2.6271548082898106</v>
      </c>
      <c r="DP49" s="80">
        <f t="shared" si="55"/>
        <v>2.6498467160740469</v>
      </c>
      <c r="DQ49" s="80">
        <f t="shared" si="55"/>
        <v>2.6727346239863548</v>
      </c>
      <c r="DR49" s="80">
        <f t="shared" si="55"/>
        <v>2.6958202249672558</v>
      </c>
      <c r="DS49" s="80">
        <f t="shared" ref="DS49:EP49" si="56">DR49*(1+DS48)</f>
        <v>2.7191052265799542</v>
      </c>
      <c r="DT49" s="80">
        <f t="shared" si="56"/>
        <v>2.7425913511366389</v>
      </c>
      <c r="DU49" s="80">
        <f t="shared" si="56"/>
        <v>2.7662803358258774</v>
      </c>
      <c r="DV49" s="80">
        <f t="shared" si="56"/>
        <v>2.7901739328411099</v>
      </c>
      <c r="DW49" s="80">
        <f t="shared" si="56"/>
        <v>2.8142739095102529</v>
      </c>
      <c r="DX49" s="80">
        <f t="shared" si="56"/>
        <v>2.8385820484264217</v>
      </c>
      <c r="DY49" s="80">
        <f t="shared" si="56"/>
        <v>2.8631001475797837</v>
      </c>
      <c r="DZ49" s="80">
        <f t="shared" si="56"/>
        <v>2.8878300204905494</v>
      </c>
      <c r="EA49" s="80">
        <f t="shared" si="56"/>
        <v>2.912773496343112</v>
      </c>
      <c r="EB49" s="80">
        <f t="shared" si="56"/>
        <v>2.9379324201213466</v>
      </c>
      <c r="EC49" s="80">
        <f t="shared" si="56"/>
        <v>2.9633086527450763</v>
      </c>
      <c r="ED49" s="80">
        <f t="shared" si="56"/>
        <v>2.9889040712077186</v>
      </c>
      <c r="EE49" s="80">
        <f t="shared" si="56"/>
        <v>3.0147205687151213</v>
      </c>
      <c r="EF49" s="80">
        <f t="shared" si="56"/>
        <v>3.040760054825594</v>
      </c>
      <c r="EG49" s="80">
        <f t="shared" si="56"/>
        <v>3.0670244555911541</v>
      </c>
      <c r="EH49" s="80">
        <f t="shared" si="56"/>
        <v>3.0935157136999893</v>
      </c>
      <c r="EI49" s="80">
        <f t="shared" si="56"/>
        <v>3.1202357886201511</v>
      </c>
      <c r="EJ49" s="80">
        <f t="shared" si="56"/>
        <v>3.1471866567444904</v>
      </c>
      <c r="EK49" s="80">
        <f t="shared" si="56"/>
        <v>3.1743703115368453</v>
      </c>
      <c r="EL49" s="80">
        <f t="shared" si="56"/>
        <v>3.2017887636794895</v>
      </c>
      <c r="EM49" s="80">
        <f t="shared" si="56"/>
        <v>3.2294440412218566</v>
      </c>
      <c r="EN49" s="80">
        <f t="shared" si="56"/>
        <v>3.257338189730548</v>
      </c>
      <c r="EO49" s="80">
        <f t="shared" si="56"/>
        <v>3.285473272440635</v>
      </c>
      <c r="EP49" s="80">
        <f t="shared" si="56"/>
        <v>3.3138513704082717</v>
      </c>
    </row>
    <row r="50" spans="1:146">
      <c r="A50" s="54">
        <f t="shared" si="38"/>
        <v>8</v>
      </c>
      <c r="B50" s="6" t="s">
        <v>344</v>
      </c>
      <c r="C50" s="81"/>
      <c r="D50" s="82">
        <f t="shared" ref="D50:AI50" si="57">+C49*(D49/C49)^(0.5)</f>
        <v>0.7509292278694264</v>
      </c>
      <c r="E50" s="82">
        <f t="shared" si="57"/>
        <v>0.7612543927150931</v>
      </c>
      <c r="F50" s="82">
        <f t="shared" si="57"/>
        <v>0.77065561281678363</v>
      </c>
      <c r="G50" s="82">
        <f t="shared" si="57"/>
        <v>0.7822107964872026</v>
      </c>
      <c r="H50" s="82">
        <f t="shared" si="57"/>
        <v>0.79570333198695054</v>
      </c>
      <c r="I50" s="82">
        <f t="shared" si="57"/>
        <v>0.80978615116836994</v>
      </c>
      <c r="J50" s="82">
        <f t="shared" si="57"/>
        <v>0.8257389026100157</v>
      </c>
      <c r="K50" s="82">
        <f t="shared" si="57"/>
        <v>0.84138620809119091</v>
      </c>
      <c r="L50" s="82">
        <f t="shared" si="57"/>
        <v>0.85459396687474154</v>
      </c>
      <c r="M50" s="82">
        <f t="shared" si="57"/>
        <v>0.86364910704094155</v>
      </c>
      <c r="N50" s="82">
        <f t="shared" si="57"/>
        <v>0.87417698705336411</v>
      </c>
      <c r="O50" s="82">
        <f t="shared" si="57"/>
        <v>0.88776987000336538</v>
      </c>
      <c r="P50" s="82">
        <f t="shared" si="57"/>
        <v>0.8945859240468963</v>
      </c>
      <c r="Q50" s="82">
        <f t="shared" si="57"/>
        <v>0.89704466925900317</v>
      </c>
      <c r="R50" s="82">
        <f t="shared" si="57"/>
        <v>0.9040814755625316</v>
      </c>
      <c r="S50" s="82">
        <f t="shared" si="57"/>
        <v>0.91483982622658988</v>
      </c>
      <c r="T50" s="82">
        <f t="shared" si="57"/>
        <v>0.92430612645873611</v>
      </c>
      <c r="U50" s="82">
        <f t="shared" si="57"/>
        <v>0.93216265521237307</v>
      </c>
      <c r="V50" s="82">
        <f t="shared" si="57"/>
        <v>0.94031906804961507</v>
      </c>
      <c r="W50" s="82">
        <f t="shared" si="57"/>
        <v>0.95150380512054888</v>
      </c>
      <c r="X50" s="82">
        <f t="shared" si="57"/>
        <v>0.96867465301455613</v>
      </c>
      <c r="Y50" s="82">
        <f t="shared" si="57"/>
        <v>0.98396731078651656</v>
      </c>
      <c r="Z50" s="82">
        <f t="shared" si="57"/>
        <v>0.99459415287574093</v>
      </c>
      <c r="AA50" s="82">
        <f t="shared" si="57"/>
        <v>1.0061312041677268</v>
      </c>
      <c r="AB50" s="82">
        <f t="shared" si="57"/>
        <v>1.0189592764325766</v>
      </c>
      <c r="AC50" s="82">
        <f t="shared" si="57"/>
        <v>1.0288881238327667</v>
      </c>
      <c r="AD50" s="82">
        <f t="shared" si="57"/>
        <v>1.0375798703846735</v>
      </c>
      <c r="AE50" s="82">
        <f t="shared" si="57"/>
        <v>1.05375334575715</v>
      </c>
      <c r="AF50" s="82">
        <f t="shared" si="57"/>
        <v>1.0698611949093475</v>
      </c>
      <c r="AG50" s="82">
        <f t="shared" si="57"/>
        <v>1.0778830635683916</v>
      </c>
      <c r="AH50" s="127">
        <f t="shared" si="57"/>
        <v>1.0925374209672798</v>
      </c>
      <c r="AI50" s="82">
        <f t="shared" si="57"/>
        <v>1.1180245516598315</v>
      </c>
      <c r="AJ50" s="82">
        <f t="shared" ref="AJ50:BO50" si="58">+AI49*(AJ49/AI49)^(0.5)</f>
        <v>1.1394480255221606</v>
      </c>
      <c r="AK50" s="82">
        <f t="shared" si="58"/>
        <v>1.1534553525145377</v>
      </c>
      <c r="AL50" s="82">
        <f t="shared" si="58"/>
        <v>1.167988998660195</v>
      </c>
      <c r="AM50" s="82">
        <f t="shared" si="58"/>
        <v>1.1836488712547881</v>
      </c>
      <c r="AN50" s="82">
        <f t="shared" si="58"/>
        <v>1.1981423382276637</v>
      </c>
      <c r="AO50" s="82">
        <f t="shared" si="58"/>
        <v>1.2094315931480302</v>
      </c>
      <c r="AP50" s="82">
        <f t="shared" si="58"/>
        <v>1.2245413139432602</v>
      </c>
      <c r="AQ50" s="82">
        <f t="shared" si="58"/>
        <v>1.247296457487951</v>
      </c>
      <c r="AR50" s="82">
        <f t="shared" si="58"/>
        <v>1.2656390489827054</v>
      </c>
      <c r="AS50" s="82">
        <f t="shared" si="58"/>
        <v>1.2780517193380394</v>
      </c>
      <c r="AT50" s="82">
        <f t="shared" si="58"/>
        <v>1.2972300098008265</v>
      </c>
      <c r="AU50" s="82">
        <f t="shared" si="58"/>
        <v>1.3180809383272334</v>
      </c>
      <c r="AV50" s="82">
        <f t="shared" si="58"/>
        <v>1.3326654913869331</v>
      </c>
      <c r="AW50" s="82">
        <f t="shared" si="58"/>
        <v>1.3474114223876728</v>
      </c>
      <c r="AX50" s="82">
        <f t="shared" si="58"/>
        <v>1.3623205169748369</v>
      </c>
      <c r="AY50" s="82">
        <f t="shared" si="58"/>
        <v>1.3773945805519587</v>
      </c>
      <c r="AZ50" s="82">
        <f t="shared" si="58"/>
        <v>1.3926354384993449</v>
      </c>
      <c r="BA50" s="82">
        <f t="shared" si="58"/>
        <v>1.4080449363951177</v>
      </c>
      <c r="BB50" s="82">
        <f t="shared" si="58"/>
        <v>1.4236249402387042</v>
      </c>
      <c r="BC50" s="82">
        <f t="shared" si="58"/>
        <v>1.4393773366767966</v>
      </c>
      <c r="BD50" s="82">
        <f t="shared" si="58"/>
        <v>1.455304033231815</v>
      </c>
      <c r="BE50" s="82">
        <f t="shared" si="58"/>
        <v>1.4714069585328979</v>
      </c>
      <c r="BF50" s="82">
        <f t="shared" si="58"/>
        <v>1.4876880625494455</v>
      </c>
      <c r="BG50" s="82">
        <f t="shared" si="58"/>
        <v>1.503247817184288</v>
      </c>
      <c r="BH50" s="82">
        <f t="shared" si="58"/>
        <v>1.5180599290708547</v>
      </c>
      <c r="BI50" s="82">
        <f t="shared" si="58"/>
        <v>1.5330179907176886</v>
      </c>
      <c r="BJ50" s="82">
        <f t="shared" si="58"/>
        <v>1.5481234402271133</v>
      </c>
      <c r="BK50" s="82">
        <f t="shared" si="58"/>
        <v>1.5633777298716591</v>
      </c>
      <c r="BL50" s="82">
        <f t="shared" si="58"/>
        <v>1.5787823262336886</v>
      </c>
      <c r="BM50" s="82">
        <f t="shared" si="58"/>
        <v>1.594338710346396</v>
      </c>
      <c r="BN50" s="82">
        <f t="shared" si="58"/>
        <v>1.6100483778361976</v>
      </c>
      <c r="BO50" s="82">
        <f t="shared" si="58"/>
        <v>1.6259128390665254</v>
      </c>
      <c r="BP50" s="82">
        <f t="shared" ref="BP50:CU50" si="59">+BO49*(BP49/BO49)^(0.5)</f>
        <v>1.641933619283036</v>
      </c>
      <c r="BQ50" s="82">
        <f t="shared" si="59"/>
        <v>1.6581122587602517</v>
      </c>
      <c r="BR50" s="82">
        <f t="shared" si="59"/>
        <v>1.6744503129496453</v>
      </c>
      <c r="BS50" s="82">
        <f t="shared" si="59"/>
        <v>1.6909493526291861</v>
      </c>
      <c r="BT50" s="82">
        <f t="shared" si="59"/>
        <v>1.7076109640543573</v>
      </c>
      <c r="BU50" s="82">
        <f t="shared" si="59"/>
        <v>1.7244367491106614</v>
      </c>
      <c r="BV50" s="82">
        <f t="shared" si="59"/>
        <v>1.7414283254676308</v>
      </c>
      <c r="BW50" s="82">
        <f t="shared" si="59"/>
        <v>1.7585873267343535</v>
      </c>
      <c r="BX50" s="82">
        <f t="shared" si="59"/>
        <v>1.7759154026165314</v>
      </c>
      <c r="BY50" s="82">
        <f t="shared" si="59"/>
        <v>1.7934142190750877</v>
      </c>
      <c r="BZ50" s="82">
        <f t="shared" si="59"/>
        <v>1.8110854584863361</v>
      </c>
      <c r="CA50" s="82">
        <f t="shared" si="59"/>
        <v>1.8289308198037275</v>
      </c>
      <c r="CB50" s="82">
        <f t="shared" si="59"/>
        <v>1.8469520187211923</v>
      </c>
      <c r="CC50" s="82">
        <f t="shared" si="59"/>
        <v>1.8651507878380909</v>
      </c>
      <c r="CD50" s="82">
        <f t="shared" si="59"/>
        <v>1.8835288768257892</v>
      </c>
      <c r="CE50" s="82">
        <f t="shared" si="59"/>
        <v>1.9020880525958763</v>
      </c>
      <c r="CF50" s="82">
        <f t="shared" si="59"/>
        <v>1.9208300994700398</v>
      </c>
      <c r="CG50" s="82">
        <f t="shared" si="59"/>
        <v>1.9397568193516141</v>
      </c>
      <c r="CH50" s="82">
        <f t="shared" si="59"/>
        <v>1.9588700318988204</v>
      </c>
      <c r="CI50" s="82">
        <f t="shared" si="59"/>
        <v>1.9781715746997111</v>
      </c>
      <c r="CJ50" s="82">
        <f t="shared" si="59"/>
        <v>1.9976633034488409</v>
      </c>
      <c r="CK50" s="82">
        <f t="shared" si="59"/>
        <v>2.0173470921256786</v>
      </c>
      <c r="CL50" s="82">
        <f t="shared" si="59"/>
        <v>2.0372248331747733</v>
      </c>
      <c r="CM50" s="82">
        <f t="shared" si="59"/>
        <v>2.0560594721013645</v>
      </c>
      <c r="CN50" s="82">
        <f t="shared" si="59"/>
        <v>2.0738185747597275</v>
      </c>
      <c r="CO50" s="82">
        <f t="shared" si="59"/>
        <v>2.0917310707082697</v>
      </c>
      <c r="CP50" s="82">
        <f t="shared" si="59"/>
        <v>2.1097982848732517</v>
      </c>
      <c r="CQ50" s="82">
        <f t="shared" si="59"/>
        <v>2.1280215536249125</v>
      </c>
      <c r="CR50" s="82">
        <f t="shared" si="59"/>
        <v>2.1464022248763182</v>
      </c>
      <c r="CS50" s="82">
        <f t="shared" si="59"/>
        <v>2.1649416581830594</v>
      </c>
      <c r="CT50" s="82">
        <f t="shared" si="59"/>
        <v>2.1836412248438157</v>
      </c>
      <c r="CU50" s="82">
        <f t="shared" si="59"/>
        <v>2.2025023080017849</v>
      </c>
      <c r="CV50" s="82">
        <f t="shared" ref="CV50:EA50" si="60">+CU49*(CV49/CU49)^(0.5)</f>
        <v>2.2215263027469896</v>
      </c>
      <c r="CW50" s="82">
        <f t="shared" si="60"/>
        <v>2.2407146162194667</v>
      </c>
      <c r="CX50" s="82">
        <f t="shared" si="60"/>
        <v>2.2600686677133495</v>
      </c>
      <c r="CY50" s="82">
        <f t="shared" si="60"/>
        <v>2.2795898887818478</v>
      </c>
      <c r="CZ50" s="82">
        <f t="shared" si="60"/>
        <v>2.299279723343135</v>
      </c>
      <c r="DA50" s="82">
        <f t="shared" si="60"/>
        <v>2.3191396277871488</v>
      </c>
      <c r="DB50" s="82">
        <f t="shared" si="60"/>
        <v>2.3391710710833173</v>
      </c>
      <c r="DC50" s="82">
        <f t="shared" si="60"/>
        <v>2.3593755348892129</v>
      </c>
      <c r="DD50" s="82">
        <f t="shared" si="60"/>
        <v>2.3797545136601448</v>
      </c>
      <c r="DE50" s="82">
        <f t="shared" si="60"/>
        <v>2.4003095147596989</v>
      </c>
      <c r="DF50" s="82">
        <f t="shared" si="60"/>
        <v>2.4210420585712336</v>
      </c>
      <c r="DG50" s="82">
        <f t="shared" si="60"/>
        <v>2.4419536786103353</v>
      </c>
      <c r="DH50" s="82">
        <f t="shared" si="60"/>
        <v>2.4630459216382499</v>
      </c>
      <c r="DI50" s="82">
        <f t="shared" si="60"/>
        <v>2.484320347776289</v>
      </c>
      <c r="DJ50" s="82">
        <f t="shared" si="60"/>
        <v>2.5057785306212272</v>
      </c>
      <c r="DK50" s="82">
        <f t="shared" si="60"/>
        <v>2.5274220573616981</v>
      </c>
      <c r="DL50" s="82">
        <f t="shared" si="60"/>
        <v>2.5492525288955896</v>
      </c>
      <c r="DM50" s="82">
        <f t="shared" si="60"/>
        <v>2.5712715599484595</v>
      </c>
      <c r="DN50" s="82">
        <f t="shared" si="60"/>
        <v>2.5934807791929706</v>
      </c>
      <c r="DO50" s="82">
        <f t="shared" si="60"/>
        <v>2.6158818293693575</v>
      </c>
      <c r="DP50" s="82">
        <f t="shared" si="60"/>
        <v>2.6384763674069354</v>
      </c>
      <c r="DQ50" s="82">
        <f t="shared" si="60"/>
        <v>2.6612660645466555</v>
      </c>
      <c r="DR50" s="82">
        <f t="shared" si="60"/>
        <v>2.6842526064647245</v>
      </c>
      <c r="DS50" s="82">
        <f t="shared" si="60"/>
        <v>2.7074376933972855</v>
      </c>
      <c r="DT50" s="82">
        <f t="shared" si="60"/>
        <v>2.7308230402661784</v>
      </c>
      <c r="DU50" s="82">
        <f t="shared" si="60"/>
        <v>2.7544103768057888</v>
      </c>
      <c r="DV50" s="82">
        <f t="shared" si="60"/>
        <v>2.7782014476909902</v>
      </c>
      <c r="DW50" s="82">
        <f t="shared" si="60"/>
        <v>2.8021980126661905</v>
      </c>
      <c r="DX50" s="82">
        <f t="shared" si="60"/>
        <v>2.8264018466754948</v>
      </c>
      <c r="DY50" s="82">
        <f t="shared" si="60"/>
        <v>2.850814739993992</v>
      </c>
      <c r="DZ50" s="82">
        <f t="shared" si="60"/>
        <v>2.8754384983601757</v>
      </c>
      <c r="EA50" s="82">
        <f t="shared" si="60"/>
        <v>2.9002749431095078</v>
      </c>
      <c r="EB50" s="82">
        <f t="shared" ref="EB50:EP50" si="61">+EA49*(EB49/EA49)^(0.5)</f>
        <v>2.9253259113091374</v>
      </c>
      <c r="EC50" s="82">
        <f t="shared" si="61"/>
        <v>2.9505932558937817</v>
      </c>
      <c r="ED50" s="82">
        <f t="shared" si="61"/>
        <v>2.9760788458027818</v>
      </c>
      <c r="EE50" s="82">
        <f t="shared" si="61"/>
        <v>3.0017845661183404</v>
      </c>
      <c r="EF50" s="82">
        <f t="shared" si="61"/>
        <v>3.0277123182049577</v>
      </c>
      <c r="EG50" s="82">
        <f t="shared" si="61"/>
        <v>3.0538640198500646</v>
      </c>
      <c r="EH50" s="82">
        <f t="shared" si="61"/>
        <v>3.0802416054058792</v>
      </c>
      <c r="EI50" s="82">
        <f t="shared" si="61"/>
        <v>3.106847025932483</v>
      </c>
      <c r="EJ50" s="82">
        <f t="shared" si="61"/>
        <v>3.1336822493421317</v>
      </c>
      <c r="EK50" s="82">
        <f t="shared" si="61"/>
        <v>3.1607492605448173</v>
      </c>
      <c r="EL50" s="82">
        <f t="shared" si="61"/>
        <v>3.188050061595086</v>
      </c>
      <c r="EM50" s="82">
        <f t="shared" si="61"/>
        <v>3.2155866718401205</v>
      </c>
      <c r="EN50" s="82">
        <f t="shared" si="61"/>
        <v>3.2433611280691061</v>
      </c>
      <c r="EO50" s="82">
        <f t="shared" si="61"/>
        <v>3.2713754846638863</v>
      </c>
      <c r="EP50" s="82">
        <f t="shared" si="61"/>
        <v>3.299631813750914</v>
      </c>
    </row>
    <row r="51" spans="1:146">
      <c r="A51" s="54">
        <f t="shared" si="38"/>
        <v>9</v>
      </c>
      <c r="B51" s="6" t="s">
        <v>341</v>
      </c>
      <c r="C51" s="79">
        <f>HLOOKUP(C$43,$B$5:$GB$36,$A$34,FALSE)</f>
        <v>3.8918503659524317E-2</v>
      </c>
      <c r="D51" s="79">
        <f t="shared" ref="D51:BO51" si="62">HLOOKUP(D$43,$B$5:$GB$36,$A$34,FALSE)</f>
        <v>3.8918503659524317E-2</v>
      </c>
      <c r="E51" s="79">
        <f t="shared" si="62"/>
        <v>3.8918503659524317E-2</v>
      </c>
      <c r="F51" s="79">
        <f t="shared" si="62"/>
        <v>3.8918503659524317E-2</v>
      </c>
      <c r="G51" s="79">
        <f t="shared" si="62"/>
        <v>4.1694158911594892E-2</v>
      </c>
      <c r="H51" s="79">
        <f t="shared" si="62"/>
        <v>4.1694158911594892E-2</v>
      </c>
      <c r="I51" s="79">
        <f t="shared" si="62"/>
        <v>4.1694158911594892E-2</v>
      </c>
      <c r="J51" s="79">
        <f t="shared" si="62"/>
        <v>4.1694158911594892E-2</v>
      </c>
      <c r="K51" s="79">
        <f t="shared" si="62"/>
        <v>4.2246635456321124E-2</v>
      </c>
      <c r="L51" s="79">
        <f t="shared" si="62"/>
        <v>4.2246635456321124E-2</v>
      </c>
      <c r="M51" s="79">
        <f t="shared" si="62"/>
        <v>4.2246635456321124E-2</v>
      </c>
      <c r="N51" s="79">
        <f t="shared" si="62"/>
        <v>4.2246635456321124E-2</v>
      </c>
      <c r="O51" s="79">
        <f t="shared" si="62"/>
        <v>3.1595770003753909E-2</v>
      </c>
      <c r="P51" s="79">
        <f t="shared" si="62"/>
        <v>3.1595770003753909E-2</v>
      </c>
      <c r="Q51" s="79">
        <f t="shared" si="62"/>
        <v>3.1595770003753909E-2</v>
      </c>
      <c r="R51" s="79">
        <f t="shared" si="62"/>
        <v>3.1595770003753909E-2</v>
      </c>
      <c r="S51" s="79">
        <f t="shared" si="62"/>
        <v>2.7010786450877289E-2</v>
      </c>
      <c r="T51" s="79">
        <f t="shared" si="62"/>
        <v>2.7010786450877289E-2</v>
      </c>
      <c r="U51" s="79">
        <f t="shared" si="62"/>
        <v>2.7010786450877289E-2</v>
      </c>
      <c r="V51" s="79">
        <f t="shared" si="62"/>
        <v>2.7010786450877289E-2</v>
      </c>
      <c r="W51" s="79">
        <f t="shared" si="62"/>
        <v>3.2732516378310317E-2</v>
      </c>
      <c r="X51" s="79">
        <f t="shared" si="62"/>
        <v>3.2732516378310317E-2</v>
      </c>
      <c r="Y51" s="79">
        <f t="shared" si="62"/>
        <v>3.2732516378310317E-2</v>
      </c>
      <c r="Z51" s="79">
        <f t="shared" si="62"/>
        <v>3.2732516378310317E-2</v>
      </c>
      <c r="AA51" s="79">
        <f t="shared" si="62"/>
        <v>2.1191794292683586E-2</v>
      </c>
      <c r="AB51" s="79">
        <f t="shared" si="62"/>
        <v>2.1191794292683586E-2</v>
      </c>
      <c r="AC51" s="79">
        <f t="shared" si="62"/>
        <v>2.1191794292683586E-2</v>
      </c>
      <c r="AD51" s="79">
        <f t="shared" si="62"/>
        <v>2.1191794292683586E-2</v>
      </c>
      <c r="AE51" s="79">
        <f t="shared" si="62"/>
        <v>2.5854891781707856E-2</v>
      </c>
      <c r="AF51" s="79">
        <f t="shared" si="62"/>
        <v>2.5854891781707856E-2</v>
      </c>
      <c r="AG51" s="79">
        <f t="shared" si="62"/>
        <v>2.5854891781707856E-2</v>
      </c>
      <c r="AH51" s="79">
        <f t="shared" si="62"/>
        <v>2.5854891781707856E-2</v>
      </c>
      <c r="AI51" s="79">
        <f t="shared" si="62"/>
        <v>2.7848926225563897E-2</v>
      </c>
      <c r="AJ51" s="79">
        <f t="shared" si="62"/>
        <v>2.7848926225563897E-2</v>
      </c>
      <c r="AK51" s="79">
        <f t="shared" si="62"/>
        <v>2.7848926225563897E-2</v>
      </c>
      <c r="AL51" s="79">
        <f t="shared" si="62"/>
        <v>2.7848926225563897E-2</v>
      </c>
      <c r="AM51" s="79">
        <f t="shared" si="62"/>
        <v>2.3458661351691834E-2</v>
      </c>
      <c r="AN51" s="79">
        <f t="shared" si="62"/>
        <v>2.3458661351691834E-2</v>
      </c>
      <c r="AO51" s="79">
        <f t="shared" si="62"/>
        <v>2.3458661351691834E-2</v>
      </c>
      <c r="AP51" s="79">
        <f t="shared" si="62"/>
        <v>2.3458661351691834E-2</v>
      </c>
      <c r="AQ51" s="79">
        <f t="shared" si="62"/>
        <v>2.3995848881269266E-2</v>
      </c>
      <c r="AR51" s="79">
        <f t="shared" si="62"/>
        <v>2.3995848881269266E-2</v>
      </c>
      <c r="AS51" s="79">
        <f t="shared" si="62"/>
        <v>2.3995848881269266E-2</v>
      </c>
      <c r="AT51" s="79">
        <f t="shared" si="62"/>
        <v>2.3995848881269266E-2</v>
      </c>
      <c r="AU51" s="79">
        <f t="shared" si="62"/>
        <v>2.4195072826658226E-2</v>
      </c>
      <c r="AV51" s="79">
        <f t="shared" si="62"/>
        <v>2.4195072826658226E-2</v>
      </c>
      <c r="AW51" s="79">
        <f t="shared" si="62"/>
        <v>2.4195072826658226E-2</v>
      </c>
      <c r="AX51" s="79">
        <f t="shared" si="62"/>
        <v>2.4195072826658226E-2</v>
      </c>
      <c r="AY51" s="79">
        <f t="shared" si="62"/>
        <v>2.3354818252227183E-2</v>
      </c>
      <c r="AZ51" s="79">
        <f t="shared" si="62"/>
        <v>2.3354818252227183E-2</v>
      </c>
      <c r="BA51" s="79">
        <f t="shared" si="62"/>
        <v>2.3354818252227183E-2</v>
      </c>
      <c r="BB51" s="79">
        <f t="shared" si="62"/>
        <v>2.3354818252227183E-2</v>
      </c>
      <c r="BC51" s="79">
        <f t="shared" si="62"/>
        <v>2.3421489959571051E-2</v>
      </c>
      <c r="BD51" s="79">
        <f t="shared" si="62"/>
        <v>2.3421489959571051E-2</v>
      </c>
      <c r="BE51" s="79">
        <f t="shared" si="62"/>
        <v>2.3421489959571051E-2</v>
      </c>
      <c r="BF51" s="79">
        <f t="shared" si="62"/>
        <v>2.3421489959571051E-2</v>
      </c>
      <c r="BG51" s="79">
        <f t="shared" si="62"/>
        <v>2.3232713297244301E-2</v>
      </c>
      <c r="BH51" s="79">
        <f t="shared" si="62"/>
        <v>2.3232713297244301E-2</v>
      </c>
      <c r="BI51" s="79">
        <f t="shared" si="62"/>
        <v>2.3232713297244301E-2</v>
      </c>
      <c r="BJ51" s="79">
        <f t="shared" si="62"/>
        <v>2.3232713297244301E-2</v>
      </c>
      <c r="BK51" s="79">
        <f t="shared" si="62"/>
        <v>2.3327097275372743E-2</v>
      </c>
      <c r="BL51" s="79">
        <f t="shared" si="62"/>
        <v>2.3327097275372743E-2</v>
      </c>
      <c r="BM51" s="79">
        <f t="shared" si="62"/>
        <v>2.3327097275372743E-2</v>
      </c>
      <c r="BN51" s="79">
        <f t="shared" si="62"/>
        <v>2.3327097275372743E-2</v>
      </c>
      <c r="BO51" s="79">
        <f t="shared" si="62"/>
        <v>2.3610301449388915E-2</v>
      </c>
      <c r="BP51" s="79">
        <f t="shared" ref="BP51:EA51" si="63">HLOOKUP(BP$43,$B$5:$GB$36,$A$34,FALSE)</f>
        <v>2.3610301449388915E-2</v>
      </c>
      <c r="BQ51" s="79">
        <f t="shared" si="63"/>
        <v>2.3610301449388915E-2</v>
      </c>
      <c r="BR51" s="79">
        <f t="shared" si="63"/>
        <v>2.3610301449388915E-2</v>
      </c>
      <c r="BS51" s="79">
        <f t="shared" si="63"/>
        <v>2.3421489959571051E-2</v>
      </c>
      <c r="BT51" s="79">
        <f t="shared" si="63"/>
        <v>2.3421489959571051E-2</v>
      </c>
      <c r="BU51" s="79">
        <f t="shared" si="63"/>
        <v>2.3421489959571051E-2</v>
      </c>
      <c r="BV51" s="79">
        <f t="shared" si="63"/>
        <v>2.3421489959571051E-2</v>
      </c>
      <c r="BW51" s="79">
        <f t="shared" si="63"/>
        <v>2.3336833464416173E-2</v>
      </c>
      <c r="BX51" s="79">
        <f t="shared" si="63"/>
        <v>2.3336833464416173E-2</v>
      </c>
      <c r="BY51" s="79">
        <f t="shared" si="63"/>
        <v>2.3336833464416173E-2</v>
      </c>
      <c r="BZ51" s="79">
        <f t="shared" si="63"/>
        <v>2.3336833464416173E-2</v>
      </c>
      <c r="CA51" s="79">
        <f t="shared" si="63"/>
        <v>2.294793456109856E-2</v>
      </c>
      <c r="CB51" s="79">
        <f t="shared" si="63"/>
        <v>2.294793456109856E-2</v>
      </c>
      <c r="CC51" s="79">
        <f t="shared" si="63"/>
        <v>2.294793456109856E-2</v>
      </c>
      <c r="CD51" s="79">
        <f t="shared" si="63"/>
        <v>2.294793456109856E-2</v>
      </c>
      <c r="CE51" s="79">
        <f t="shared" si="63"/>
        <v>2.294793456109856E-2</v>
      </c>
      <c r="CF51" s="79">
        <f t="shared" si="63"/>
        <v>2.294793456109856E-2</v>
      </c>
      <c r="CG51" s="79">
        <f t="shared" si="63"/>
        <v>2.294793456109856E-2</v>
      </c>
      <c r="CH51" s="79">
        <f t="shared" si="63"/>
        <v>2.294793456109856E-2</v>
      </c>
      <c r="CI51" s="79">
        <f t="shared" si="63"/>
        <v>2.294793456109856E-2</v>
      </c>
      <c r="CJ51" s="79">
        <f t="shared" si="63"/>
        <v>2.294793456109856E-2</v>
      </c>
      <c r="CK51" s="79">
        <f t="shared" si="63"/>
        <v>2.294793456109856E-2</v>
      </c>
      <c r="CL51" s="79">
        <f t="shared" si="63"/>
        <v>2.294793456109856E-2</v>
      </c>
      <c r="CM51" s="79">
        <f t="shared" si="63"/>
        <v>2.294793456109856E-2</v>
      </c>
      <c r="CN51" s="79">
        <f t="shared" si="63"/>
        <v>2.294793456109856E-2</v>
      </c>
      <c r="CO51" s="79">
        <f t="shared" si="63"/>
        <v>2.294793456109856E-2</v>
      </c>
      <c r="CP51" s="79">
        <f t="shared" si="63"/>
        <v>2.294793456109856E-2</v>
      </c>
      <c r="CQ51" s="79">
        <f t="shared" si="63"/>
        <v>2.294793456109856E-2</v>
      </c>
      <c r="CR51" s="79">
        <f t="shared" si="63"/>
        <v>2.294793456109856E-2</v>
      </c>
      <c r="CS51" s="79">
        <f t="shared" si="63"/>
        <v>2.294793456109856E-2</v>
      </c>
      <c r="CT51" s="79">
        <f t="shared" si="63"/>
        <v>2.294793456109856E-2</v>
      </c>
      <c r="CU51" s="79">
        <f t="shared" si="63"/>
        <v>2.2363559609957839E-2</v>
      </c>
      <c r="CV51" s="79">
        <f t="shared" si="63"/>
        <v>2.2363559609957839E-2</v>
      </c>
      <c r="CW51" s="79">
        <f t="shared" si="63"/>
        <v>2.2363559609957839E-2</v>
      </c>
      <c r="CX51" s="79">
        <f t="shared" si="63"/>
        <v>2.2363559609957839E-2</v>
      </c>
      <c r="CY51" s="79">
        <f t="shared" si="63"/>
        <v>2.2363559609957839E-2</v>
      </c>
      <c r="CZ51" s="79">
        <f t="shared" si="63"/>
        <v>2.2363559609957839E-2</v>
      </c>
      <c r="DA51" s="79">
        <f t="shared" si="63"/>
        <v>2.2363559609957839E-2</v>
      </c>
      <c r="DB51" s="79">
        <f t="shared" si="63"/>
        <v>2.2363559609957839E-2</v>
      </c>
      <c r="DC51" s="79">
        <f t="shared" si="63"/>
        <v>2.2363559609957839E-2</v>
      </c>
      <c r="DD51" s="79">
        <f t="shared" si="63"/>
        <v>2.2363559609957839E-2</v>
      </c>
      <c r="DE51" s="79">
        <f t="shared" si="63"/>
        <v>2.2363559609957839E-2</v>
      </c>
      <c r="DF51" s="79">
        <f t="shared" si="63"/>
        <v>2.2363559609957839E-2</v>
      </c>
      <c r="DG51" s="79">
        <f t="shared" si="63"/>
        <v>2.2363559609957839E-2</v>
      </c>
      <c r="DH51" s="79">
        <f t="shared" si="63"/>
        <v>2.2363559609957839E-2</v>
      </c>
      <c r="DI51" s="79">
        <f t="shared" si="63"/>
        <v>2.2363559609957839E-2</v>
      </c>
      <c r="DJ51" s="79">
        <f t="shared" si="63"/>
        <v>2.2363559609957839E-2</v>
      </c>
      <c r="DK51" s="79">
        <f t="shared" si="63"/>
        <v>2.2363559609957839E-2</v>
      </c>
      <c r="DL51" s="79">
        <f t="shared" si="63"/>
        <v>2.2363559609957839E-2</v>
      </c>
      <c r="DM51" s="79">
        <f t="shared" si="63"/>
        <v>2.2363559609957839E-2</v>
      </c>
      <c r="DN51" s="79">
        <f t="shared" si="63"/>
        <v>2.2363559609957839E-2</v>
      </c>
      <c r="DO51" s="79">
        <f t="shared" si="63"/>
        <v>2.2363559609957839E-2</v>
      </c>
      <c r="DP51" s="79">
        <f t="shared" si="63"/>
        <v>2.2363559609957839E-2</v>
      </c>
      <c r="DQ51" s="79">
        <f t="shared" si="63"/>
        <v>2.2363559609957839E-2</v>
      </c>
      <c r="DR51" s="79">
        <f t="shared" si="63"/>
        <v>2.2363559609957839E-2</v>
      </c>
      <c r="DS51" s="79">
        <f t="shared" si="63"/>
        <v>2.2363559609957839E-2</v>
      </c>
      <c r="DT51" s="79">
        <f t="shared" si="63"/>
        <v>2.2363559609957839E-2</v>
      </c>
      <c r="DU51" s="79">
        <f t="shared" si="63"/>
        <v>2.2363559609957839E-2</v>
      </c>
      <c r="DV51" s="79">
        <f t="shared" si="63"/>
        <v>2.2363559609957839E-2</v>
      </c>
      <c r="DW51" s="79">
        <f t="shared" si="63"/>
        <v>2.2363559609957839E-2</v>
      </c>
      <c r="DX51" s="79">
        <f t="shared" si="63"/>
        <v>2.2363559609957839E-2</v>
      </c>
      <c r="DY51" s="79">
        <f t="shared" si="63"/>
        <v>2.2363559609957839E-2</v>
      </c>
      <c r="DZ51" s="79">
        <f t="shared" si="63"/>
        <v>2.2363559609957839E-2</v>
      </c>
      <c r="EA51" s="79">
        <f t="shared" si="63"/>
        <v>2.2363559609957839E-2</v>
      </c>
      <c r="EB51" s="79">
        <f t="shared" ref="EB51:EP51" si="64">HLOOKUP(EB$43,$B$5:$GB$36,$A$34,FALSE)</f>
        <v>2.2363559609957839E-2</v>
      </c>
      <c r="EC51" s="79">
        <f t="shared" si="64"/>
        <v>2.2363559609957839E-2</v>
      </c>
      <c r="ED51" s="79">
        <f t="shared" si="64"/>
        <v>2.2363559609957839E-2</v>
      </c>
      <c r="EE51" s="79">
        <f t="shared" si="64"/>
        <v>2.2363559609957839E-2</v>
      </c>
      <c r="EF51" s="79">
        <f t="shared" si="64"/>
        <v>2.2363559609957839E-2</v>
      </c>
      <c r="EG51" s="79">
        <f t="shared" si="64"/>
        <v>2.2363559609957839E-2</v>
      </c>
      <c r="EH51" s="79">
        <f t="shared" si="64"/>
        <v>2.2363559609957839E-2</v>
      </c>
      <c r="EI51" s="79">
        <f t="shared" si="64"/>
        <v>2.2363559609957839E-2</v>
      </c>
      <c r="EJ51" s="79">
        <f t="shared" si="64"/>
        <v>2.2363559609957839E-2</v>
      </c>
      <c r="EK51" s="79">
        <f t="shared" si="64"/>
        <v>2.2363559609957839E-2</v>
      </c>
      <c r="EL51" s="79">
        <f t="shared" si="64"/>
        <v>2.2363559609957839E-2</v>
      </c>
      <c r="EM51" s="79">
        <f t="shared" si="64"/>
        <v>2.2363559609957839E-2</v>
      </c>
      <c r="EN51" s="79">
        <f t="shared" si="64"/>
        <v>2.2363559609957839E-2</v>
      </c>
      <c r="EO51" s="79">
        <f t="shared" si="64"/>
        <v>2.2363559609957839E-2</v>
      </c>
      <c r="EP51" s="79">
        <f t="shared" si="64"/>
        <v>2.2363559609957839E-2</v>
      </c>
    </row>
    <row r="52" spans="1:146">
      <c r="A52" s="54">
        <f t="shared" si="38"/>
        <v>10</v>
      </c>
      <c r="B52" s="6" t="s">
        <v>349</v>
      </c>
      <c r="C52" s="83">
        <f t="shared" ref="C52:X52" si="65">D52/(IF(((1+C51)^4-1)&lt;6%,1,((1+C51)^4)/(1.06))^(1/4))</f>
        <v>0.62235487023690628</v>
      </c>
      <c r="D52" s="83">
        <f t="shared" si="65"/>
        <v>0.63722544241499068</v>
      </c>
      <c r="E52" s="83">
        <f t="shared" si="65"/>
        <v>0.65245133263986643</v>
      </c>
      <c r="F52" s="83">
        <f t="shared" si="65"/>
        <v>0.66804103089516442</v>
      </c>
      <c r="G52" s="83">
        <f t="shared" si="65"/>
        <v>0.68400323002452434</v>
      </c>
      <c r="H52" s="83">
        <f t="shared" si="65"/>
        <v>0.70221793148965772</v>
      </c>
      <c r="I52" s="83">
        <f t="shared" si="65"/>
        <v>0.7209176823447655</v>
      </c>
      <c r="J52" s="83">
        <f t="shared" si="65"/>
        <v>0.74011539923913594</v>
      </c>
      <c r="K52" s="83">
        <f t="shared" si="65"/>
        <v>0.75982434278667665</v>
      </c>
      <c r="L52" s="83">
        <f t="shared" si="65"/>
        <v>0.78047184107235801</v>
      </c>
      <c r="M52" s="83">
        <f t="shared" si="65"/>
        <v>0.80168041533501277</v>
      </c>
      <c r="N52" s="83">
        <f t="shared" si="65"/>
        <v>0.82346531227656972</v>
      </c>
      <c r="O52" s="83">
        <f t="shared" si="65"/>
        <v>0.84584219291346985</v>
      </c>
      <c r="P52" s="83">
        <f t="shared" si="65"/>
        <v>0.85994847664103125</v>
      </c>
      <c r="Q52" s="83">
        <f t="shared" si="65"/>
        <v>0.87429001375541771</v>
      </c>
      <c r="R52" s="83">
        <f t="shared" si="65"/>
        <v>0.88887072762561026</v>
      </c>
      <c r="S52" s="83">
        <f t="shared" si="65"/>
        <v>0.9036946070514188</v>
      </c>
      <c r="T52" s="83">
        <f t="shared" si="65"/>
        <v>0.91468220315695858</v>
      </c>
      <c r="U52" s="83">
        <f t="shared" si="65"/>
        <v>0.92580339225645503</v>
      </c>
      <c r="V52" s="83">
        <f t="shared" si="65"/>
        <v>0.93705979864405431</v>
      </c>
      <c r="W52" s="83">
        <f t="shared" si="65"/>
        <v>0.94845306636292814</v>
      </c>
      <c r="X52" s="83">
        <f t="shared" si="65"/>
        <v>0.96533317143260533</v>
      </c>
      <c r="Y52" s="83">
        <f>Z52/(IF(((1+Y51)^4-1)&lt;6%,1,((1+Y51)^4)/(1.06))^(1/4))</f>
        <v>0.98251370037908647</v>
      </c>
      <c r="Z52" s="78">
        <v>1</v>
      </c>
      <c r="AA52" s="83">
        <f t="shared" ref="AA52:BP52" si="66">Z52*(IF(((1+AA51)^4-1)&lt;6%,1,((1+AA51)^4)/(1.06))^(1/4))</f>
        <v>1.0064236879157136</v>
      </c>
      <c r="AB52" s="83">
        <f t="shared" si="66"/>
        <v>1.0128886395978656</v>
      </c>
      <c r="AC52" s="83">
        <f t="shared" si="66"/>
        <v>1.0193951201120139</v>
      </c>
      <c r="AD52" s="83">
        <f>AC52*(IF(((1+AD51)^4-1)&lt;6%,1,((1+AD51)^4)/(1.06))^(1/4))</f>
        <v>1.0259433962264148</v>
      </c>
      <c r="AE52" s="83">
        <f t="shared" si="66"/>
        <v>1.0372486249488537</v>
      </c>
      <c r="AF52" s="83">
        <f t="shared" si="66"/>
        <v>1.0486784299363543</v>
      </c>
      <c r="AG52" s="83">
        <f t="shared" si="66"/>
        <v>1.0602341839383054</v>
      </c>
      <c r="AH52" s="128">
        <f t="shared" si="66"/>
        <v>1.0719172748309005</v>
      </c>
      <c r="AI52" s="83">
        <f t="shared" si="66"/>
        <v>1.0858356348670855</v>
      </c>
      <c r="AJ52" s="83">
        <f t="shared" si="66"/>
        <v>1.0999347185007398</v>
      </c>
      <c r="AK52" s="83">
        <f t="shared" si="66"/>
        <v>1.1142168723458752</v>
      </c>
      <c r="AL52" s="83">
        <f t="shared" si="66"/>
        <v>1.1286844734862229</v>
      </c>
      <c r="AM52" s="83">
        <f t="shared" si="66"/>
        <v>1.1384563667275578</v>
      </c>
      <c r="AN52" s="83">
        <f t="shared" si="66"/>
        <v>1.1483128627961339</v>
      </c>
      <c r="AO52" s="83">
        <f t="shared" si="66"/>
        <v>1.1582546941639706</v>
      </c>
      <c r="AP52" s="83">
        <f t="shared" si="66"/>
        <v>1.1682825996446635</v>
      </c>
      <c r="AQ52" s="83">
        <f t="shared" si="66"/>
        <v>1.1790158353578983</v>
      </c>
      <c r="AR52" s="83">
        <f t="shared" si="66"/>
        <v>1.1898476793606949</v>
      </c>
      <c r="AS52" s="83">
        <f t="shared" si="66"/>
        <v>1.2007790375862715</v>
      </c>
      <c r="AT52" s="83">
        <f t="shared" si="66"/>
        <v>1.2118108242908279</v>
      </c>
      <c r="AU52" s="83">
        <f t="shared" si="66"/>
        <v>1.2231818925097002</v>
      </c>
      <c r="AV52" s="83">
        <f t="shared" si="66"/>
        <v>1.2346596615352055</v>
      </c>
      <c r="AW52" s="83">
        <f t="shared" si="66"/>
        <v>1.2462451325980035</v>
      </c>
      <c r="AX52" s="83">
        <f t="shared" si="66"/>
        <v>1.2579393163238362</v>
      </c>
      <c r="AY52" s="83">
        <f t="shared" si="66"/>
        <v>1.268701529353238</v>
      </c>
      <c r="AZ52" s="83">
        <f t="shared" si="66"/>
        <v>1.279555817753675</v>
      </c>
      <c r="BA52" s="83">
        <f t="shared" si="66"/>
        <v>1.2905029692696315</v>
      </c>
      <c r="BB52" s="83">
        <f t="shared" si="66"/>
        <v>1.3015437783850849</v>
      </c>
      <c r="BC52" s="83">
        <f t="shared" si="66"/>
        <v>1.3127645676018178</v>
      </c>
      <c r="BD52" s="83">
        <f t="shared" si="66"/>
        <v>1.3240820927968078</v>
      </c>
      <c r="BE52" s="83">
        <f t="shared" si="66"/>
        <v>1.335497187944324</v>
      </c>
      <c r="BF52" s="83">
        <f t="shared" si="66"/>
        <v>1.3470106942084439</v>
      </c>
      <c r="BG52" s="83">
        <f t="shared" si="66"/>
        <v>1.358372853187948</v>
      </c>
      <c r="BH52" s="83">
        <f t="shared" si="66"/>
        <v>1.3698308530224881</v>
      </c>
      <c r="BI52" s="83">
        <f t="shared" si="66"/>
        <v>1.3813855021384829</v>
      </c>
      <c r="BJ52" s="83">
        <f t="shared" si="66"/>
        <v>1.3930376157815025</v>
      </c>
      <c r="BK52" s="83">
        <f t="shared" si="66"/>
        <v>1.4049175950831976</v>
      </c>
      <c r="BL52" s="83">
        <f t="shared" si="66"/>
        <v>1.4168988881660927</v>
      </c>
      <c r="BM52" s="83">
        <f t="shared" si="66"/>
        <v>1.4289823590453514</v>
      </c>
      <c r="BN52" s="83">
        <f t="shared" si="66"/>
        <v>1.4411688791045547</v>
      </c>
      <c r="BO52" s="83">
        <f t="shared" si="66"/>
        <v>1.4538615697545869</v>
      </c>
      <c r="BP52" s="83">
        <f t="shared" si="66"/>
        <v>1.4666660477171771</v>
      </c>
      <c r="BQ52" s="83">
        <f t="shared" ref="BQ52:DR52" si="67">BP52*(IF(((1+BQ51)^4-1)&lt;6%,1,((1+BQ51)^4)/(1.06))^(1/4))</f>
        <v>1.4795832975277241</v>
      </c>
      <c r="BR52" s="83">
        <f t="shared" si="67"/>
        <v>1.4926143123926456</v>
      </c>
      <c r="BS52" s="83">
        <f t="shared" si="67"/>
        <v>1.5054823471521197</v>
      </c>
      <c r="BT52" s="83">
        <f t="shared" si="67"/>
        <v>1.5184613190218683</v>
      </c>
      <c r="BU52" s="83">
        <f t="shared" si="67"/>
        <v>1.5315521844060871</v>
      </c>
      <c r="BV52" s="83">
        <f t="shared" si="67"/>
        <v>1.544755907954265</v>
      </c>
      <c r="BW52" s="83">
        <f t="shared" si="67"/>
        <v>1.5579445802120386</v>
      </c>
      <c r="BX52" s="83">
        <f t="shared" si="67"/>
        <v>1.5712458534801255</v>
      </c>
      <c r="BY52" s="83">
        <f t="shared" si="67"/>
        <v>1.5846606891128814</v>
      </c>
      <c r="BZ52" s="83">
        <f t="shared" si="67"/>
        <v>1.5981900566724236</v>
      </c>
      <c r="CA52" s="83">
        <f t="shared" si="67"/>
        <v>1.611222388043491</v>
      </c>
      <c r="CB52" s="83">
        <f t="shared" si="67"/>
        <v>1.6243609906682532</v>
      </c>
      <c r="CC52" s="83">
        <f t="shared" si="67"/>
        <v>1.6376067311283711</v>
      </c>
      <c r="CD52" s="83">
        <f t="shared" si="67"/>
        <v>1.650960483071986</v>
      </c>
      <c r="CE52" s="83">
        <f t="shared" si="67"/>
        <v>1.6644231272713432</v>
      </c>
      <c r="CF52" s="83">
        <f t="shared" si="67"/>
        <v>1.6779955516808853</v>
      </c>
      <c r="CG52" s="83">
        <f t="shared" si="67"/>
        <v>1.6916786514958182</v>
      </c>
      <c r="CH52" s="83">
        <f t="shared" si="67"/>
        <v>1.7054733292111561</v>
      </c>
      <c r="CI52" s="83">
        <f t="shared" si="67"/>
        <v>1.719380494681247</v>
      </c>
      <c r="CJ52" s="83">
        <f t="shared" si="67"/>
        <v>1.7334010651797833</v>
      </c>
      <c r="CK52" s="83">
        <f t="shared" si="67"/>
        <v>1.7475359654603038</v>
      </c>
      <c r="CL52" s="83">
        <f t="shared" si="67"/>
        <v>1.7617861278171858</v>
      </c>
      <c r="CM52" s="83">
        <f t="shared" si="67"/>
        <v>1.7761524921471381</v>
      </c>
      <c r="CN52" s="83">
        <f t="shared" si="67"/>
        <v>1.7906360060111923</v>
      </c>
      <c r="CO52" s="83">
        <f t="shared" si="67"/>
        <v>1.8052376246972017</v>
      </c>
      <c r="CP52" s="83">
        <f t="shared" si="67"/>
        <v>1.8199583112828488</v>
      </c>
      <c r="CQ52" s="83">
        <f t="shared" si="67"/>
        <v>1.8347990366991673</v>
      </c>
      <c r="CR52" s="83">
        <f t="shared" si="67"/>
        <v>1.8497607797945816</v>
      </c>
      <c r="CS52" s="83">
        <f t="shared" si="67"/>
        <v>1.8648445273994687</v>
      </c>
      <c r="CT52" s="83">
        <f t="shared" si="67"/>
        <v>1.8800512743912456</v>
      </c>
      <c r="CU52" s="83">
        <f t="shared" si="67"/>
        <v>1.8942992572377588</v>
      </c>
      <c r="CV52" s="83">
        <f t="shared" si="67"/>
        <v>1.9086552185303707</v>
      </c>
      <c r="CW52" s="83">
        <f t="shared" si="67"/>
        <v>1.9231199765845541</v>
      </c>
      <c r="CX52" s="83">
        <f t="shared" si="67"/>
        <v>1.9376943559173923</v>
      </c>
      <c r="CY52" s="83">
        <f t="shared" si="67"/>
        <v>1.9523791872945768</v>
      </c>
      <c r="CZ52" s="83">
        <f t="shared" si="67"/>
        <v>1.9671753077777641</v>
      </c>
      <c r="DA52" s="83">
        <f t="shared" si="67"/>
        <v>1.9820835607722882</v>
      </c>
      <c r="DB52" s="83">
        <f t="shared" si="67"/>
        <v>1.9971047960752368</v>
      </c>
      <c r="DC52" s="83">
        <f t="shared" si="67"/>
        <v>2.0122398699238917</v>
      </c>
      <c r="DD52" s="83">
        <f t="shared" si="67"/>
        <v>2.0274896450445352</v>
      </c>
      <c r="DE52" s="83">
        <f t="shared" si="67"/>
        <v>2.0428549907016271</v>
      </c>
      <c r="DF52" s="83">
        <f t="shared" si="67"/>
        <v>2.0583367827473551</v>
      </c>
      <c r="DG52" s="83">
        <f t="shared" si="67"/>
        <v>2.0739359036715586</v>
      </c>
      <c r="DH52" s="83">
        <f t="shared" si="67"/>
        <v>2.0896532426520329</v>
      </c>
      <c r="DI52" s="83">
        <f t="shared" si="67"/>
        <v>2.1054896956052152</v>
      </c>
      <c r="DJ52" s="83">
        <f t="shared" si="67"/>
        <v>2.1214461652372507</v>
      </c>
      <c r="DK52" s="83">
        <f t="shared" si="67"/>
        <v>2.1375235610954508</v>
      </c>
      <c r="DL52" s="83">
        <f t="shared" si="67"/>
        <v>2.1537227996201382</v>
      </c>
      <c r="DM52" s="83">
        <f t="shared" si="67"/>
        <v>2.1700448041968849</v>
      </c>
      <c r="DN52" s="83">
        <f t="shared" si="67"/>
        <v>2.1864905052091479</v>
      </c>
      <c r="DO52" s="83">
        <f t="shared" si="67"/>
        <v>2.2030608400913021</v>
      </c>
      <c r="DP52" s="83">
        <f t="shared" si="67"/>
        <v>2.2197567533820766</v>
      </c>
      <c r="DQ52" s="83">
        <f t="shared" si="67"/>
        <v>2.2365791967783935</v>
      </c>
      <c r="DR52" s="83">
        <f t="shared" si="67"/>
        <v>2.2535291291896176</v>
      </c>
      <c r="DS52" s="83">
        <f t="shared" ref="DS52:EP52" si="68">DR52*(IF(((1+DS51)^4-1)&lt;6%,1,((1+DS51)^4)/(1.06))^(1/4))</f>
        <v>2.2706075167922153</v>
      </c>
      <c r="DT52" s="83">
        <f t="shared" si="68"/>
        <v>2.2878153330848292</v>
      </c>
      <c r="DU52" s="83">
        <f t="shared" si="68"/>
        <v>2.3051535589437688</v>
      </c>
      <c r="DV52" s="83">
        <f t="shared" si="68"/>
        <v>2.3226231826789219</v>
      </c>
      <c r="DW52" s="83">
        <f t="shared" si="68"/>
        <v>2.3402252000900901</v>
      </c>
      <c r="DX52" s="83">
        <f t="shared" si="68"/>
        <v>2.3579606145237513</v>
      </c>
      <c r="DY52" s="83">
        <f t="shared" si="68"/>
        <v>2.3758304369302525</v>
      </c>
      <c r="DZ52" s="83">
        <f t="shared" si="68"/>
        <v>2.3938356859214363</v>
      </c>
      <c r="EA52" s="83">
        <f t="shared" si="68"/>
        <v>2.4119773878287014</v>
      </c>
      <c r="EB52" s="83">
        <f t="shared" si="68"/>
        <v>2.4302565767615079</v>
      </c>
      <c r="EC52" s="83">
        <f t="shared" si="68"/>
        <v>2.448674294666322</v>
      </c>
      <c r="ED52" s="83">
        <f t="shared" si="68"/>
        <v>2.467231591386009</v>
      </c>
      <c r="EE52" s="83">
        <f t="shared" si="68"/>
        <v>2.4859295247196762</v>
      </c>
      <c r="EF52" s="83">
        <f t="shared" si="68"/>
        <v>2.5047691604829696</v>
      </c>
      <c r="EG52" s="83">
        <f t="shared" si="68"/>
        <v>2.5237515725688273</v>
      </c>
      <c r="EH52" s="83">
        <f t="shared" si="68"/>
        <v>2.5428778430086934</v>
      </c>
      <c r="EI52" s="83">
        <f t="shared" si="68"/>
        <v>2.5621490620341945</v>
      </c>
      <c r="EJ52" s="83">
        <f t="shared" si="68"/>
        <v>2.5815663281392869</v>
      </c>
      <c r="EK52" s="83">
        <f t="shared" si="68"/>
        <v>2.6011307481428716</v>
      </c>
      <c r="EL52" s="83">
        <f t="shared" si="68"/>
        <v>2.6208434372518843</v>
      </c>
      <c r="EM52" s="83">
        <f t="shared" si="68"/>
        <v>2.6407055191248654</v>
      </c>
      <c r="EN52" s="83">
        <f t="shared" si="68"/>
        <v>2.6607181259360102</v>
      </c>
      <c r="EO52" s="83">
        <f t="shared" si="68"/>
        <v>2.6808823984397048</v>
      </c>
      <c r="EP52" s="83">
        <f t="shared" si="68"/>
        <v>2.7011994860355504</v>
      </c>
    </row>
    <row r="53" spans="1:146">
      <c r="A53" s="54">
        <f t="shared" si="38"/>
        <v>11</v>
      </c>
      <c r="B53" s="6" t="s">
        <v>345</v>
      </c>
      <c r="C53" s="84"/>
      <c r="D53" s="83">
        <f>AVERAGE(D52,C52)</f>
        <v>0.62979015632594848</v>
      </c>
      <c r="E53" s="83">
        <f t="shared" ref="E53:BP53" si="69">AVERAGE(E52,D52)</f>
        <v>0.64483838752742861</v>
      </c>
      <c r="F53" s="83">
        <f t="shared" si="69"/>
        <v>0.66024618176751537</v>
      </c>
      <c r="G53" s="83">
        <f t="shared" si="69"/>
        <v>0.67602213045984438</v>
      </c>
      <c r="H53" s="83">
        <f t="shared" si="69"/>
        <v>0.69311058075709098</v>
      </c>
      <c r="I53" s="83">
        <f t="shared" si="69"/>
        <v>0.71156780691721155</v>
      </c>
      <c r="J53" s="83">
        <f t="shared" si="69"/>
        <v>0.73051654079195072</v>
      </c>
      <c r="K53" s="83">
        <f t="shared" si="69"/>
        <v>0.74996987101290635</v>
      </c>
      <c r="L53" s="83">
        <f t="shared" si="69"/>
        <v>0.77014809192951739</v>
      </c>
      <c r="M53" s="83">
        <f t="shared" si="69"/>
        <v>0.79107612820368534</v>
      </c>
      <c r="N53" s="83">
        <f t="shared" si="69"/>
        <v>0.81257286380579119</v>
      </c>
      <c r="O53" s="83">
        <f t="shared" si="69"/>
        <v>0.83465375259501973</v>
      </c>
      <c r="P53" s="83">
        <f t="shared" si="69"/>
        <v>0.85289533477725055</v>
      </c>
      <c r="Q53" s="83">
        <f t="shared" si="69"/>
        <v>0.86711924519822448</v>
      </c>
      <c r="R53" s="83">
        <f t="shared" si="69"/>
        <v>0.88158037069051398</v>
      </c>
      <c r="S53" s="83">
        <f t="shared" si="69"/>
        <v>0.89628266733851447</v>
      </c>
      <c r="T53" s="83">
        <f t="shared" si="69"/>
        <v>0.90918840510418875</v>
      </c>
      <c r="U53" s="83">
        <f t="shared" si="69"/>
        <v>0.92024279770670681</v>
      </c>
      <c r="V53" s="83">
        <f t="shared" si="69"/>
        <v>0.93143159545025467</v>
      </c>
      <c r="W53" s="83">
        <f t="shared" si="69"/>
        <v>0.94275643250349117</v>
      </c>
      <c r="X53" s="83">
        <f t="shared" si="69"/>
        <v>0.95689311889776674</v>
      </c>
      <c r="Y53" s="83">
        <f t="shared" si="69"/>
        <v>0.97392343590584596</v>
      </c>
      <c r="Z53" s="83">
        <f t="shared" si="69"/>
        <v>0.99125685018954324</v>
      </c>
      <c r="AA53" s="83">
        <f t="shared" si="69"/>
        <v>1.0032118439578568</v>
      </c>
      <c r="AB53" s="83">
        <f t="shared" si="69"/>
        <v>1.0096561637567896</v>
      </c>
      <c r="AC53" s="83">
        <f t="shared" si="69"/>
        <v>1.0161418798549398</v>
      </c>
      <c r="AD53" s="83">
        <f t="shared" si="69"/>
        <v>1.0226692581692145</v>
      </c>
      <c r="AE53" s="83">
        <f t="shared" si="69"/>
        <v>1.0315960105876343</v>
      </c>
      <c r="AF53" s="83">
        <f t="shared" si="69"/>
        <v>1.0429635274426041</v>
      </c>
      <c r="AG53" s="83">
        <f t="shared" si="69"/>
        <v>1.0544563069373298</v>
      </c>
      <c r="AH53" s="128">
        <f t="shared" si="69"/>
        <v>1.066075729384603</v>
      </c>
      <c r="AI53" s="83">
        <f t="shared" si="69"/>
        <v>1.0788764548489929</v>
      </c>
      <c r="AJ53" s="83">
        <f t="shared" si="69"/>
        <v>1.0928851766839127</v>
      </c>
      <c r="AK53" s="83">
        <f t="shared" si="69"/>
        <v>1.1070757954233075</v>
      </c>
      <c r="AL53" s="83">
        <f t="shared" si="69"/>
        <v>1.1214506729160489</v>
      </c>
      <c r="AM53" s="83">
        <f t="shared" si="69"/>
        <v>1.1335704201068904</v>
      </c>
      <c r="AN53" s="83">
        <f t="shared" si="69"/>
        <v>1.1433846147618458</v>
      </c>
      <c r="AO53" s="83">
        <f t="shared" si="69"/>
        <v>1.1532837784800523</v>
      </c>
      <c r="AP53" s="83">
        <f t="shared" si="69"/>
        <v>1.1632686469043172</v>
      </c>
      <c r="AQ53" s="83">
        <f t="shared" si="69"/>
        <v>1.1736492175012809</v>
      </c>
      <c r="AR53" s="83">
        <f t="shared" si="69"/>
        <v>1.1844317573592966</v>
      </c>
      <c r="AS53" s="83">
        <f t="shared" si="69"/>
        <v>1.1953133584734832</v>
      </c>
      <c r="AT53" s="83">
        <f t="shared" si="69"/>
        <v>1.2062949309385496</v>
      </c>
      <c r="AU53" s="83">
        <f t="shared" si="69"/>
        <v>1.217496358400264</v>
      </c>
      <c r="AV53" s="83">
        <f t="shared" si="69"/>
        <v>1.2289207770224528</v>
      </c>
      <c r="AW53" s="83">
        <f t="shared" si="69"/>
        <v>1.2404523970666044</v>
      </c>
      <c r="AX53" s="83">
        <f t="shared" si="69"/>
        <v>1.2520922244609198</v>
      </c>
      <c r="AY53" s="83">
        <f t="shared" si="69"/>
        <v>1.2633204228385371</v>
      </c>
      <c r="AZ53" s="83">
        <f t="shared" si="69"/>
        <v>1.2741286735534565</v>
      </c>
      <c r="BA53" s="83">
        <f t="shared" si="69"/>
        <v>1.2850293935116532</v>
      </c>
      <c r="BB53" s="83">
        <f t="shared" si="69"/>
        <v>1.2960233738273583</v>
      </c>
      <c r="BC53" s="83">
        <f t="shared" si="69"/>
        <v>1.3071541729934513</v>
      </c>
      <c r="BD53" s="83">
        <f t="shared" si="69"/>
        <v>1.3184233301993129</v>
      </c>
      <c r="BE53" s="83">
        <f t="shared" si="69"/>
        <v>1.3297896403705658</v>
      </c>
      <c r="BF53" s="83">
        <f t="shared" si="69"/>
        <v>1.341253941076384</v>
      </c>
      <c r="BG53" s="83">
        <f t="shared" si="69"/>
        <v>1.3526917736981958</v>
      </c>
      <c r="BH53" s="83">
        <f t="shared" si="69"/>
        <v>1.364101853105218</v>
      </c>
      <c r="BI53" s="83">
        <f t="shared" si="69"/>
        <v>1.3756081775804856</v>
      </c>
      <c r="BJ53" s="83">
        <f t="shared" si="69"/>
        <v>1.3872115589599927</v>
      </c>
      <c r="BK53" s="83">
        <f t="shared" si="69"/>
        <v>1.3989776054323499</v>
      </c>
      <c r="BL53" s="83">
        <f t="shared" si="69"/>
        <v>1.4109082416246452</v>
      </c>
      <c r="BM53" s="83">
        <f t="shared" si="69"/>
        <v>1.422940623605722</v>
      </c>
      <c r="BN53" s="83">
        <f t="shared" si="69"/>
        <v>1.435075619074953</v>
      </c>
      <c r="BO53" s="83">
        <f t="shared" si="69"/>
        <v>1.4475152244295708</v>
      </c>
      <c r="BP53" s="83">
        <f t="shared" si="69"/>
        <v>1.4602638087358821</v>
      </c>
      <c r="BQ53" s="83">
        <f t="shared" ref="BQ53:DR53" si="70">AVERAGE(BQ52,BP52)</f>
        <v>1.4731246726224505</v>
      </c>
      <c r="BR53" s="83">
        <f t="shared" si="70"/>
        <v>1.4860988049601849</v>
      </c>
      <c r="BS53" s="83">
        <f t="shared" si="70"/>
        <v>1.4990483297723827</v>
      </c>
      <c r="BT53" s="83">
        <f t="shared" si="70"/>
        <v>1.511971833086994</v>
      </c>
      <c r="BU53" s="83">
        <f t="shared" si="70"/>
        <v>1.5250067517139776</v>
      </c>
      <c r="BV53" s="83">
        <f t="shared" si="70"/>
        <v>1.5381540461801761</v>
      </c>
      <c r="BW53" s="83">
        <f t="shared" si="70"/>
        <v>1.5513502440831517</v>
      </c>
      <c r="BX53" s="83">
        <f t="shared" si="70"/>
        <v>1.5645952168460822</v>
      </c>
      <c r="BY53" s="83">
        <f t="shared" si="70"/>
        <v>1.5779532712965034</v>
      </c>
      <c r="BZ53" s="83">
        <f t="shared" si="70"/>
        <v>1.5914253728926524</v>
      </c>
      <c r="CA53" s="83">
        <f t="shared" si="70"/>
        <v>1.6047062223579573</v>
      </c>
      <c r="CB53" s="83">
        <f t="shared" si="70"/>
        <v>1.6177916893558721</v>
      </c>
      <c r="CC53" s="83">
        <f t="shared" si="70"/>
        <v>1.6309838608983123</v>
      </c>
      <c r="CD53" s="83">
        <f t="shared" si="70"/>
        <v>1.6442836071001785</v>
      </c>
      <c r="CE53" s="83">
        <f t="shared" si="70"/>
        <v>1.6576918051716647</v>
      </c>
      <c r="CF53" s="83">
        <f t="shared" si="70"/>
        <v>1.6712093394761143</v>
      </c>
      <c r="CG53" s="83">
        <f t="shared" si="70"/>
        <v>1.6848371015883519</v>
      </c>
      <c r="CH53" s="83">
        <f t="shared" si="70"/>
        <v>1.6985759903534872</v>
      </c>
      <c r="CI53" s="83">
        <f t="shared" si="70"/>
        <v>1.7124269119462014</v>
      </c>
      <c r="CJ53" s="83">
        <f t="shared" si="70"/>
        <v>1.7263907799305152</v>
      </c>
      <c r="CK53" s="83">
        <f t="shared" si="70"/>
        <v>1.7404685153200434</v>
      </c>
      <c r="CL53" s="83">
        <f t="shared" si="70"/>
        <v>1.7546610466387449</v>
      </c>
      <c r="CM53" s="83">
        <f t="shared" si="70"/>
        <v>1.768969309982162</v>
      </c>
      <c r="CN53" s="83">
        <f t="shared" si="70"/>
        <v>1.7833942490791652</v>
      </c>
      <c r="CO53" s="83">
        <f t="shared" si="70"/>
        <v>1.797936815354197</v>
      </c>
      <c r="CP53" s="83">
        <f t="shared" si="70"/>
        <v>1.8125979679900253</v>
      </c>
      <c r="CQ53" s="83">
        <f t="shared" si="70"/>
        <v>1.8273786739910081</v>
      </c>
      <c r="CR53" s="83">
        <f t="shared" si="70"/>
        <v>1.8422799082468746</v>
      </c>
      <c r="CS53" s="83">
        <f t="shared" si="70"/>
        <v>1.8573026535970252</v>
      </c>
      <c r="CT53" s="83">
        <f t="shared" si="70"/>
        <v>1.8724479008953572</v>
      </c>
      <c r="CU53" s="83">
        <f t="shared" si="70"/>
        <v>1.8871752658145022</v>
      </c>
      <c r="CV53" s="83">
        <f t="shared" si="70"/>
        <v>1.9014772378840648</v>
      </c>
      <c r="CW53" s="83">
        <f t="shared" si="70"/>
        <v>1.9158875975574623</v>
      </c>
      <c r="CX53" s="83">
        <f t="shared" si="70"/>
        <v>1.9304071662509732</v>
      </c>
      <c r="CY53" s="83">
        <f t="shared" si="70"/>
        <v>1.9450367716059844</v>
      </c>
      <c r="CZ53" s="83">
        <f t="shared" si="70"/>
        <v>1.9597772475361706</v>
      </c>
      <c r="DA53" s="83">
        <f t="shared" si="70"/>
        <v>1.9746294342750261</v>
      </c>
      <c r="DB53" s="83">
        <f t="shared" si="70"/>
        <v>1.9895941784237625</v>
      </c>
      <c r="DC53" s="83">
        <f t="shared" si="70"/>
        <v>2.0046723329995642</v>
      </c>
      <c r="DD53" s="83">
        <f t="shared" si="70"/>
        <v>2.0198647574842132</v>
      </c>
      <c r="DE53" s="83">
        <f t="shared" si="70"/>
        <v>2.0351723178730809</v>
      </c>
      <c r="DF53" s="83">
        <f t="shared" si="70"/>
        <v>2.0505958867244911</v>
      </c>
      <c r="DG53" s="83">
        <f t="shared" si="70"/>
        <v>2.0661363432094566</v>
      </c>
      <c r="DH53" s="83">
        <f t="shared" si="70"/>
        <v>2.0817945731617957</v>
      </c>
      <c r="DI53" s="83">
        <f t="shared" si="70"/>
        <v>2.0975714691286242</v>
      </c>
      <c r="DJ53" s="83">
        <f t="shared" si="70"/>
        <v>2.1134679304212329</v>
      </c>
      <c r="DK53" s="83">
        <f t="shared" si="70"/>
        <v>2.1294848631663506</v>
      </c>
      <c r="DL53" s="83">
        <f t="shared" si="70"/>
        <v>2.1456231803577945</v>
      </c>
      <c r="DM53" s="83">
        <f t="shared" si="70"/>
        <v>2.1618838019085116</v>
      </c>
      <c r="DN53" s="83">
        <f t="shared" si="70"/>
        <v>2.1782676547030162</v>
      </c>
      <c r="DO53" s="83">
        <f t="shared" si="70"/>
        <v>2.1947756726502252</v>
      </c>
      <c r="DP53" s="83">
        <f t="shared" si="70"/>
        <v>2.2114087967366896</v>
      </c>
      <c r="DQ53" s="83">
        <f t="shared" si="70"/>
        <v>2.2281679750802352</v>
      </c>
      <c r="DR53" s="83">
        <f t="shared" si="70"/>
        <v>2.2450541629840055</v>
      </c>
      <c r="DS53" s="83">
        <f t="shared" ref="DS53:EP53" si="71">AVERAGE(DS52,DR52)</f>
        <v>2.2620683229909164</v>
      </c>
      <c r="DT53" s="83">
        <f t="shared" si="71"/>
        <v>2.2792114249385222</v>
      </c>
      <c r="DU53" s="83">
        <f t="shared" si="71"/>
        <v>2.2964844460142988</v>
      </c>
      <c r="DV53" s="83">
        <f t="shared" si="71"/>
        <v>2.3138883708113456</v>
      </c>
      <c r="DW53" s="83">
        <f t="shared" si="71"/>
        <v>2.3314241913845057</v>
      </c>
      <c r="DX53" s="83">
        <f t="shared" si="71"/>
        <v>2.3490929073069209</v>
      </c>
      <c r="DY53" s="83">
        <f t="shared" si="71"/>
        <v>2.3668955257270019</v>
      </c>
      <c r="DZ53" s="83">
        <f t="shared" si="71"/>
        <v>2.3848330614258444</v>
      </c>
      <c r="EA53" s="83">
        <f t="shared" si="71"/>
        <v>2.4029065368750686</v>
      </c>
      <c r="EB53" s="83">
        <f t="shared" si="71"/>
        <v>2.4211169822951044</v>
      </c>
      <c r="EC53" s="83">
        <f t="shared" si="71"/>
        <v>2.4394654357139149</v>
      </c>
      <c r="ED53" s="83">
        <f t="shared" si="71"/>
        <v>2.4579529430261653</v>
      </c>
      <c r="EE53" s="83">
        <f t="shared" si="71"/>
        <v>2.4765805580528424</v>
      </c>
      <c r="EF53" s="83">
        <f t="shared" si="71"/>
        <v>2.4953493426013229</v>
      </c>
      <c r="EG53" s="83">
        <f t="shared" si="71"/>
        <v>2.5142603665258987</v>
      </c>
      <c r="EH53" s="83">
        <f t="shared" si="71"/>
        <v>2.5333147077887603</v>
      </c>
      <c r="EI53" s="83">
        <f t="shared" si="71"/>
        <v>2.5525134525214437</v>
      </c>
      <c r="EJ53" s="83">
        <f t="shared" si="71"/>
        <v>2.5718576950867407</v>
      </c>
      <c r="EK53" s="83">
        <f t="shared" si="71"/>
        <v>2.5913485381410792</v>
      </c>
      <c r="EL53" s="83">
        <f t="shared" si="71"/>
        <v>2.6109870926973779</v>
      </c>
      <c r="EM53" s="83">
        <f t="shared" si="71"/>
        <v>2.6307744781883748</v>
      </c>
      <c r="EN53" s="83">
        <f t="shared" si="71"/>
        <v>2.6507118225304378</v>
      </c>
      <c r="EO53" s="83">
        <f t="shared" si="71"/>
        <v>2.6708002621878575</v>
      </c>
      <c r="EP53" s="83">
        <f t="shared" si="71"/>
        <v>2.6910409422376276</v>
      </c>
    </row>
    <row r="54" spans="1:146">
      <c r="A54" s="54">
        <f t="shared" si="38"/>
        <v>12</v>
      </c>
      <c r="B54" s="6" t="s">
        <v>346</v>
      </c>
      <c r="C54" s="85"/>
      <c r="D54" s="86">
        <f>D55/C55-1</f>
        <v>-0.14328358208955227</v>
      </c>
      <c r="E54" s="86">
        <f t="shared" ref="E54:BP54" si="72">E55/D55-1</f>
        <v>1.7421602787456303E-2</v>
      </c>
      <c r="F54" s="86">
        <f t="shared" si="72"/>
        <v>-1.0273972602739656E-2</v>
      </c>
      <c r="G54" s="86">
        <f t="shared" si="72"/>
        <v>6.9204152249136008E-3</v>
      </c>
      <c r="H54" s="86">
        <f t="shared" si="72"/>
        <v>6.8728522336769737E-2</v>
      </c>
      <c r="I54" s="86">
        <f t="shared" si="72"/>
        <v>-8.0385852090032128E-2</v>
      </c>
      <c r="J54" s="86">
        <f t="shared" si="72"/>
        <v>-7.3426573426573438E-2</v>
      </c>
      <c r="K54" s="86">
        <f t="shared" si="72"/>
        <v>7.547169811320753E-3</v>
      </c>
      <c r="L54" s="86">
        <f t="shared" si="72"/>
        <v>-0.11985018726591756</v>
      </c>
      <c r="M54" s="86">
        <f t="shared" si="72"/>
        <v>-5.5319148936170182E-2</v>
      </c>
      <c r="N54" s="86">
        <f t="shared" si="72"/>
        <v>5.4054054054053946E-2</v>
      </c>
      <c r="O54" s="86">
        <f t="shared" si="72"/>
        <v>-7.2649572649572614E-2</v>
      </c>
      <c r="P54" s="86">
        <f t="shared" si="72"/>
        <v>-4.6082949308754451E-3</v>
      </c>
      <c r="Q54" s="86">
        <f t="shared" si="72"/>
        <v>4.6296296296295392E-3</v>
      </c>
      <c r="R54" s="86">
        <f t="shared" si="72"/>
        <v>-1.3824884792626668E-2</v>
      </c>
      <c r="S54" s="86">
        <f t="shared" si="72"/>
        <v>-4.2056074766355311E-2</v>
      </c>
      <c r="T54" s="86">
        <f t="shared" si="72"/>
        <v>-5.85365853658536E-2</v>
      </c>
      <c r="U54" s="86">
        <f t="shared" si="72"/>
        <v>-4.663212435233155E-2</v>
      </c>
      <c r="V54" s="86">
        <f t="shared" si="72"/>
        <v>-3.8043478260869623E-2</v>
      </c>
      <c r="W54" s="86">
        <f t="shared" si="72"/>
        <v>-1.1299435028248594E-2</v>
      </c>
      <c r="X54" s="86">
        <f t="shared" si="72"/>
        <v>-9.1428571428571415E-2</v>
      </c>
      <c r="Y54" s="86">
        <f t="shared" si="72"/>
        <v>0.20125786163522008</v>
      </c>
      <c r="Z54" s="86">
        <f t="shared" si="72"/>
        <v>0.22513089005235609</v>
      </c>
      <c r="AA54" s="86">
        <f t="shared" si="72"/>
        <v>-8.5470085470085166E-3</v>
      </c>
      <c r="AB54" s="86">
        <f t="shared" si="72"/>
        <v>-0.15948275862068961</v>
      </c>
      <c r="AC54" s="86">
        <f t="shared" si="72"/>
        <v>-8.7179487179487092E-2</v>
      </c>
      <c r="AD54" s="86">
        <f t="shared" si="72"/>
        <v>-2.2471910112359605E-2</v>
      </c>
      <c r="AE54" s="86">
        <f t="shared" si="72"/>
        <v>2.2988505747126409E-2</v>
      </c>
      <c r="AF54" s="86">
        <f t="shared" si="72"/>
        <v>1.1235955056179803E-2</v>
      </c>
      <c r="AG54" s="86">
        <f t="shared" si="72"/>
        <v>-6.1111111111111116E-2</v>
      </c>
      <c r="AH54" s="129">
        <f t="shared" si="72"/>
        <v>-1.4082840236686378E-2</v>
      </c>
      <c r="AI54" s="86">
        <f t="shared" si="72"/>
        <v>-2.2506301764493974E-2</v>
      </c>
      <c r="AJ54" s="86">
        <f t="shared" si="72"/>
        <v>-4.1505495180205187E-2</v>
      </c>
      <c r="AK54" s="86">
        <f t="shared" si="72"/>
        <v>0.18788034078534377</v>
      </c>
      <c r="AL54" s="86">
        <f t="shared" si="72"/>
        <v>1.1540120793787745E-2</v>
      </c>
      <c r="AM54" s="86">
        <f t="shared" si="72"/>
        <v>-2.8947649003091991E-2</v>
      </c>
      <c r="AN54" s="86">
        <f t="shared" si="72"/>
        <v>9.7996157013450436E-2</v>
      </c>
      <c r="AO54" s="86">
        <f t="shared" si="72"/>
        <v>-1.2499999999999956E-2</v>
      </c>
      <c r="AP54" s="86">
        <f t="shared" si="72"/>
        <v>-1.2658227848101333E-2</v>
      </c>
      <c r="AQ54" s="86">
        <f t="shared" si="72"/>
        <v>0</v>
      </c>
      <c r="AR54" s="86">
        <f t="shared" si="72"/>
        <v>0</v>
      </c>
      <c r="AS54" s="86">
        <f t="shared" si="72"/>
        <v>0</v>
      </c>
      <c r="AT54" s="86">
        <f t="shared" si="72"/>
        <v>0</v>
      </c>
      <c r="AU54" s="86">
        <f t="shared" si="72"/>
        <v>6.4102564102563875E-3</v>
      </c>
      <c r="AV54" s="86">
        <f t="shared" si="72"/>
        <v>6.3694267515923553E-3</v>
      </c>
      <c r="AW54" s="86">
        <f t="shared" si="72"/>
        <v>6.3291139240506666E-3</v>
      </c>
      <c r="AX54" s="86">
        <f t="shared" si="72"/>
        <v>6.2893081761006275E-3</v>
      </c>
      <c r="AY54" s="86">
        <f t="shared" si="72"/>
        <v>6.2499999999996447E-3</v>
      </c>
      <c r="AZ54" s="86">
        <f t="shared" si="72"/>
        <v>6.2111801242232811E-3</v>
      </c>
      <c r="BA54" s="86">
        <f t="shared" si="72"/>
        <v>6.1728395061724228E-3</v>
      </c>
      <c r="BB54" s="86">
        <f t="shared" si="72"/>
        <v>6.134969325154449E-3</v>
      </c>
      <c r="BC54" s="86">
        <f t="shared" si="72"/>
        <v>5.6210937499998614E-3</v>
      </c>
      <c r="BD54" s="86">
        <f t="shared" si="72"/>
        <v>6.2111801242235032E-3</v>
      </c>
      <c r="BE54" s="86">
        <f t="shared" si="72"/>
        <v>6.1728395061726449E-3</v>
      </c>
      <c r="BF54" s="86">
        <f t="shared" si="72"/>
        <v>6.1349693251533388E-3</v>
      </c>
      <c r="BG54" s="86">
        <f t="shared" si="72"/>
        <v>5.0000000000001155E-3</v>
      </c>
      <c r="BH54" s="86">
        <f t="shared" si="72"/>
        <v>4.9751243781093191E-3</v>
      </c>
      <c r="BI54" s="86">
        <f t="shared" si="72"/>
        <v>4.9504950495049549E-3</v>
      </c>
      <c r="BJ54" s="86">
        <f t="shared" si="72"/>
        <v>4.9261083743841194E-3</v>
      </c>
      <c r="BK54" s="86">
        <f t="shared" si="72"/>
        <v>5.0000000000001155E-3</v>
      </c>
      <c r="BL54" s="86">
        <f t="shared" si="72"/>
        <v>4.9751243781093191E-3</v>
      </c>
      <c r="BM54" s="86">
        <f t="shared" si="72"/>
        <v>4.9504950495049549E-3</v>
      </c>
      <c r="BN54" s="86">
        <f t="shared" si="72"/>
        <v>4.9261083743843415E-3</v>
      </c>
      <c r="BO54" s="86">
        <f t="shared" si="72"/>
        <v>5.0000000000001155E-3</v>
      </c>
      <c r="BP54" s="86">
        <f t="shared" si="72"/>
        <v>4.9751243781095411E-3</v>
      </c>
      <c r="BQ54" s="86">
        <f t="shared" ref="BQ54:DR54" si="73">BQ55/BP55-1</f>
        <v>4.9504950495047328E-3</v>
      </c>
      <c r="BR54" s="86">
        <f t="shared" si="73"/>
        <v>4.9261083743843415E-3</v>
      </c>
      <c r="BS54" s="86">
        <f t="shared" si="73"/>
        <v>5.0000000000001155E-3</v>
      </c>
      <c r="BT54" s="86">
        <f t="shared" si="73"/>
        <v>4.9751243781093191E-3</v>
      </c>
      <c r="BU54" s="86">
        <f t="shared" si="73"/>
        <v>4.9504950495047328E-3</v>
      </c>
      <c r="BV54" s="86">
        <f t="shared" si="73"/>
        <v>4.9261083743843415E-3</v>
      </c>
      <c r="BW54" s="86">
        <f t="shared" si="73"/>
        <v>4.9999999999998934E-3</v>
      </c>
      <c r="BX54" s="86">
        <f t="shared" si="73"/>
        <v>4.9751243781095411E-3</v>
      </c>
      <c r="BY54" s="86">
        <f t="shared" si="73"/>
        <v>4.9504950495049549E-3</v>
      </c>
      <c r="BZ54" s="86">
        <f t="shared" si="73"/>
        <v>4.9261083743841194E-3</v>
      </c>
      <c r="CA54" s="86">
        <f t="shared" si="73"/>
        <v>4.9999999999998934E-3</v>
      </c>
      <c r="CB54" s="86">
        <f t="shared" si="73"/>
        <v>4.9751243781095411E-3</v>
      </c>
      <c r="CC54" s="86">
        <f t="shared" si="73"/>
        <v>4.9504950495049549E-3</v>
      </c>
      <c r="CD54" s="86">
        <f t="shared" si="73"/>
        <v>4.9261083743841194E-3</v>
      </c>
      <c r="CE54" s="86">
        <f t="shared" si="73"/>
        <v>5.0000000000001155E-3</v>
      </c>
      <c r="CF54" s="86">
        <f t="shared" si="73"/>
        <v>4.9751243781095411E-3</v>
      </c>
      <c r="CG54" s="86">
        <f t="shared" si="73"/>
        <v>4.9504950495049549E-3</v>
      </c>
      <c r="CH54" s="86">
        <f t="shared" si="73"/>
        <v>4.9261083743841194E-3</v>
      </c>
      <c r="CI54" s="86">
        <f t="shared" si="73"/>
        <v>5.0000000000001155E-3</v>
      </c>
      <c r="CJ54" s="86">
        <f t="shared" si="73"/>
        <v>4.9751243781093191E-3</v>
      </c>
      <c r="CK54" s="86">
        <f t="shared" si="73"/>
        <v>4.9504950495049549E-3</v>
      </c>
      <c r="CL54" s="86">
        <f t="shared" si="73"/>
        <v>4.9261083743843415E-3</v>
      </c>
      <c r="CM54" s="86">
        <f t="shared" si="73"/>
        <v>3.7500000000001421E-3</v>
      </c>
      <c r="CN54" s="86">
        <f t="shared" si="73"/>
        <v>3.7359900373599153E-3</v>
      </c>
      <c r="CO54" s="86">
        <f t="shared" si="73"/>
        <v>3.7220843672456372E-3</v>
      </c>
      <c r="CP54" s="86">
        <f t="shared" si="73"/>
        <v>3.7082818294189579E-3</v>
      </c>
      <c r="CQ54" s="86">
        <f t="shared" si="73"/>
        <v>3.7500000000001421E-3</v>
      </c>
      <c r="CR54" s="86">
        <f t="shared" si="73"/>
        <v>3.7359900373596933E-3</v>
      </c>
      <c r="CS54" s="86">
        <f t="shared" si="73"/>
        <v>3.7220843672456372E-3</v>
      </c>
      <c r="CT54" s="86">
        <f t="shared" si="73"/>
        <v>3.7082818294191799E-3</v>
      </c>
      <c r="CU54" s="86">
        <f t="shared" si="73"/>
        <v>3.7500000000001421E-3</v>
      </c>
      <c r="CV54" s="86">
        <f t="shared" si="73"/>
        <v>3.7359900373596933E-3</v>
      </c>
      <c r="CW54" s="86">
        <f t="shared" si="73"/>
        <v>3.7220843672456372E-3</v>
      </c>
      <c r="CX54" s="86">
        <f t="shared" si="73"/>
        <v>3.7082818294191799E-3</v>
      </c>
      <c r="CY54" s="86">
        <f t="shared" si="73"/>
        <v>3.7499999999999201E-3</v>
      </c>
      <c r="CZ54" s="86">
        <f t="shared" si="73"/>
        <v>3.7359900373599153E-3</v>
      </c>
      <c r="DA54" s="86">
        <f t="shared" si="73"/>
        <v>3.7220843672454151E-3</v>
      </c>
      <c r="DB54" s="86">
        <f t="shared" si="73"/>
        <v>3.7082818294189579E-3</v>
      </c>
      <c r="DC54" s="86">
        <f t="shared" si="73"/>
        <v>3.7500000000001421E-3</v>
      </c>
      <c r="DD54" s="86">
        <f t="shared" si="73"/>
        <v>3.7359900373596933E-3</v>
      </c>
      <c r="DE54" s="86">
        <f t="shared" si="73"/>
        <v>3.7220843672456372E-3</v>
      </c>
      <c r="DF54" s="86">
        <f t="shared" si="73"/>
        <v>3.7082818294191799E-3</v>
      </c>
      <c r="DG54" s="86">
        <f t="shared" si="73"/>
        <v>3.7499999999999201E-3</v>
      </c>
      <c r="DH54" s="86">
        <f t="shared" si="73"/>
        <v>3.7359900373599153E-3</v>
      </c>
      <c r="DI54" s="86">
        <f t="shared" si="73"/>
        <v>3.7220843672456372E-3</v>
      </c>
      <c r="DJ54" s="86">
        <f t="shared" si="73"/>
        <v>3.7082818294189579E-3</v>
      </c>
      <c r="DK54" s="86">
        <f t="shared" si="73"/>
        <v>0</v>
      </c>
      <c r="DL54" s="86">
        <f t="shared" si="73"/>
        <v>0</v>
      </c>
      <c r="DM54" s="86">
        <f t="shared" si="73"/>
        <v>0</v>
      </c>
      <c r="DN54" s="86">
        <f t="shared" si="73"/>
        <v>0</v>
      </c>
      <c r="DO54" s="86">
        <f t="shared" si="73"/>
        <v>0</v>
      </c>
      <c r="DP54" s="86">
        <f t="shared" si="73"/>
        <v>0</v>
      </c>
      <c r="DQ54" s="86">
        <f t="shared" si="73"/>
        <v>0</v>
      </c>
      <c r="DR54" s="86">
        <f t="shared" si="73"/>
        <v>0</v>
      </c>
      <c r="DS54" s="86">
        <f t="shared" ref="DS54:EP54" si="74">DS55/DR55-1</f>
        <v>0</v>
      </c>
      <c r="DT54" s="86">
        <f t="shared" si="74"/>
        <v>0</v>
      </c>
      <c r="DU54" s="86">
        <f t="shared" si="74"/>
        <v>0</v>
      </c>
      <c r="DV54" s="86">
        <f t="shared" si="74"/>
        <v>0</v>
      </c>
      <c r="DW54" s="86">
        <f t="shared" si="74"/>
        <v>0</v>
      </c>
      <c r="DX54" s="86">
        <f t="shared" si="74"/>
        <v>0</v>
      </c>
      <c r="DY54" s="86">
        <f t="shared" si="74"/>
        <v>0</v>
      </c>
      <c r="DZ54" s="86">
        <f t="shared" si="74"/>
        <v>0</v>
      </c>
      <c r="EA54" s="86">
        <f t="shared" si="74"/>
        <v>0</v>
      </c>
      <c r="EB54" s="86">
        <f t="shared" si="74"/>
        <v>0</v>
      </c>
      <c r="EC54" s="86">
        <f t="shared" si="74"/>
        <v>0</v>
      </c>
      <c r="ED54" s="86">
        <f t="shared" si="74"/>
        <v>0</v>
      </c>
      <c r="EE54" s="86">
        <f t="shared" si="74"/>
        <v>0</v>
      </c>
      <c r="EF54" s="86">
        <f t="shared" si="74"/>
        <v>0</v>
      </c>
      <c r="EG54" s="86">
        <f t="shared" si="74"/>
        <v>0</v>
      </c>
      <c r="EH54" s="86">
        <f t="shared" si="74"/>
        <v>0</v>
      </c>
      <c r="EI54" s="86">
        <f t="shared" si="74"/>
        <v>0</v>
      </c>
      <c r="EJ54" s="86">
        <f t="shared" si="74"/>
        <v>0</v>
      </c>
      <c r="EK54" s="86">
        <f t="shared" si="74"/>
        <v>0</v>
      </c>
      <c r="EL54" s="86">
        <f t="shared" si="74"/>
        <v>0</v>
      </c>
      <c r="EM54" s="86">
        <f t="shared" si="74"/>
        <v>0</v>
      </c>
      <c r="EN54" s="86">
        <f t="shared" si="74"/>
        <v>0</v>
      </c>
      <c r="EO54" s="86">
        <f t="shared" si="74"/>
        <v>0</v>
      </c>
      <c r="EP54" s="86">
        <f t="shared" si="74"/>
        <v>0</v>
      </c>
    </row>
    <row r="55" spans="1:146">
      <c r="A55" s="54">
        <f t="shared" si="38"/>
        <v>13</v>
      </c>
      <c r="B55" s="6" t="s">
        <v>354</v>
      </c>
      <c r="C55" s="87">
        <f>HLOOKUP(C$43,$B$5:$GB$36,$A$28,FALSE)</f>
        <v>3.35</v>
      </c>
      <c r="D55" s="87">
        <f t="shared" ref="D55:BO55" si="75">HLOOKUP(D$43,$B$5:$GB$36,$A$28,FALSE)</f>
        <v>2.87</v>
      </c>
      <c r="E55" s="87">
        <f t="shared" si="75"/>
        <v>2.92</v>
      </c>
      <c r="F55" s="87">
        <f t="shared" si="75"/>
        <v>2.89</v>
      </c>
      <c r="G55" s="87">
        <f t="shared" si="75"/>
        <v>2.91</v>
      </c>
      <c r="H55" s="87">
        <f t="shared" si="75"/>
        <v>3.11</v>
      </c>
      <c r="I55" s="87">
        <f t="shared" si="75"/>
        <v>2.86</v>
      </c>
      <c r="J55" s="87">
        <f t="shared" si="75"/>
        <v>2.65</v>
      </c>
      <c r="K55" s="87">
        <f t="shared" si="75"/>
        <v>2.67</v>
      </c>
      <c r="L55" s="87">
        <f t="shared" si="75"/>
        <v>2.35</v>
      </c>
      <c r="M55" s="87">
        <f t="shared" si="75"/>
        <v>2.2200000000000002</v>
      </c>
      <c r="N55" s="87">
        <f t="shared" si="75"/>
        <v>2.34</v>
      </c>
      <c r="O55" s="87">
        <f t="shared" si="75"/>
        <v>2.17</v>
      </c>
      <c r="P55" s="87">
        <f t="shared" si="75"/>
        <v>2.16</v>
      </c>
      <c r="Q55" s="87">
        <f t="shared" si="75"/>
        <v>2.17</v>
      </c>
      <c r="R55" s="87">
        <f t="shared" si="75"/>
        <v>2.14</v>
      </c>
      <c r="S55" s="87">
        <f t="shared" si="75"/>
        <v>2.0499999999999998</v>
      </c>
      <c r="T55" s="87">
        <f t="shared" si="75"/>
        <v>1.93</v>
      </c>
      <c r="U55" s="87">
        <f t="shared" si="75"/>
        <v>1.84</v>
      </c>
      <c r="V55" s="87">
        <f t="shared" si="75"/>
        <v>1.77</v>
      </c>
      <c r="W55" s="87">
        <f t="shared" si="75"/>
        <v>1.75</v>
      </c>
      <c r="X55" s="87">
        <f t="shared" si="75"/>
        <v>1.59</v>
      </c>
      <c r="Y55" s="87">
        <f t="shared" si="75"/>
        <v>1.91</v>
      </c>
      <c r="Z55" s="87">
        <f t="shared" si="75"/>
        <v>2.34</v>
      </c>
      <c r="AA55" s="87">
        <f t="shared" si="75"/>
        <v>2.3199999999999998</v>
      </c>
      <c r="AB55" s="87">
        <f t="shared" si="75"/>
        <v>1.95</v>
      </c>
      <c r="AC55" s="87">
        <f t="shared" si="75"/>
        <v>1.78</v>
      </c>
      <c r="AD55" s="87">
        <f t="shared" si="75"/>
        <v>1.74</v>
      </c>
      <c r="AE55" s="87">
        <f t="shared" si="75"/>
        <v>1.78</v>
      </c>
      <c r="AF55" s="87">
        <f t="shared" si="75"/>
        <v>1.8</v>
      </c>
      <c r="AG55" s="87">
        <f t="shared" si="75"/>
        <v>1.69</v>
      </c>
      <c r="AH55" s="87">
        <f t="shared" si="75"/>
        <v>1.6661999999999999</v>
      </c>
      <c r="AI55" s="87">
        <f t="shared" si="75"/>
        <v>1.6287</v>
      </c>
      <c r="AJ55" s="87">
        <f t="shared" si="75"/>
        <v>1.5610999999999999</v>
      </c>
      <c r="AK55" s="87">
        <f t="shared" si="75"/>
        <v>1.8544</v>
      </c>
      <c r="AL55" s="87">
        <f t="shared" si="75"/>
        <v>1.8757999999999999</v>
      </c>
      <c r="AM55" s="87">
        <f t="shared" si="75"/>
        <v>1.8214999999999999</v>
      </c>
      <c r="AN55" s="87">
        <f t="shared" si="75"/>
        <v>2</v>
      </c>
      <c r="AO55" s="87">
        <f t="shared" si="75"/>
        <v>1.9750000000000001</v>
      </c>
      <c r="AP55" s="87">
        <f t="shared" si="75"/>
        <v>1.95</v>
      </c>
      <c r="AQ55" s="87">
        <f t="shared" si="75"/>
        <v>1.95</v>
      </c>
      <c r="AR55" s="87">
        <f t="shared" si="75"/>
        <v>1.95</v>
      </c>
      <c r="AS55" s="87">
        <f t="shared" si="75"/>
        <v>1.95</v>
      </c>
      <c r="AT55" s="87">
        <f t="shared" si="75"/>
        <v>1.95</v>
      </c>
      <c r="AU55" s="87">
        <f t="shared" si="75"/>
        <v>1.9624999999999999</v>
      </c>
      <c r="AV55" s="87">
        <f t="shared" si="75"/>
        <v>1.9749999999999999</v>
      </c>
      <c r="AW55" s="87">
        <f t="shared" si="75"/>
        <v>1.9874999999999998</v>
      </c>
      <c r="AX55" s="87">
        <f t="shared" si="75"/>
        <v>2</v>
      </c>
      <c r="AY55" s="87">
        <f t="shared" si="75"/>
        <v>2.0124999999999993</v>
      </c>
      <c r="AZ55" s="87">
        <f t="shared" si="75"/>
        <v>2.0249999999999986</v>
      </c>
      <c r="BA55" s="87">
        <f t="shared" si="75"/>
        <v>2.0374999999999979</v>
      </c>
      <c r="BB55" s="87">
        <f t="shared" si="75"/>
        <v>2.0499999999999998</v>
      </c>
      <c r="BC55" s="87">
        <f t="shared" si="75"/>
        <v>2.0615232421874996</v>
      </c>
      <c r="BD55" s="87">
        <f t="shared" si="75"/>
        <v>2.0743277343749993</v>
      </c>
      <c r="BE55" s="87">
        <f t="shared" si="75"/>
        <v>2.087132226562499</v>
      </c>
      <c r="BF55" s="87">
        <f t="shared" si="75"/>
        <v>2.0999367187499991</v>
      </c>
      <c r="BG55" s="87">
        <f t="shared" si="75"/>
        <v>2.1104364023437494</v>
      </c>
      <c r="BH55" s="87">
        <f t="shared" si="75"/>
        <v>2.1209360859374993</v>
      </c>
      <c r="BI55" s="87">
        <f t="shared" si="75"/>
        <v>2.1314357695312491</v>
      </c>
      <c r="BJ55" s="87">
        <f t="shared" si="75"/>
        <v>2.141935453124999</v>
      </c>
      <c r="BK55" s="87">
        <f t="shared" si="75"/>
        <v>2.1526451303906242</v>
      </c>
      <c r="BL55" s="87">
        <f t="shared" si="75"/>
        <v>2.163354807656249</v>
      </c>
      <c r="BM55" s="87">
        <f t="shared" si="75"/>
        <v>2.1740644849218738</v>
      </c>
      <c r="BN55" s="87">
        <f t="shared" si="75"/>
        <v>2.184774162187499</v>
      </c>
      <c r="BO55" s="87">
        <f t="shared" si="75"/>
        <v>2.1956980329984366</v>
      </c>
      <c r="BP55" s="87">
        <f t="shared" ref="BP55:EA55" si="76">HLOOKUP(BP$43,$B$5:$GB$36,$A$28,FALSE)</f>
        <v>2.2066219038093742</v>
      </c>
      <c r="BQ55" s="87">
        <f t="shared" si="76"/>
        <v>2.2175457746203113</v>
      </c>
      <c r="BR55" s="87">
        <f t="shared" si="76"/>
        <v>2.2284696454312489</v>
      </c>
      <c r="BS55" s="87">
        <f t="shared" si="76"/>
        <v>2.2396119936584054</v>
      </c>
      <c r="BT55" s="87">
        <f t="shared" si="76"/>
        <v>2.2507543418855613</v>
      </c>
      <c r="BU55" s="87">
        <f t="shared" si="76"/>
        <v>2.2618966901127173</v>
      </c>
      <c r="BV55" s="87">
        <f t="shared" si="76"/>
        <v>2.2730390383398738</v>
      </c>
      <c r="BW55" s="87">
        <f t="shared" si="76"/>
        <v>2.2844042335315731</v>
      </c>
      <c r="BX55" s="87">
        <f t="shared" si="76"/>
        <v>2.2957694287232728</v>
      </c>
      <c r="BY55" s="87">
        <f t="shared" si="76"/>
        <v>2.3071346239149721</v>
      </c>
      <c r="BZ55" s="87">
        <f t="shared" si="76"/>
        <v>2.3184998191066715</v>
      </c>
      <c r="CA55" s="87">
        <f t="shared" si="76"/>
        <v>2.3300923182022046</v>
      </c>
      <c r="CB55" s="87">
        <f t="shared" si="76"/>
        <v>2.3416848172977383</v>
      </c>
      <c r="CC55" s="87">
        <f t="shared" si="76"/>
        <v>2.3532773163932719</v>
      </c>
      <c r="CD55" s="87">
        <f t="shared" si="76"/>
        <v>2.364869815488805</v>
      </c>
      <c r="CE55" s="87">
        <f t="shared" si="76"/>
        <v>2.3766941645662492</v>
      </c>
      <c r="CF55" s="87">
        <f t="shared" si="76"/>
        <v>2.3885185136436933</v>
      </c>
      <c r="CG55" s="87">
        <f t="shared" si="76"/>
        <v>2.4003428627211374</v>
      </c>
      <c r="CH55" s="87">
        <f t="shared" si="76"/>
        <v>2.4121672117985811</v>
      </c>
      <c r="CI55" s="87">
        <f t="shared" si="76"/>
        <v>2.4242280478575742</v>
      </c>
      <c r="CJ55" s="87">
        <f t="shared" si="76"/>
        <v>2.4362888839165668</v>
      </c>
      <c r="CK55" s="87">
        <f t="shared" si="76"/>
        <v>2.4483497199755595</v>
      </c>
      <c r="CL55" s="87">
        <f t="shared" si="76"/>
        <v>2.4604105560345526</v>
      </c>
      <c r="CM55" s="87">
        <f t="shared" si="76"/>
        <v>2.4696370956196825</v>
      </c>
      <c r="CN55" s="87">
        <f t="shared" si="76"/>
        <v>2.4788636352048119</v>
      </c>
      <c r="CO55" s="87">
        <f t="shared" si="76"/>
        <v>2.4880901747899413</v>
      </c>
      <c r="CP55" s="87">
        <f t="shared" si="76"/>
        <v>2.4973167143750707</v>
      </c>
      <c r="CQ55" s="87">
        <f t="shared" si="76"/>
        <v>2.5066816520539774</v>
      </c>
      <c r="CR55" s="87">
        <f t="shared" si="76"/>
        <v>2.5160465897328836</v>
      </c>
      <c r="CS55" s="87">
        <f t="shared" si="76"/>
        <v>2.5254115274117899</v>
      </c>
      <c r="CT55" s="87">
        <f t="shared" si="76"/>
        <v>2.5347764650906965</v>
      </c>
      <c r="CU55" s="87">
        <f t="shared" si="76"/>
        <v>2.5442818768347868</v>
      </c>
      <c r="CV55" s="87">
        <f t="shared" si="76"/>
        <v>2.5537872885788766</v>
      </c>
      <c r="CW55" s="87">
        <f t="shared" si="76"/>
        <v>2.5632927003229664</v>
      </c>
      <c r="CX55" s="87">
        <f t="shared" si="76"/>
        <v>2.5727981120670567</v>
      </c>
      <c r="CY55" s="87">
        <f t="shared" si="76"/>
        <v>2.5824461049873082</v>
      </c>
      <c r="CZ55" s="87">
        <f t="shared" si="76"/>
        <v>2.5920940979075597</v>
      </c>
      <c r="DA55" s="87">
        <f t="shared" si="76"/>
        <v>2.6017420908278108</v>
      </c>
      <c r="DB55" s="87">
        <f t="shared" si="76"/>
        <v>2.6113900837480624</v>
      </c>
      <c r="DC55" s="87">
        <f t="shared" si="76"/>
        <v>2.6211827965621177</v>
      </c>
      <c r="DD55" s="87">
        <f t="shared" si="76"/>
        <v>2.6309755093761726</v>
      </c>
      <c r="DE55" s="87">
        <f t="shared" si="76"/>
        <v>2.6407682221902276</v>
      </c>
      <c r="DF55" s="87">
        <f t="shared" si="76"/>
        <v>2.6505609350042829</v>
      </c>
      <c r="DG55" s="87">
        <f t="shared" si="76"/>
        <v>2.6605005385105489</v>
      </c>
      <c r="DH55" s="87">
        <f t="shared" si="76"/>
        <v>2.6704401420168149</v>
      </c>
      <c r="DI55" s="87">
        <f t="shared" si="76"/>
        <v>2.6803797455230809</v>
      </c>
      <c r="DJ55" s="87">
        <f t="shared" si="76"/>
        <v>2.6903193490293469</v>
      </c>
      <c r="DK55" s="87">
        <f t="shared" si="76"/>
        <v>2.6903193490293469</v>
      </c>
      <c r="DL55" s="87">
        <f t="shared" si="76"/>
        <v>2.6903193490293469</v>
      </c>
      <c r="DM55" s="87">
        <f t="shared" si="76"/>
        <v>2.6903193490293469</v>
      </c>
      <c r="DN55" s="87">
        <f t="shared" si="76"/>
        <v>2.6903193490293469</v>
      </c>
      <c r="DO55" s="87">
        <f t="shared" si="76"/>
        <v>2.6903193490293469</v>
      </c>
      <c r="DP55" s="87">
        <f t="shared" si="76"/>
        <v>2.6903193490293469</v>
      </c>
      <c r="DQ55" s="87">
        <f t="shared" si="76"/>
        <v>2.6903193490293469</v>
      </c>
      <c r="DR55" s="87">
        <f t="shared" si="76"/>
        <v>2.6903193490293469</v>
      </c>
      <c r="DS55" s="87">
        <f t="shared" si="76"/>
        <v>2.6903193490293469</v>
      </c>
      <c r="DT55" s="87">
        <f t="shared" si="76"/>
        <v>2.6903193490293469</v>
      </c>
      <c r="DU55" s="87">
        <f t="shared" si="76"/>
        <v>2.6903193490293469</v>
      </c>
      <c r="DV55" s="87">
        <f t="shared" si="76"/>
        <v>2.6903193490293469</v>
      </c>
      <c r="DW55" s="87">
        <f t="shared" si="76"/>
        <v>2.6903193490293469</v>
      </c>
      <c r="DX55" s="87">
        <f t="shared" si="76"/>
        <v>2.6903193490293469</v>
      </c>
      <c r="DY55" s="87">
        <f t="shared" si="76"/>
        <v>2.6903193490293469</v>
      </c>
      <c r="DZ55" s="87">
        <f t="shared" si="76"/>
        <v>2.6903193490293469</v>
      </c>
      <c r="EA55" s="87">
        <f t="shared" si="76"/>
        <v>2.6903193490293469</v>
      </c>
      <c r="EB55" s="87">
        <f t="shared" ref="EB55:EP55" si="77">HLOOKUP(EB$43,$B$5:$GB$36,$A$28,FALSE)</f>
        <v>2.6903193490293469</v>
      </c>
      <c r="EC55" s="87">
        <f t="shared" si="77"/>
        <v>2.6903193490293469</v>
      </c>
      <c r="ED55" s="87">
        <f t="shared" si="77"/>
        <v>2.6903193490293469</v>
      </c>
      <c r="EE55" s="87">
        <f t="shared" si="77"/>
        <v>2.6903193490293469</v>
      </c>
      <c r="EF55" s="87">
        <f t="shared" si="77"/>
        <v>2.6903193490293469</v>
      </c>
      <c r="EG55" s="87">
        <f t="shared" si="77"/>
        <v>2.6903193490293469</v>
      </c>
      <c r="EH55" s="87">
        <f t="shared" si="77"/>
        <v>2.6903193490293469</v>
      </c>
      <c r="EI55" s="87">
        <f t="shared" si="77"/>
        <v>2.6903193490293469</v>
      </c>
      <c r="EJ55" s="87">
        <f t="shared" si="77"/>
        <v>2.6903193490293469</v>
      </c>
      <c r="EK55" s="87">
        <f t="shared" si="77"/>
        <v>2.6903193490293469</v>
      </c>
      <c r="EL55" s="87">
        <f t="shared" si="77"/>
        <v>2.6903193490293469</v>
      </c>
      <c r="EM55" s="87">
        <f t="shared" si="77"/>
        <v>2.6903193490293469</v>
      </c>
      <c r="EN55" s="87">
        <f t="shared" si="77"/>
        <v>2.6903193490293469</v>
      </c>
      <c r="EO55" s="87">
        <f t="shared" si="77"/>
        <v>2.6903193490293469</v>
      </c>
      <c r="EP55" s="87">
        <f t="shared" si="77"/>
        <v>2.6903193490293469</v>
      </c>
    </row>
    <row r="56" spans="1:146">
      <c r="A56" s="54">
        <f t="shared" si="38"/>
        <v>14</v>
      </c>
      <c r="B56" s="6" t="s">
        <v>347</v>
      </c>
      <c r="C56" s="87">
        <f>HLOOKUP(C$43,$B$5:$GB$36,$A$29,FALSE)</f>
        <v>3.49</v>
      </c>
      <c r="D56" s="87">
        <f t="shared" ref="D56:BO56" si="78">HLOOKUP(D$43,$B$5:$GB$36,$A$29,FALSE)</f>
        <v>3.24</v>
      </c>
      <c r="E56" s="87">
        <f t="shared" si="78"/>
        <v>3.14</v>
      </c>
      <c r="F56" s="87">
        <f t="shared" si="78"/>
        <v>3.08</v>
      </c>
      <c r="G56" s="87">
        <f t="shared" si="78"/>
        <v>2.9</v>
      </c>
      <c r="H56" s="87">
        <f t="shared" si="78"/>
        <v>2.97</v>
      </c>
      <c r="I56" s="87">
        <f t="shared" si="78"/>
        <v>2.97</v>
      </c>
      <c r="J56" s="87">
        <f t="shared" si="78"/>
        <v>2.93</v>
      </c>
      <c r="K56" s="87">
        <f t="shared" si="78"/>
        <v>2.66</v>
      </c>
      <c r="L56" s="87">
        <f t="shared" si="78"/>
        <v>2.48</v>
      </c>
      <c r="M56" s="87">
        <f t="shared" si="78"/>
        <v>2.34</v>
      </c>
      <c r="N56" s="87">
        <f t="shared" si="78"/>
        <v>2.25</v>
      </c>
      <c r="O56" s="87">
        <f t="shared" si="78"/>
        <v>2.2000000000000002</v>
      </c>
      <c r="P56" s="87">
        <f t="shared" si="78"/>
        <v>2.19</v>
      </c>
      <c r="Q56" s="87">
        <f t="shared" si="78"/>
        <v>2.17</v>
      </c>
      <c r="R56" s="87">
        <f t="shared" si="78"/>
        <v>2.15</v>
      </c>
      <c r="S56" s="87">
        <f t="shared" si="78"/>
        <v>2.11</v>
      </c>
      <c r="T56" s="87">
        <f t="shared" si="78"/>
        <v>1.98</v>
      </c>
      <c r="U56" s="87">
        <f t="shared" si="78"/>
        <v>1.92</v>
      </c>
      <c r="V56" s="87">
        <f t="shared" si="78"/>
        <v>1.79</v>
      </c>
      <c r="W56" s="87">
        <f t="shared" si="78"/>
        <v>1.74</v>
      </c>
      <c r="X56" s="87">
        <f t="shared" si="78"/>
        <v>1.66</v>
      </c>
      <c r="Y56" s="87">
        <f t="shared" si="78"/>
        <v>1.67</v>
      </c>
      <c r="Z56" s="87">
        <f t="shared" si="78"/>
        <v>2.2799999999999998</v>
      </c>
      <c r="AA56" s="87">
        <f t="shared" si="78"/>
        <v>2.31</v>
      </c>
      <c r="AB56" s="87">
        <f t="shared" si="78"/>
        <v>2.0699999999999998</v>
      </c>
      <c r="AC56" s="87">
        <f t="shared" si="78"/>
        <v>1.87</v>
      </c>
      <c r="AD56" s="87">
        <f t="shared" si="78"/>
        <v>1.74</v>
      </c>
      <c r="AE56" s="87">
        <f t="shared" si="78"/>
        <v>1.78</v>
      </c>
      <c r="AF56" s="87">
        <f t="shared" si="78"/>
        <v>1.8</v>
      </c>
      <c r="AG56" s="87">
        <f t="shared" si="78"/>
        <v>1.69</v>
      </c>
      <c r="AH56" s="87">
        <f t="shared" si="78"/>
        <v>1.6661999999999999</v>
      </c>
      <c r="AI56" s="87">
        <f t="shared" si="78"/>
        <v>1.6673333333333336</v>
      </c>
      <c r="AJ56" s="87">
        <f t="shared" si="78"/>
        <v>1.5956609523809526</v>
      </c>
      <c r="AK56" s="87">
        <f t="shared" si="78"/>
        <v>1.6369089302967563</v>
      </c>
      <c r="AL56" s="87">
        <f t="shared" si="78"/>
        <v>1.7999799999999999</v>
      </c>
      <c r="AM56" s="87">
        <f t="shared" si="78"/>
        <v>1.7656499999999999</v>
      </c>
      <c r="AN56" s="87">
        <f t="shared" si="78"/>
        <v>1.9269166666666668</v>
      </c>
      <c r="AO56" s="87">
        <f t="shared" si="78"/>
        <v>1.9875</v>
      </c>
      <c r="AP56" s="87">
        <f t="shared" si="78"/>
        <v>1.9625000000000001</v>
      </c>
      <c r="AQ56" s="87">
        <f t="shared" si="78"/>
        <v>1.95</v>
      </c>
      <c r="AR56" s="87">
        <f t="shared" si="78"/>
        <v>1.95</v>
      </c>
      <c r="AS56" s="87">
        <f t="shared" si="78"/>
        <v>1.95</v>
      </c>
      <c r="AT56" s="87">
        <f t="shared" si="78"/>
        <v>1.95</v>
      </c>
      <c r="AU56" s="87">
        <f t="shared" si="78"/>
        <v>1.95625</v>
      </c>
      <c r="AV56" s="87">
        <f t="shared" si="78"/>
        <v>1.96875</v>
      </c>
      <c r="AW56" s="87">
        <f t="shared" si="78"/>
        <v>1.98125</v>
      </c>
      <c r="AX56" s="87">
        <f t="shared" si="78"/>
        <v>1.9937499999999997</v>
      </c>
      <c r="AY56" s="87">
        <f t="shared" si="78"/>
        <v>2.0062499999999996</v>
      </c>
      <c r="AZ56" s="87">
        <f t="shared" si="78"/>
        <v>2.0187499999999989</v>
      </c>
      <c r="BA56" s="87">
        <f t="shared" si="78"/>
        <v>2.0312499999999982</v>
      </c>
      <c r="BB56" s="87">
        <f t="shared" si="78"/>
        <v>2.043749999999998</v>
      </c>
      <c r="BC56" s="87">
        <f t="shared" si="78"/>
        <v>2.037331933593749</v>
      </c>
      <c r="BD56" s="87">
        <f t="shared" si="78"/>
        <v>2.0496638671874989</v>
      </c>
      <c r="BE56" s="87">
        <f t="shared" si="78"/>
        <v>2.0619958007812489</v>
      </c>
      <c r="BF56" s="87">
        <f t="shared" si="78"/>
        <v>2.0743277343749993</v>
      </c>
      <c r="BG56" s="87">
        <f t="shared" si="78"/>
        <v>2.0859798222656245</v>
      </c>
      <c r="BH56" s="87">
        <f t="shared" si="78"/>
        <v>2.0976319101562493</v>
      </c>
      <c r="BI56" s="87">
        <f t="shared" si="78"/>
        <v>2.1092839980468741</v>
      </c>
      <c r="BJ56" s="87">
        <f t="shared" si="78"/>
        <v>2.1209360859374993</v>
      </c>
      <c r="BK56" s="87">
        <f t="shared" si="78"/>
        <v>2.1315407663671868</v>
      </c>
      <c r="BL56" s="87">
        <f t="shared" si="78"/>
        <v>2.1421454467968744</v>
      </c>
      <c r="BM56" s="87">
        <f t="shared" si="78"/>
        <v>2.1527501272265619</v>
      </c>
      <c r="BN56" s="87">
        <f t="shared" si="78"/>
        <v>2.163354807656249</v>
      </c>
      <c r="BO56" s="87">
        <f t="shared" si="78"/>
        <v>2.1741715816945302</v>
      </c>
      <c r="BP56" s="87">
        <f t="shared" ref="BP56:EA56" si="79">HLOOKUP(BP$43,$B$5:$GB$36,$A$29,FALSE)</f>
        <v>2.1849883557328118</v>
      </c>
      <c r="BQ56" s="87">
        <f t="shared" si="79"/>
        <v>2.195805129771093</v>
      </c>
      <c r="BR56" s="87">
        <f t="shared" si="79"/>
        <v>2.2066219038093742</v>
      </c>
      <c r="BS56" s="87">
        <f t="shared" si="79"/>
        <v>2.2176550133284207</v>
      </c>
      <c r="BT56" s="87">
        <f t="shared" si="79"/>
        <v>2.2286881228474678</v>
      </c>
      <c r="BU56" s="87">
        <f t="shared" si="79"/>
        <v>2.2397212323665148</v>
      </c>
      <c r="BV56" s="87">
        <f t="shared" si="79"/>
        <v>2.2507543418855613</v>
      </c>
      <c r="BW56" s="87">
        <f t="shared" si="79"/>
        <v>2.2620081135949892</v>
      </c>
      <c r="BX56" s="87">
        <f t="shared" si="79"/>
        <v>2.2732618853044171</v>
      </c>
      <c r="BY56" s="87">
        <f t="shared" si="79"/>
        <v>2.284515657013845</v>
      </c>
      <c r="BZ56" s="87">
        <f t="shared" si="79"/>
        <v>2.2957694287232728</v>
      </c>
      <c r="CA56" s="87">
        <f t="shared" si="79"/>
        <v>2.3072482758668893</v>
      </c>
      <c r="CB56" s="87">
        <f t="shared" si="79"/>
        <v>2.3187271230105058</v>
      </c>
      <c r="CC56" s="87">
        <f t="shared" si="79"/>
        <v>2.3302059701541218</v>
      </c>
      <c r="CD56" s="87">
        <f t="shared" si="79"/>
        <v>2.3416848172977383</v>
      </c>
      <c r="CE56" s="87">
        <f t="shared" si="79"/>
        <v>2.3533932413842269</v>
      </c>
      <c r="CF56" s="87">
        <f t="shared" si="79"/>
        <v>2.365101665470716</v>
      </c>
      <c r="CG56" s="87">
        <f t="shared" si="79"/>
        <v>2.3768100895572046</v>
      </c>
      <c r="CH56" s="87">
        <f t="shared" si="79"/>
        <v>2.3885185136436933</v>
      </c>
      <c r="CI56" s="87">
        <f t="shared" si="79"/>
        <v>2.4004611062119117</v>
      </c>
      <c r="CJ56" s="87">
        <f t="shared" si="79"/>
        <v>2.4124036987801301</v>
      </c>
      <c r="CK56" s="87">
        <f t="shared" si="79"/>
        <v>2.4243462913483484</v>
      </c>
      <c r="CL56" s="87">
        <f t="shared" si="79"/>
        <v>2.4362888839165668</v>
      </c>
      <c r="CM56" s="87">
        <f t="shared" si="79"/>
        <v>2.4469325717386283</v>
      </c>
      <c r="CN56" s="87">
        <f t="shared" si="79"/>
        <v>2.4575762595606894</v>
      </c>
      <c r="CO56" s="87">
        <f t="shared" si="79"/>
        <v>2.4682199473827504</v>
      </c>
      <c r="CP56" s="87">
        <f t="shared" si="79"/>
        <v>2.4788636352048119</v>
      </c>
      <c r="CQ56" s="87">
        <f t="shared" si="79"/>
        <v>2.4881593738368299</v>
      </c>
      <c r="CR56" s="87">
        <f t="shared" si="79"/>
        <v>2.497455112468848</v>
      </c>
      <c r="CS56" s="87">
        <f t="shared" si="79"/>
        <v>2.5067508511008656</v>
      </c>
      <c r="CT56" s="87">
        <f t="shared" si="79"/>
        <v>2.5160465897328836</v>
      </c>
      <c r="CU56" s="87">
        <f t="shared" si="79"/>
        <v>2.5254817644443817</v>
      </c>
      <c r="CV56" s="87">
        <f t="shared" si="79"/>
        <v>2.5349169391558801</v>
      </c>
      <c r="CW56" s="87">
        <f t="shared" si="79"/>
        <v>2.5443521138673786</v>
      </c>
      <c r="CX56" s="87">
        <f t="shared" si="79"/>
        <v>2.5537872885788766</v>
      </c>
      <c r="CY56" s="87">
        <f t="shared" si="79"/>
        <v>2.5633639909110473</v>
      </c>
      <c r="CZ56" s="87">
        <f t="shared" si="79"/>
        <v>2.5729406932432184</v>
      </c>
      <c r="DA56" s="87">
        <f t="shared" si="79"/>
        <v>2.5825173955753891</v>
      </c>
      <c r="DB56" s="87">
        <f t="shared" si="79"/>
        <v>2.5920940979075597</v>
      </c>
      <c r="DC56" s="87">
        <f t="shared" si="79"/>
        <v>2.6018144507747127</v>
      </c>
      <c r="DD56" s="87">
        <f t="shared" si="79"/>
        <v>2.6115348036418662</v>
      </c>
      <c r="DE56" s="87">
        <f t="shared" si="79"/>
        <v>2.6212551565090196</v>
      </c>
      <c r="DF56" s="87">
        <f t="shared" si="79"/>
        <v>2.6309755093761726</v>
      </c>
      <c r="DG56" s="87">
        <f t="shared" si="79"/>
        <v>2.6408416675363333</v>
      </c>
      <c r="DH56" s="87">
        <f t="shared" si="79"/>
        <v>2.650707825696494</v>
      </c>
      <c r="DI56" s="87">
        <f t="shared" si="79"/>
        <v>2.6605739838566542</v>
      </c>
      <c r="DJ56" s="87">
        <f t="shared" si="79"/>
        <v>2.6704401420168149</v>
      </c>
      <c r="DK56" s="87">
        <f t="shared" si="79"/>
        <v>2.6704401420168149</v>
      </c>
      <c r="DL56" s="87">
        <f t="shared" si="79"/>
        <v>2.6704401420168149</v>
      </c>
      <c r="DM56" s="87">
        <f t="shared" si="79"/>
        <v>2.6704401420168149</v>
      </c>
      <c r="DN56" s="87">
        <f t="shared" si="79"/>
        <v>2.6704401420168149</v>
      </c>
      <c r="DO56" s="87">
        <f t="shared" si="79"/>
        <v>2.6704401420168149</v>
      </c>
      <c r="DP56" s="87">
        <f t="shared" si="79"/>
        <v>2.6704401420168149</v>
      </c>
      <c r="DQ56" s="87">
        <f t="shared" si="79"/>
        <v>2.6704401420168149</v>
      </c>
      <c r="DR56" s="87">
        <f t="shared" si="79"/>
        <v>2.6704401420168149</v>
      </c>
      <c r="DS56" s="87">
        <f t="shared" si="79"/>
        <v>2.6704401420168149</v>
      </c>
      <c r="DT56" s="87">
        <f t="shared" si="79"/>
        <v>2.6704401420168149</v>
      </c>
      <c r="DU56" s="87">
        <f t="shared" si="79"/>
        <v>2.6704401420168149</v>
      </c>
      <c r="DV56" s="87">
        <f t="shared" si="79"/>
        <v>2.6704401420168149</v>
      </c>
      <c r="DW56" s="87">
        <f t="shared" si="79"/>
        <v>2.6704401420168149</v>
      </c>
      <c r="DX56" s="87">
        <f t="shared" si="79"/>
        <v>2.6704401420168149</v>
      </c>
      <c r="DY56" s="87">
        <f t="shared" si="79"/>
        <v>2.6704401420168149</v>
      </c>
      <c r="DZ56" s="87">
        <f t="shared" si="79"/>
        <v>2.6704401420168149</v>
      </c>
      <c r="EA56" s="87">
        <f t="shared" si="79"/>
        <v>2.6704401420168149</v>
      </c>
      <c r="EB56" s="87">
        <f t="shared" ref="EB56:EP56" si="80">HLOOKUP(EB$43,$B$5:$GB$36,$A$29,FALSE)</f>
        <v>2.6704401420168149</v>
      </c>
      <c r="EC56" s="87">
        <f t="shared" si="80"/>
        <v>2.6704401420168149</v>
      </c>
      <c r="ED56" s="87">
        <f t="shared" si="80"/>
        <v>2.6704401420168149</v>
      </c>
      <c r="EE56" s="87">
        <f t="shared" si="80"/>
        <v>2.6704401420168149</v>
      </c>
      <c r="EF56" s="87">
        <f t="shared" si="80"/>
        <v>2.6704401420168149</v>
      </c>
      <c r="EG56" s="87">
        <f t="shared" si="80"/>
        <v>2.6704401420168149</v>
      </c>
      <c r="EH56" s="87">
        <f t="shared" si="80"/>
        <v>2.6704401420168149</v>
      </c>
      <c r="EI56" s="87">
        <f t="shared" si="80"/>
        <v>2.6704401420168149</v>
      </c>
      <c r="EJ56" s="87">
        <f t="shared" si="80"/>
        <v>2.6704401420168149</v>
      </c>
      <c r="EK56" s="87">
        <f t="shared" si="80"/>
        <v>2.6704401420168149</v>
      </c>
      <c r="EL56" s="87">
        <f t="shared" si="80"/>
        <v>2.6704401420168149</v>
      </c>
      <c r="EM56" s="87">
        <f t="shared" si="80"/>
        <v>2.6704401420168149</v>
      </c>
      <c r="EN56" s="87">
        <f t="shared" si="80"/>
        <v>2.6704401420168149</v>
      </c>
      <c r="EO56" s="87">
        <f t="shared" si="80"/>
        <v>2.6704401420168149</v>
      </c>
      <c r="EP56" s="87">
        <f t="shared" si="80"/>
        <v>2.6704401420168149</v>
      </c>
    </row>
    <row r="57" spans="1:146">
      <c r="A57" s="54">
        <f t="shared" si="38"/>
        <v>15</v>
      </c>
      <c r="B57" s="37" t="s">
        <v>387</v>
      </c>
      <c r="C57" s="87"/>
      <c r="D57" s="143">
        <f>D55/C55-1</f>
        <v>-0.14328358208955227</v>
      </c>
      <c r="E57" s="143">
        <f t="shared" ref="E57:BP57" si="81">E55/D55-1</f>
        <v>1.7421602787456303E-2</v>
      </c>
      <c r="F57" s="143">
        <f t="shared" si="81"/>
        <v>-1.0273972602739656E-2</v>
      </c>
      <c r="G57" s="143">
        <f t="shared" si="81"/>
        <v>6.9204152249136008E-3</v>
      </c>
      <c r="H57" s="143">
        <f t="shared" si="81"/>
        <v>6.8728522336769737E-2</v>
      </c>
      <c r="I57" s="143">
        <f t="shared" si="81"/>
        <v>-8.0385852090032128E-2</v>
      </c>
      <c r="J57" s="143">
        <f t="shared" si="81"/>
        <v>-7.3426573426573438E-2</v>
      </c>
      <c r="K57" s="143">
        <f t="shared" si="81"/>
        <v>7.547169811320753E-3</v>
      </c>
      <c r="L57" s="143">
        <f t="shared" si="81"/>
        <v>-0.11985018726591756</v>
      </c>
      <c r="M57" s="143">
        <f t="shared" si="81"/>
        <v>-5.5319148936170182E-2</v>
      </c>
      <c r="N57" s="143">
        <f t="shared" si="81"/>
        <v>5.4054054054053946E-2</v>
      </c>
      <c r="O57" s="143">
        <f t="shared" si="81"/>
        <v>-7.2649572649572614E-2</v>
      </c>
      <c r="P57" s="143">
        <f t="shared" si="81"/>
        <v>-4.6082949308754451E-3</v>
      </c>
      <c r="Q57" s="143">
        <f t="shared" si="81"/>
        <v>4.6296296296295392E-3</v>
      </c>
      <c r="R57" s="143">
        <f t="shared" si="81"/>
        <v>-1.3824884792626668E-2</v>
      </c>
      <c r="S57" s="143">
        <f t="shared" si="81"/>
        <v>-4.2056074766355311E-2</v>
      </c>
      <c r="T57" s="143">
        <f t="shared" si="81"/>
        <v>-5.85365853658536E-2</v>
      </c>
      <c r="U57" s="143">
        <f t="shared" si="81"/>
        <v>-4.663212435233155E-2</v>
      </c>
      <c r="V57" s="143">
        <f t="shared" si="81"/>
        <v>-3.8043478260869623E-2</v>
      </c>
      <c r="W57" s="143">
        <f t="shared" si="81"/>
        <v>-1.1299435028248594E-2</v>
      </c>
      <c r="X57" s="143">
        <f t="shared" si="81"/>
        <v>-9.1428571428571415E-2</v>
      </c>
      <c r="Y57" s="143">
        <f t="shared" si="81"/>
        <v>0.20125786163522008</v>
      </c>
      <c r="Z57" s="143">
        <f t="shared" si="81"/>
        <v>0.22513089005235609</v>
      </c>
      <c r="AA57" s="143">
        <f t="shared" si="81"/>
        <v>-8.5470085470085166E-3</v>
      </c>
      <c r="AB57" s="143">
        <f t="shared" si="81"/>
        <v>-0.15948275862068961</v>
      </c>
      <c r="AC57" s="143">
        <f t="shared" si="81"/>
        <v>-8.7179487179487092E-2</v>
      </c>
      <c r="AD57" s="143">
        <f t="shared" si="81"/>
        <v>-2.2471910112359605E-2</v>
      </c>
      <c r="AE57" s="143">
        <f t="shared" si="81"/>
        <v>2.2988505747126409E-2</v>
      </c>
      <c r="AF57" s="143">
        <f t="shared" si="81"/>
        <v>1.1235955056179803E-2</v>
      </c>
      <c r="AG57" s="143">
        <f t="shared" si="81"/>
        <v>-6.1111111111111116E-2</v>
      </c>
      <c r="AH57" s="143">
        <f t="shared" si="81"/>
        <v>-1.4082840236686378E-2</v>
      </c>
      <c r="AI57" s="143">
        <f t="shared" si="81"/>
        <v>-2.2506301764493974E-2</v>
      </c>
      <c r="AJ57" s="143">
        <f t="shared" si="81"/>
        <v>-4.1505495180205187E-2</v>
      </c>
      <c r="AK57" s="143">
        <f t="shared" si="81"/>
        <v>0.18788034078534377</v>
      </c>
      <c r="AL57" s="143">
        <f t="shared" si="81"/>
        <v>1.1540120793787745E-2</v>
      </c>
      <c r="AM57" s="143">
        <f t="shared" si="81"/>
        <v>-2.8947649003091991E-2</v>
      </c>
      <c r="AN57" s="143">
        <f t="shared" si="81"/>
        <v>9.7996157013450436E-2</v>
      </c>
      <c r="AO57" s="143">
        <f t="shared" si="81"/>
        <v>-1.2499999999999956E-2</v>
      </c>
      <c r="AP57" s="143">
        <f t="shared" si="81"/>
        <v>-1.2658227848101333E-2</v>
      </c>
      <c r="AQ57" s="143">
        <f t="shared" si="81"/>
        <v>0</v>
      </c>
      <c r="AR57" s="143">
        <f t="shared" si="81"/>
        <v>0</v>
      </c>
      <c r="AS57" s="143">
        <f t="shared" si="81"/>
        <v>0</v>
      </c>
      <c r="AT57" s="143">
        <f t="shared" si="81"/>
        <v>0</v>
      </c>
      <c r="AU57" s="143">
        <f t="shared" si="81"/>
        <v>6.4102564102563875E-3</v>
      </c>
      <c r="AV57" s="143">
        <f t="shared" si="81"/>
        <v>6.3694267515923553E-3</v>
      </c>
      <c r="AW57" s="143">
        <f t="shared" si="81"/>
        <v>6.3291139240506666E-3</v>
      </c>
      <c r="AX57" s="143">
        <f t="shared" si="81"/>
        <v>6.2893081761006275E-3</v>
      </c>
      <c r="AY57" s="143">
        <f t="shared" si="81"/>
        <v>6.2499999999996447E-3</v>
      </c>
      <c r="AZ57" s="143">
        <f t="shared" si="81"/>
        <v>6.2111801242232811E-3</v>
      </c>
      <c r="BA57" s="143">
        <f t="shared" si="81"/>
        <v>6.1728395061724228E-3</v>
      </c>
      <c r="BB57" s="143">
        <f t="shared" si="81"/>
        <v>6.134969325154449E-3</v>
      </c>
      <c r="BC57" s="143">
        <f t="shared" si="81"/>
        <v>5.6210937499998614E-3</v>
      </c>
      <c r="BD57" s="143">
        <f t="shared" si="81"/>
        <v>6.2111801242235032E-3</v>
      </c>
      <c r="BE57" s="143">
        <f t="shared" si="81"/>
        <v>6.1728395061726449E-3</v>
      </c>
      <c r="BF57" s="143">
        <f t="shared" si="81"/>
        <v>6.1349693251533388E-3</v>
      </c>
      <c r="BG57" s="143">
        <f t="shared" si="81"/>
        <v>5.0000000000001155E-3</v>
      </c>
      <c r="BH57" s="143">
        <f t="shared" si="81"/>
        <v>4.9751243781093191E-3</v>
      </c>
      <c r="BI57" s="143">
        <f t="shared" si="81"/>
        <v>4.9504950495049549E-3</v>
      </c>
      <c r="BJ57" s="143">
        <f t="shared" si="81"/>
        <v>4.9261083743841194E-3</v>
      </c>
      <c r="BK57" s="143">
        <f t="shared" si="81"/>
        <v>5.0000000000001155E-3</v>
      </c>
      <c r="BL57" s="143">
        <f t="shared" si="81"/>
        <v>4.9751243781093191E-3</v>
      </c>
      <c r="BM57" s="143">
        <f t="shared" si="81"/>
        <v>4.9504950495049549E-3</v>
      </c>
      <c r="BN57" s="143">
        <f t="shared" si="81"/>
        <v>4.9261083743843415E-3</v>
      </c>
      <c r="BO57" s="143">
        <f t="shared" si="81"/>
        <v>5.0000000000001155E-3</v>
      </c>
      <c r="BP57" s="143">
        <f t="shared" si="81"/>
        <v>4.9751243781095411E-3</v>
      </c>
      <c r="BQ57" s="143">
        <f t="shared" ref="BQ57:EB57" si="82">BQ55/BP55-1</f>
        <v>4.9504950495047328E-3</v>
      </c>
      <c r="BR57" s="143">
        <f t="shared" si="82"/>
        <v>4.9261083743843415E-3</v>
      </c>
      <c r="BS57" s="143">
        <f t="shared" si="82"/>
        <v>5.0000000000001155E-3</v>
      </c>
      <c r="BT57" s="143">
        <f t="shared" si="82"/>
        <v>4.9751243781093191E-3</v>
      </c>
      <c r="BU57" s="143">
        <f t="shared" si="82"/>
        <v>4.9504950495047328E-3</v>
      </c>
      <c r="BV57" s="143">
        <f t="shared" si="82"/>
        <v>4.9261083743843415E-3</v>
      </c>
      <c r="BW57" s="143">
        <f t="shared" si="82"/>
        <v>4.9999999999998934E-3</v>
      </c>
      <c r="BX57" s="143">
        <f t="shared" si="82"/>
        <v>4.9751243781095411E-3</v>
      </c>
      <c r="BY57" s="143">
        <f t="shared" si="82"/>
        <v>4.9504950495049549E-3</v>
      </c>
      <c r="BZ57" s="143">
        <f t="shared" si="82"/>
        <v>4.9261083743841194E-3</v>
      </c>
      <c r="CA57" s="143">
        <f t="shared" si="82"/>
        <v>4.9999999999998934E-3</v>
      </c>
      <c r="CB57" s="143">
        <f t="shared" si="82"/>
        <v>4.9751243781095411E-3</v>
      </c>
      <c r="CC57" s="143">
        <f t="shared" si="82"/>
        <v>4.9504950495049549E-3</v>
      </c>
      <c r="CD57" s="143">
        <f t="shared" si="82"/>
        <v>4.9261083743841194E-3</v>
      </c>
      <c r="CE57" s="143">
        <f t="shared" si="82"/>
        <v>5.0000000000001155E-3</v>
      </c>
      <c r="CF57" s="143">
        <f t="shared" si="82"/>
        <v>4.9751243781095411E-3</v>
      </c>
      <c r="CG57" s="143">
        <f t="shared" si="82"/>
        <v>4.9504950495049549E-3</v>
      </c>
      <c r="CH57" s="143">
        <f t="shared" si="82"/>
        <v>4.9261083743841194E-3</v>
      </c>
      <c r="CI57" s="143">
        <f t="shared" si="82"/>
        <v>5.0000000000001155E-3</v>
      </c>
      <c r="CJ57" s="143">
        <f t="shared" si="82"/>
        <v>4.9751243781093191E-3</v>
      </c>
      <c r="CK57" s="143">
        <f t="shared" si="82"/>
        <v>4.9504950495049549E-3</v>
      </c>
      <c r="CL57" s="143">
        <f t="shared" si="82"/>
        <v>4.9261083743843415E-3</v>
      </c>
      <c r="CM57" s="143">
        <f t="shared" si="82"/>
        <v>3.7500000000001421E-3</v>
      </c>
      <c r="CN57" s="143">
        <f t="shared" si="82"/>
        <v>3.7359900373599153E-3</v>
      </c>
      <c r="CO57" s="143">
        <f t="shared" si="82"/>
        <v>3.7220843672456372E-3</v>
      </c>
      <c r="CP57" s="143">
        <f t="shared" si="82"/>
        <v>3.7082818294189579E-3</v>
      </c>
      <c r="CQ57" s="143">
        <f t="shared" si="82"/>
        <v>3.7500000000001421E-3</v>
      </c>
      <c r="CR57" s="143">
        <f t="shared" si="82"/>
        <v>3.7359900373596933E-3</v>
      </c>
      <c r="CS57" s="143">
        <f t="shared" si="82"/>
        <v>3.7220843672456372E-3</v>
      </c>
      <c r="CT57" s="143">
        <f t="shared" si="82"/>
        <v>3.7082818294191799E-3</v>
      </c>
      <c r="CU57" s="143">
        <f t="shared" si="82"/>
        <v>3.7500000000001421E-3</v>
      </c>
      <c r="CV57" s="143">
        <f t="shared" si="82"/>
        <v>3.7359900373596933E-3</v>
      </c>
      <c r="CW57" s="143">
        <f t="shared" si="82"/>
        <v>3.7220843672456372E-3</v>
      </c>
      <c r="CX57" s="143">
        <f t="shared" si="82"/>
        <v>3.7082818294191799E-3</v>
      </c>
      <c r="CY57" s="143">
        <f t="shared" si="82"/>
        <v>3.7499999999999201E-3</v>
      </c>
      <c r="CZ57" s="143">
        <f t="shared" si="82"/>
        <v>3.7359900373599153E-3</v>
      </c>
      <c r="DA57" s="143">
        <f t="shared" si="82"/>
        <v>3.7220843672454151E-3</v>
      </c>
      <c r="DB57" s="143">
        <f t="shared" si="82"/>
        <v>3.7082818294189579E-3</v>
      </c>
      <c r="DC57" s="143">
        <f t="shared" si="82"/>
        <v>3.7500000000001421E-3</v>
      </c>
      <c r="DD57" s="143">
        <f t="shared" si="82"/>
        <v>3.7359900373596933E-3</v>
      </c>
      <c r="DE57" s="143">
        <f t="shared" si="82"/>
        <v>3.7220843672456372E-3</v>
      </c>
      <c r="DF57" s="143">
        <f t="shared" si="82"/>
        <v>3.7082818294191799E-3</v>
      </c>
      <c r="DG57" s="143">
        <f t="shared" si="82"/>
        <v>3.7499999999999201E-3</v>
      </c>
      <c r="DH57" s="143">
        <f t="shared" si="82"/>
        <v>3.7359900373599153E-3</v>
      </c>
      <c r="DI57" s="143">
        <f t="shared" si="82"/>
        <v>3.7220843672456372E-3</v>
      </c>
      <c r="DJ57" s="143">
        <f t="shared" si="82"/>
        <v>3.7082818294189579E-3</v>
      </c>
      <c r="DK57" s="143">
        <f t="shared" si="82"/>
        <v>0</v>
      </c>
      <c r="DL57" s="143">
        <f t="shared" si="82"/>
        <v>0</v>
      </c>
      <c r="DM57" s="143">
        <f t="shared" si="82"/>
        <v>0</v>
      </c>
      <c r="DN57" s="143">
        <f t="shared" si="82"/>
        <v>0</v>
      </c>
      <c r="DO57" s="143">
        <f t="shared" si="82"/>
        <v>0</v>
      </c>
      <c r="DP57" s="143">
        <f t="shared" si="82"/>
        <v>0</v>
      </c>
      <c r="DQ57" s="143">
        <f t="shared" si="82"/>
        <v>0</v>
      </c>
      <c r="DR57" s="143">
        <f t="shared" si="82"/>
        <v>0</v>
      </c>
      <c r="DS57" s="143">
        <f t="shared" si="82"/>
        <v>0</v>
      </c>
      <c r="DT57" s="143">
        <f t="shared" si="82"/>
        <v>0</v>
      </c>
      <c r="DU57" s="143">
        <f t="shared" si="82"/>
        <v>0</v>
      </c>
      <c r="DV57" s="143">
        <f t="shared" si="82"/>
        <v>0</v>
      </c>
      <c r="DW57" s="143">
        <f t="shared" si="82"/>
        <v>0</v>
      </c>
      <c r="DX57" s="143">
        <f t="shared" si="82"/>
        <v>0</v>
      </c>
      <c r="DY57" s="143">
        <f t="shared" si="82"/>
        <v>0</v>
      </c>
      <c r="DZ57" s="143">
        <f t="shared" si="82"/>
        <v>0</v>
      </c>
      <c r="EA57" s="143">
        <f t="shared" si="82"/>
        <v>0</v>
      </c>
      <c r="EB57" s="143">
        <f t="shared" si="82"/>
        <v>0</v>
      </c>
      <c r="EC57" s="143">
        <f t="shared" ref="EC57:EP57" si="83">EC55/EB55-1</f>
        <v>0</v>
      </c>
      <c r="ED57" s="143">
        <f t="shared" si="83"/>
        <v>0</v>
      </c>
      <c r="EE57" s="143">
        <f t="shared" si="83"/>
        <v>0</v>
      </c>
      <c r="EF57" s="143">
        <f t="shared" si="83"/>
        <v>0</v>
      </c>
      <c r="EG57" s="143">
        <f t="shared" si="83"/>
        <v>0</v>
      </c>
      <c r="EH57" s="143">
        <f t="shared" si="83"/>
        <v>0</v>
      </c>
      <c r="EI57" s="143">
        <f t="shared" si="83"/>
        <v>0</v>
      </c>
      <c r="EJ57" s="143">
        <f t="shared" si="83"/>
        <v>0</v>
      </c>
      <c r="EK57" s="143">
        <f t="shared" si="83"/>
        <v>0</v>
      </c>
      <c r="EL57" s="143">
        <f t="shared" si="83"/>
        <v>0</v>
      </c>
      <c r="EM57" s="143">
        <f t="shared" si="83"/>
        <v>0</v>
      </c>
      <c r="EN57" s="143">
        <f t="shared" si="83"/>
        <v>0</v>
      </c>
      <c r="EO57" s="143">
        <f t="shared" si="83"/>
        <v>0</v>
      </c>
      <c r="EP57" s="143">
        <f t="shared" si="83"/>
        <v>0</v>
      </c>
    </row>
    <row r="58" spans="1:146">
      <c r="A58" s="54">
        <f t="shared" si="38"/>
        <v>16</v>
      </c>
      <c r="B58" s="37" t="s">
        <v>386</v>
      </c>
      <c r="C58" s="87"/>
      <c r="D58" s="79">
        <f>HLOOKUP(D$43,$B$5:$GB$36,$A$24,FALSE)</f>
        <v>5.7799999999999997E-2</v>
      </c>
      <c r="E58" s="79">
        <f t="shared" ref="E58:BP58" si="84">HLOOKUP(E$43,$B$5:$GB$36,$A$24,FALSE)</f>
        <v>4.7899999999999998E-2</v>
      </c>
      <c r="F58" s="79">
        <f t="shared" si="84"/>
        <v>4.3999999999999997E-2</v>
      </c>
      <c r="G58" s="79">
        <f t="shared" si="84"/>
        <v>3.7600000000000001E-2</v>
      </c>
      <c r="H58" s="79">
        <f t="shared" si="84"/>
        <v>3.6600000000000001E-2</v>
      </c>
      <c r="I58" s="79">
        <f t="shared" si="84"/>
        <v>3.8699999999999998E-2</v>
      </c>
      <c r="J58" s="79">
        <f t="shared" si="84"/>
        <v>3.9899999999999998E-2</v>
      </c>
      <c r="K58" s="79">
        <f t="shared" si="84"/>
        <v>4.19E-2</v>
      </c>
      <c r="L58" s="79">
        <f t="shared" si="84"/>
        <v>4.5699999999999998E-2</v>
      </c>
      <c r="M58" s="79">
        <f t="shared" si="84"/>
        <v>4.7399999999999998E-2</v>
      </c>
      <c r="N58" s="79">
        <f t="shared" si="84"/>
        <v>4.3200000000000002E-2</v>
      </c>
      <c r="O58" s="79">
        <f t="shared" si="84"/>
        <v>4.0399999999999998E-2</v>
      </c>
      <c r="P58" s="79">
        <f t="shared" si="84"/>
        <v>3.5799999999999998E-2</v>
      </c>
      <c r="Q58" s="79">
        <f t="shared" si="84"/>
        <v>3.5299999999999998E-2</v>
      </c>
      <c r="R58" s="79">
        <f t="shared" si="84"/>
        <v>3.1800000000000002E-2</v>
      </c>
      <c r="S58" s="79">
        <f t="shared" si="84"/>
        <v>3.0300000000000001E-2</v>
      </c>
      <c r="T58" s="79">
        <f t="shared" si="84"/>
        <v>2.8899999999999999E-2</v>
      </c>
      <c r="U58" s="79">
        <f t="shared" si="84"/>
        <v>2.7799999999999998E-2</v>
      </c>
      <c r="V58" s="79">
        <f t="shared" si="84"/>
        <v>2.63E-2</v>
      </c>
      <c r="W58" s="79">
        <f t="shared" si="84"/>
        <v>2.58E-2</v>
      </c>
      <c r="X58" s="79">
        <f t="shared" si="84"/>
        <v>2.7400000000000001E-2</v>
      </c>
      <c r="Y58" s="79">
        <f t="shared" si="84"/>
        <v>3.2099999999999997E-2</v>
      </c>
      <c r="Z58" s="79">
        <f t="shared" si="84"/>
        <v>3.32E-2</v>
      </c>
      <c r="AA58" s="79">
        <f t="shared" si="84"/>
        <v>2.8899999999999999E-2</v>
      </c>
      <c r="AB58" s="79">
        <f t="shared" si="84"/>
        <v>2.3800000000000002E-2</v>
      </c>
      <c r="AC58" s="79">
        <f t="shared" si="84"/>
        <v>2.18E-2</v>
      </c>
      <c r="AD58" s="79">
        <f t="shared" si="84"/>
        <v>2.0899999999999998E-2</v>
      </c>
      <c r="AE58" s="79">
        <f t="shared" si="84"/>
        <v>2.0199999999999999E-2</v>
      </c>
      <c r="AF58" s="79">
        <f t="shared" si="84"/>
        <v>2.2200000000000001E-2</v>
      </c>
      <c r="AG58" s="79">
        <f t="shared" si="84"/>
        <v>2.6100000000000002E-2</v>
      </c>
      <c r="AH58" s="79">
        <f t="shared" si="84"/>
        <v>2.5597588604019395E-2</v>
      </c>
      <c r="AI58" s="79">
        <f t="shared" si="84"/>
        <v>2.6429304607999971E-2</v>
      </c>
      <c r="AJ58" s="79">
        <f t="shared" si="84"/>
        <v>2.7997721610158122E-2</v>
      </c>
      <c r="AK58" s="147">
        <f t="shared" si="84"/>
        <v>3.0061838806279884E-2</v>
      </c>
      <c r="AL58" s="79">
        <f t="shared" si="84"/>
        <v>2.667951876968222E-2</v>
      </c>
      <c r="AM58" s="79">
        <f t="shared" si="84"/>
        <v>2.4598423466000163E-2</v>
      </c>
      <c r="AN58" s="79">
        <f t="shared" si="84"/>
        <v>2.0902685359541096E-2</v>
      </c>
      <c r="AO58" s="79">
        <f t="shared" si="84"/>
        <v>2.0043688781265834E-2</v>
      </c>
      <c r="AP58" s="79">
        <f t="shared" si="84"/>
        <v>1.9287258507413751E-2</v>
      </c>
      <c r="AQ58" s="79">
        <f t="shared" si="84"/>
        <v>1.8652710291814367E-2</v>
      </c>
      <c r="AR58" s="79">
        <f t="shared" si="84"/>
        <v>1.960468081896205E-2</v>
      </c>
      <c r="AS58" s="79">
        <f t="shared" si="84"/>
        <v>2.0753918290438822E-2</v>
      </c>
      <c r="AT58" s="79">
        <f t="shared" si="84"/>
        <v>2.2893074288564463E-2</v>
      </c>
      <c r="AU58" s="79">
        <f t="shared" si="84"/>
        <v>2.2372972193005491E-2</v>
      </c>
      <c r="AV58" s="79">
        <f t="shared" si="84"/>
        <v>2.2372972211771813E-2</v>
      </c>
      <c r="AW58" s="79">
        <f t="shared" si="84"/>
        <v>2.424575622323033E-2</v>
      </c>
      <c r="AX58" s="79">
        <f t="shared" si="84"/>
        <v>2.3870925168885115E-2</v>
      </c>
      <c r="AY58" s="79">
        <f t="shared" si="84"/>
        <v>2.2372972174196759E-2</v>
      </c>
      <c r="AZ58" s="79">
        <f t="shared" si="84"/>
        <v>2.2372972211771813E-2</v>
      </c>
      <c r="BA58" s="79">
        <f t="shared" si="84"/>
        <v>2.3870925178272495E-2</v>
      </c>
      <c r="BB58" s="79">
        <f t="shared" si="84"/>
        <v>2.3121674555527605E-2</v>
      </c>
      <c r="BC58" s="79">
        <f t="shared" si="84"/>
        <v>2.3344738206412918E-2</v>
      </c>
      <c r="BD58" s="79">
        <f t="shared" si="84"/>
        <v>2.3344738206412918E-2</v>
      </c>
      <c r="BE58" s="79">
        <f t="shared" si="84"/>
        <v>2.3344738206412918E-2</v>
      </c>
      <c r="BF58" s="79">
        <f t="shared" si="84"/>
        <v>2.3344738206412918E-2</v>
      </c>
      <c r="BG58" s="79">
        <f t="shared" si="84"/>
        <v>2.3344738206412918E-2</v>
      </c>
      <c r="BH58" s="79">
        <f t="shared" si="84"/>
        <v>2.3344738206412918E-2</v>
      </c>
      <c r="BI58" s="79">
        <f t="shared" si="84"/>
        <v>2.3344738206412918E-2</v>
      </c>
      <c r="BJ58" s="79">
        <f t="shared" si="84"/>
        <v>2.3344738206412918E-2</v>
      </c>
      <c r="BK58" s="79">
        <f t="shared" si="84"/>
        <v>2.2784410525184207E-2</v>
      </c>
      <c r="BL58" s="79">
        <f t="shared" si="84"/>
        <v>2.2784410525184207E-2</v>
      </c>
      <c r="BM58" s="79">
        <f t="shared" si="84"/>
        <v>2.2784410525184207E-2</v>
      </c>
      <c r="BN58" s="79">
        <f t="shared" si="84"/>
        <v>2.2784410525184207E-2</v>
      </c>
      <c r="BO58" s="79">
        <f t="shared" si="84"/>
        <v>2.276104354488484E-2</v>
      </c>
      <c r="BP58" s="79">
        <f t="shared" si="84"/>
        <v>2.276104354488484E-2</v>
      </c>
      <c r="BQ58" s="79">
        <f t="shared" ref="BQ58:EB58" si="85">HLOOKUP(BQ$43,$B$5:$GB$36,$A$24,FALSE)</f>
        <v>2.276104354488484E-2</v>
      </c>
      <c r="BR58" s="79">
        <f t="shared" si="85"/>
        <v>2.276104354488484E-2</v>
      </c>
      <c r="BS58" s="79">
        <f t="shared" si="85"/>
        <v>2.276104354488484E-2</v>
      </c>
      <c r="BT58" s="79">
        <f t="shared" si="85"/>
        <v>2.276104354488484E-2</v>
      </c>
      <c r="BU58" s="79">
        <f t="shared" si="85"/>
        <v>2.276104354488484E-2</v>
      </c>
      <c r="BV58" s="79">
        <f t="shared" si="85"/>
        <v>2.276104354488484E-2</v>
      </c>
      <c r="BW58" s="79">
        <f t="shared" si="85"/>
        <v>2.276104354488484E-2</v>
      </c>
      <c r="BX58" s="79">
        <f t="shared" si="85"/>
        <v>2.276104354488484E-2</v>
      </c>
      <c r="BY58" s="79">
        <f t="shared" si="85"/>
        <v>2.276104354488484E-2</v>
      </c>
      <c r="BZ58" s="79">
        <f t="shared" si="85"/>
        <v>2.276104354488484E-2</v>
      </c>
      <c r="CA58" s="79">
        <f t="shared" si="85"/>
        <v>2.2199754916680581E-2</v>
      </c>
      <c r="CB58" s="79">
        <f t="shared" si="85"/>
        <v>2.2199754916680581E-2</v>
      </c>
      <c r="CC58" s="79">
        <f t="shared" si="85"/>
        <v>2.2199754916680581E-2</v>
      </c>
      <c r="CD58" s="79">
        <f t="shared" si="85"/>
        <v>2.2199754916680581E-2</v>
      </c>
      <c r="CE58" s="79">
        <f t="shared" si="85"/>
        <v>2.2199754916680581E-2</v>
      </c>
      <c r="CF58" s="79">
        <f t="shared" si="85"/>
        <v>2.2199754916680581E-2</v>
      </c>
      <c r="CG58" s="79">
        <f t="shared" si="85"/>
        <v>2.2199754916680581E-2</v>
      </c>
      <c r="CH58" s="79">
        <f t="shared" si="85"/>
        <v>2.2199754916680581E-2</v>
      </c>
      <c r="CI58" s="79">
        <f t="shared" si="85"/>
        <v>2.2199754916680581E-2</v>
      </c>
      <c r="CJ58" s="79">
        <f t="shared" si="85"/>
        <v>2.2199754916680581E-2</v>
      </c>
      <c r="CK58" s="79">
        <f t="shared" si="85"/>
        <v>2.2199754916680581E-2</v>
      </c>
      <c r="CL58" s="79">
        <f t="shared" si="85"/>
        <v>2.2199754916680581E-2</v>
      </c>
      <c r="CM58" s="79">
        <f t="shared" si="85"/>
        <v>2.2199754916680581E-2</v>
      </c>
      <c r="CN58" s="79">
        <f t="shared" si="85"/>
        <v>2.2199754916680581E-2</v>
      </c>
      <c r="CO58" s="79">
        <f t="shared" si="85"/>
        <v>2.2199754916680581E-2</v>
      </c>
      <c r="CP58" s="79">
        <f t="shared" si="85"/>
        <v>2.2199754916680581E-2</v>
      </c>
      <c r="CQ58" s="79">
        <f t="shared" si="85"/>
        <v>2.2199754916680581E-2</v>
      </c>
      <c r="CR58" s="79">
        <f t="shared" si="85"/>
        <v>2.2199754916680581E-2</v>
      </c>
      <c r="CS58" s="79">
        <f t="shared" si="85"/>
        <v>2.2199754916680581E-2</v>
      </c>
      <c r="CT58" s="79">
        <f t="shared" si="85"/>
        <v>2.2199754916680581E-2</v>
      </c>
      <c r="CU58" s="79">
        <f t="shared" si="85"/>
        <v>2.1614094387470084E-2</v>
      </c>
      <c r="CV58" s="79">
        <f t="shared" si="85"/>
        <v>2.1614094387470084E-2</v>
      </c>
      <c r="CW58" s="79">
        <f t="shared" si="85"/>
        <v>2.1614094387470084E-2</v>
      </c>
      <c r="CX58" s="79">
        <f t="shared" si="85"/>
        <v>2.1614094387470084E-2</v>
      </c>
      <c r="CY58" s="79">
        <f t="shared" si="85"/>
        <v>2.1614094387470084E-2</v>
      </c>
      <c r="CZ58" s="79">
        <f t="shared" si="85"/>
        <v>2.1614094387470084E-2</v>
      </c>
      <c r="DA58" s="79">
        <f t="shared" si="85"/>
        <v>2.1614094387470084E-2</v>
      </c>
      <c r="DB58" s="79">
        <f t="shared" si="85"/>
        <v>2.1614094387470084E-2</v>
      </c>
      <c r="DC58" s="79">
        <f t="shared" si="85"/>
        <v>2.1614094387470084E-2</v>
      </c>
      <c r="DD58" s="79">
        <f t="shared" si="85"/>
        <v>2.1614094387470084E-2</v>
      </c>
      <c r="DE58" s="79">
        <f t="shared" si="85"/>
        <v>2.1614094387470084E-2</v>
      </c>
      <c r="DF58" s="79">
        <f t="shared" si="85"/>
        <v>2.1614094387470084E-2</v>
      </c>
      <c r="DG58" s="79">
        <f t="shared" si="85"/>
        <v>2.1614094387470084E-2</v>
      </c>
      <c r="DH58" s="79">
        <f t="shared" si="85"/>
        <v>2.1614094387470084E-2</v>
      </c>
      <c r="DI58" s="79">
        <f t="shared" si="85"/>
        <v>2.1614094387470084E-2</v>
      </c>
      <c r="DJ58" s="79">
        <f t="shared" si="85"/>
        <v>2.1614094387470084E-2</v>
      </c>
      <c r="DK58" s="79">
        <f t="shared" si="85"/>
        <v>2.1614094387470084E-2</v>
      </c>
      <c r="DL58" s="79">
        <f t="shared" si="85"/>
        <v>2.1614094387470084E-2</v>
      </c>
      <c r="DM58" s="79">
        <f t="shared" si="85"/>
        <v>2.1614094387470084E-2</v>
      </c>
      <c r="DN58" s="79">
        <f t="shared" si="85"/>
        <v>2.1614094387470084E-2</v>
      </c>
      <c r="DO58" s="79">
        <f t="shared" si="85"/>
        <v>2.1614094387470084E-2</v>
      </c>
      <c r="DP58" s="79">
        <f t="shared" si="85"/>
        <v>2.1614094387470084E-2</v>
      </c>
      <c r="DQ58" s="79">
        <f t="shared" si="85"/>
        <v>2.1614094387470084E-2</v>
      </c>
      <c r="DR58" s="79">
        <f t="shared" si="85"/>
        <v>2.1614094387470084E-2</v>
      </c>
      <c r="DS58" s="79">
        <f t="shared" si="85"/>
        <v>2.1614094387470084E-2</v>
      </c>
      <c r="DT58" s="79">
        <f t="shared" si="85"/>
        <v>2.1614094387470084E-2</v>
      </c>
      <c r="DU58" s="79">
        <f t="shared" si="85"/>
        <v>2.1614094387470084E-2</v>
      </c>
      <c r="DV58" s="79">
        <f t="shared" si="85"/>
        <v>2.1614094387470084E-2</v>
      </c>
      <c r="DW58" s="79">
        <f t="shared" si="85"/>
        <v>2.1614094387470084E-2</v>
      </c>
      <c r="DX58" s="79">
        <f t="shared" si="85"/>
        <v>2.1614094387470084E-2</v>
      </c>
      <c r="DY58" s="79">
        <f t="shared" si="85"/>
        <v>2.1614094387470084E-2</v>
      </c>
      <c r="DZ58" s="79">
        <f t="shared" si="85"/>
        <v>2.1614094387470084E-2</v>
      </c>
      <c r="EA58" s="79">
        <f t="shared" si="85"/>
        <v>2.1614094387470084E-2</v>
      </c>
      <c r="EB58" s="79">
        <f t="shared" si="85"/>
        <v>2.1614094387470084E-2</v>
      </c>
      <c r="EC58" s="79">
        <f t="shared" ref="EC58:EP58" si="86">HLOOKUP(EC$43,$B$5:$GB$36,$A$24,FALSE)</f>
        <v>2.1614094387470084E-2</v>
      </c>
      <c r="ED58" s="79">
        <f t="shared" si="86"/>
        <v>2.1614094387470084E-2</v>
      </c>
      <c r="EE58" s="79">
        <f t="shared" si="86"/>
        <v>2.1614094387470084E-2</v>
      </c>
      <c r="EF58" s="79">
        <f t="shared" si="86"/>
        <v>2.1614094387470084E-2</v>
      </c>
      <c r="EG58" s="79">
        <f t="shared" si="86"/>
        <v>2.1614094387470084E-2</v>
      </c>
      <c r="EH58" s="79">
        <f t="shared" si="86"/>
        <v>2.1614094387470084E-2</v>
      </c>
      <c r="EI58" s="79">
        <f t="shared" si="86"/>
        <v>2.1614094387470084E-2</v>
      </c>
      <c r="EJ58" s="79">
        <f t="shared" si="86"/>
        <v>2.1614094387470084E-2</v>
      </c>
      <c r="EK58" s="79">
        <f t="shared" si="86"/>
        <v>2.1614094387470084E-2</v>
      </c>
      <c r="EL58" s="79">
        <f t="shared" si="86"/>
        <v>2.1614094387470084E-2</v>
      </c>
      <c r="EM58" s="79">
        <f t="shared" si="86"/>
        <v>2.1614094387470084E-2</v>
      </c>
      <c r="EN58" s="79">
        <f t="shared" si="86"/>
        <v>2.1614094387470084E-2</v>
      </c>
      <c r="EO58" s="79">
        <f t="shared" si="86"/>
        <v>2.1614094387470084E-2</v>
      </c>
      <c r="EP58" s="79">
        <f t="shared" si="86"/>
        <v>2.1614094387470084E-2</v>
      </c>
    </row>
    <row r="59" spans="1:146">
      <c r="A59" s="54">
        <f t="shared" si="38"/>
        <v>17</v>
      </c>
      <c r="B59" s="6" t="s">
        <v>348</v>
      </c>
      <c r="C59" s="79">
        <f>HLOOKUP(C$43,$B$5:$GB$36,$A$32,FALSE)</f>
        <v>3.3777226766207313E-3</v>
      </c>
      <c r="D59" s="79">
        <f t="shared" ref="D59:BO59" si="87">HLOOKUP(D$43,$B$5:$GB$36,$A$32,FALSE)</f>
        <v>3.3777226766207313E-3</v>
      </c>
      <c r="E59" s="79">
        <f t="shared" si="87"/>
        <v>3.3777226766207313E-3</v>
      </c>
      <c r="F59" s="79">
        <f t="shared" si="87"/>
        <v>3.3777226766207313E-3</v>
      </c>
      <c r="G59" s="79">
        <f t="shared" si="87"/>
        <v>5.2502401788667719E-3</v>
      </c>
      <c r="H59" s="79">
        <f t="shared" si="87"/>
        <v>5.2502401788667719E-3</v>
      </c>
      <c r="I59" s="79">
        <f t="shared" si="87"/>
        <v>5.2502401788667719E-3</v>
      </c>
      <c r="J59" s="79">
        <f t="shared" si="87"/>
        <v>5.2502401788667719E-3</v>
      </c>
      <c r="K59" s="79">
        <f t="shared" si="87"/>
        <v>9.9127637791618373E-3</v>
      </c>
      <c r="L59" s="79">
        <f t="shared" si="87"/>
        <v>9.9127637791618373E-3</v>
      </c>
      <c r="M59" s="79">
        <f t="shared" si="87"/>
        <v>9.9127637791618373E-3</v>
      </c>
      <c r="N59" s="79">
        <f t="shared" si="87"/>
        <v>9.9127637791618373E-3</v>
      </c>
      <c r="O59" s="79">
        <f t="shared" si="87"/>
        <v>1.3049127826194162E-2</v>
      </c>
      <c r="P59" s="79">
        <f t="shared" si="87"/>
        <v>1.3049127826194162E-2</v>
      </c>
      <c r="Q59" s="79">
        <f t="shared" si="87"/>
        <v>1.3049127826194162E-2</v>
      </c>
      <c r="R59" s="79">
        <f t="shared" si="87"/>
        <v>1.3049127826194162E-2</v>
      </c>
      <c r="S59" s="79">
        <f t="shared" si="87"/>
        <v>1.256133119831504E-2</v>
      </c>
      <c r="T59" s="79">
        <f t="shared" si="87"/>
        <v>1.256133119831504E-2</v>
      </c>
      <c r="U59" s="79">
        <f t="shared" si="87"/>
        <v>1.256133119831504E-2</v>
      </c>
      <c r="V59" s="79">
        <f t="shared" si="87"/>
        <v>1.256133119831504E-2</v>
      </c>
      <c r="W59" s="79">
        <f t="shared" si="87"/>
        <v>7.3407238588956147E-3</v>
      </c>
      <c r="X59" s="79">
        <f t="shared" si="87"/>
        <v>7.3407238588956147E-3</v>
      </c>
      <c r="Y59" s="79">
        <f t="shared" si="87"/>
        <v>7.3407238588956147E-3</v>
      </c>
      <c r="Z59" s="79">
        <f t="shared" si="87"/>
        <v>7.3407238588956147E-3</v>
      </c>
      <c r="AA59" s="79">
        <f t="shared" si="87"/>
        <v>3.8488240376488569E-3</v>
      </c>
      <c r="AB59" s="79">
        <f t="shared" si="87"/>
        <v>3.8488240376488569E-3</v>
      </c>
      <c r="AC59" s="79">
        <f t="shared" si="87"/>
        <v>3.8488240376488569E-3</v>
      </c>
      <c r="AD59" s="79">
        <f t="shared" si="87"/>
        <v>3.8488240376488569E-3</v>
      </c>
      <c r="AE59" s="79">
        <f t="shared" si="87"/>
        <v>2.3015223105364857E-3</v>
      </c>
      <c r="AF59" s="79">
        <f t="shared" si="87"/>
        <v>2.3015223105364857E-3</v>
      </c>
      <c r="AG59" s="79">
        <f t="shared" si="87"/>
        <v>2.3015223105364857E-3</v>
      </c>
      <c r="AH59" s="79">
        <f t="shared" si="87"/>
        <v>2.3015223105364857E-3</v>
      </c>
      <c r="AI59" s="79">
        <f t="shared" si="87"/>
        <v>2.2424458721626017E-3</v>
      </c>
      <c r="AJ59" s="79">
        <f t="shared" si="87"/>
        <v>2.2424458721626017E-3</v>
      </c>
      <c r="AK59" s="79">
        <f t="shared" si="87"/>
        <v>2.2424458721626017E-3</v>
      </c>
      <c r="AL59" s="79">
        <f t="shared" si="87"/>
        <v>2.2424458721626017E-3</v>
      </c>
      <c r="AM59" s="79">
        <f t="shared" si="87"/>
        <v>4.2231718289997833E-3</v>
      </c>
      <c r="AN59" s="79">
        <f t="shared" si="87"/>
        <v>4.2231718289997833E-3</v>
      </c>
      <c r="AO59" s="79">
        <f t="shared" si="87"/>
        <v>4.2231718289997833E-3</v>
      </c>
      <c r="AP59" s="79">
        <f t="shared" si="87"/>
        <v>4.2231718289997833E-3</v>
      </c>
      <c r="AQ59" s="79">
        <f t="shared" si="87"/>
        <v>4.2231718289997833E-3</v>
      </c>
      <c r="AR59" s="79">
        <f t="shared" si="87"/>
        <v>4.2231718289997833E-3</v>
      </c>
      <c r="AS59" s="79">
        <f t="shared" si="87"/>
        <v>4.2231718289997833E-3</v>
      </c>
      <c r="AT59" s="79">
        <f t="shared" si="87"/>
        <v>4.2231718289997833E-3</v>
      </c>
      <c r="AU59" s="79">
        <f t="shared" si="87"/>
        <v>4.2231718289997833E-3</v>
      </c>
      <c r="AV59" s="79">
        <f t="shared" si="87"/>
        <v>4.2231718289997833E-3</v>
      </c>
      <c r="AW59" s="79">
        <f t="shared" si="87"/>
        <v>4.2231718289997833E-3</v>
      </c>
      <c r="AX59" s="79">
        <f t="shared" si="87"/>
        <v>4.2231718289997833E-3</v>
      </c>
      <c r="AY59" s="79">
        <f t="shared" si="87"/>
        <v>4.2231718289997833E-3</v>
      </c>
      <c r="AZ59" s="79">
        <f t="shared" si="87"/>
        <v>4.2231718289997833E-3</v>
      </c>
      <c r="BA59" s="79">
        <f t="shared" si="87"/>
        <v>4.2231718289997833E-3</v>
      </c>
      <c r="BB59" s="79">
        <f t="shared" si="87"/>
        <v>4.2231718289997833E-3</v>
      </c>
      <c r="BC59" s="79">
        <f t="shared" si="87"/>
        <v>5.4551986478605929E-3</v>
      </c>
      <c r="BD59" s="79">
        <f t="shared" si="87"/>
        <v>5.4551986478605929E-3</v>
      </c>
      <c r="BE59" s="79">
        <f t="shared" si="87"/>
        <v>5.4551986478605929E-3</v>
      </c>
      <c r="BF59" s="79">
        <f t="shared" si="87"/>
        <v>5.4551986478605929E-3</v>
      </c>
      <c r="BG59" s="79">
        <f t="shared" si="87"/>
        <v>5.4551986478605929E-3</v>
      </c>
      <c r="BH59" s="79">
        <f t="shared" si="87"/>
        <v>5.4551986478605929E-3</v>
      </c>
      <c r="BI59" s="79">
        <f t="shared" si="87"/>
        <v>5.4551986478605929E-3</v>
      </c>
      <c r="BJ59" s="79">
        <f t="shared" si="87"/>
        <v>5.4551986478605929E-3</v>
      </c>
      <c r="BK59" s="79">
        <f t="shared" si="87"/>
        <v>5.4551986478605929E-3</v>
      </c>
      <c r="BL59" s="79">
        <f t="shared" si="87"/>
        <v>5.4551986478605929E-3</v>
      </c>
      <c r="BM59" s="79">
        <f t="shared" si="87"/>
        <v>5.4551986478605929E-3</v>
      </c>
      <c r="BN59" s="79">
        <f t="shared" si="87"/>
        <v>5.4551986478605929E-3</v>
      </c>
      <c r="BO59" s="79">
        <f t="shared" si="87"/>
        <v>5.4551986478605929E-3</v>
      </c>
      <c r="BP59" s="79">
        <f t="shared" ref="BP59:EA59" si="88">HLOOKUP(BP$43,$B$5:$GB$36,$A$32,FALSE)</f>
        <v>5.4551986478605929E-3</v>
      </c>
      <c r="BQ59" s="79">
        <f t="shared" si="88"/>
        <v>5.4551986478605929E-3</v>
      </c>
      <c r="BR59" s="79">
        <f t="shared" si="88"/>
        <v>5.4551986478605929E-3</v>
      </c>
      <c r="BS59" s="79">
        <f t="shared" si="88"/>
        <v>9.8534065489688238E-3</v>
      </c>
      <c r="BT59" s="79">
        <f t="shared" si="88"/>
        <v>9.8534065489688238E-3</v>
      </c>
      <c r="BU59" s="79">
        <f t="shared" si="88"/>
        <v>9.8534065489688238E-3</v>
      </c>
      <c r="BV59" s="79">
        <f t="shared" si="88"/>
        <v>9.8534065489688238E-3</v>
      </c>
      <c r="BW59" s="79">
        <f t="shared" si="88"/>
        <v>9.8534065489688238E-3</v>
      </c>
      <c r="BX59" s="79">
        <f t="shared" si="88"/>
        <v>9.8534065489688238E-3</v>
      </c>
      <c r="BY59" s="79">
        <f t="shared" si="88"/>
        <v>9.8534065489688238E-3</v>
      </c>
      <c r="BZ59" s="79">
        <f t="shared" si="88"/>
        <v>9.8534065489688238E-3</v>
      </c>
      <c r="CA59" s="79">
        <f t="shared" si="88"/>
        <v>9.8534065489688238E-3</v>
      </c>
      <c r="CB59" s="79">
        <f t="shared" si="88"/>
        <v>9.8534065489688238E-3</v>
      </c>
      <c r="CC59" s="79">
        <f t="shared" si="88"/>
        <v>9.8534065489688238E-3</v>
      </c>
      <c r="CD59" s="79">
        <f t="shared" si="88"/>
        <v>9.8534065489688238E-3</v>
      </c>
      <c r="CE59" s="79">
        <f t="shared" si="88"/>
        <v>9.8534065489688238E-3</v>
      </c>
      <c r="CF59" s="79">
        <f t="shared" si="88"/>
        <v>9.8534065489688238E-3</v>
      </c>
      <c r="CG59" s="79">
        <f t="shared" si="88"/>
        <v>9.8534065489688238E-3</v>
      </c>
      <c r="CH59" s="79">
        <f t="shared" si="88"/>
        <v>9.8534065489688238E-3</v>
      </c>
      <c r="CI59" s="79">
        <f t="shared" si="88"/>
        <v>9.8534065489688238E-3</v>
      </c>
      <c r="CJ59" s="79">
        <f t="shared" si="88"/>
        <v>9.8534065489688238E-3</v>
      </c>
      <c r="CK59" s="79">
        <f t="shared" si="88"/>
        <v>9.8534065489688238E-3</v>
      </c>
      <c r="CL59" s="79">
        <f t="shared" si="88"/>
        <v>9.8534065489688238E-3</v>
      </c>
      <c r="CM59" s="79">
        <f t="shared" si="88"/>
        <v>9.8534065489688238E-3</v>
      </c>
      <c r="CN59" s="79">
        <f t="shared" si="88"/>
        <v>9.8534065489688238E-3</v>
      </c>
      <c r="CO59" s="79">
        <f t="shared" si="88"/>
        <v>9.8534065489688238E-3</v>
      </c>
      <c r="CP59" s="79">
        <f t="shared" si="88"/>
        <v>9.8534065489688238E-3</v>
      </c>
      <c r="CQ59" s="79">
        <f t="shared" si="88"/>
        <v>9.8534065489688238E-3</v>
      </c>
      <c r="CR59" s="79">
        <f t="shared" si="88"/>
        <v>9.8534065489688238E-3</v>
      </c>
      <c r="CS59" s="79">
        <f t="shared" si="88"/>
        <v>9.8534065489688238E-3</v>
      </c>
      <c r="CT59" s="79">
        <f t="shared" si="88"/>
        <v>9.8534065489688238E-3</v>
      </c>
      <c r="CU59" s="79">
        <f t="shared" si="88"/>
        <v>9.8534065489688238E-3</v>
      </c>
      <c r="CV59" s="79">
        <f t="shared" si="88"/>
        <v>9.8534065489688238E-3</v>
      </c>
      <c r="CW59" s="79">
        <f t="shared" si="88"/>
        <v>9.8534065489688238E-3</v>
      </c>
      <c r="CX59" s="79">
        <f t="shared" si="88"/>
        <v>9.8534065489688238E-3</v>
      </c>
      <c r="CY59" s="79">
        <f t="shared" si="88"/>
        <v>9.8534065489688238E-3</v>
      </c>
      <c r="CZ59" s="79">
        <f t="shared" si="88"/>
        <v>9.8534065489688238E-3</v>
      </c>
      <c r="DA59" s="79">
        <f t="shared" si="88"/>
        <v>9.8534065489688238E-3</v>
      </c>
      <c r="DB59" s="79">
        <f t="shared" si="88"/>
        <v>9.8534065489688238E-3</v>
      </c>
      <c r="DC59" s="79">
        <f t="shared" si="88"/>
        <v>9.8534065489688238E-3</v>
      </c>
      <c r="DD59" s="79">
        <f t="shared" si="88"/>
        <v>9.8534065489688238E-3</v>
      </c>
      <c r="DE59" s="79">
        <f t="shared" si="88"/>
        <v>9.8534065489688238E-3</v>
      </c>
      <c r="DF59" s="79">
        <f t="shared" si="88"/>
        <v>9.8534065489688238E-3</v>
      </c>
      <c r="DG59" s="79">
        <f t="shared" si="88"/>
        <v>9.8534065489688238E-3</v>
      </c>
      <c r="DH59" s="79">
        <f t="shared" si="88"/>
        <v>9.8534065489688238E-3</v>
      </c>
      <c r="DI59" s="79">
        <f t="shared" si="88"/>
        <v>9.8534065489688238E-3</v>
      </c>
      <c r="DJ59" s="79">
        <f t="shared" si="88"/>
        <v>9.8534065489688238E-3</v>
      </c>
      <c r="DK59" s="79">
        <f t="shared" si="88"/>
        <v>9.8534065489688238E-3</v>
      </c>
      <c r="DL59" s="79">
        <f t="shared" si="88"/>
        <v>9.8534065489688238E-3</v>
      </c>
      <c r="DM59" s="79">
        <f t="shared" si="88"/>
        <v>9.8534065489688238E-3</v>
      </c>
      <c r="DN59" s="79">
        <f t="shared" si="88"/>
        <v>9.8534065489688238E-3</v>
      </c>
      <c r="DO59" s="79">
        <f t="shared" si="88"/>
        <v>9.8534065489688238E-3</v>
      </c>
      <c r="DP59" s="79">
        <f t="shared" si="88"/>
        <v>9.8534065489688238E-3</v>
      </c>
      <c r="DQ59" s="79">
        <f t="shared" si="88"/>
        <v>9.8534065489688238E-3</v>
      </c>
      <c r="DR59" s="79">
        <f t="shared" si="88"/>
        <v>9.8534065489688238E-3</v>
      </c>
      <c r="DS59" s="79">
        <f t="shared" si="88"/>
        <v>9.8534065489688238E-3</v>
      </c>
      <c r="DT59" s="79">
        <f t="shared" si="88"/>
        <v>9.8534065489688238E-3</v>
      </c>
      <c r="DU59" s="79">
        <f t="shared" si="88"/>
        <v>9.8534065489688238E-3</v>
      </c>
      <c r="DV59" s="79">
        <f t="shared" si="88"/>
        <v>9.8534065489688238E-3</v>
      </c>
      <c r="DW59" s="79">
        <f t="shared" si="88"/>
        <v>9.8534065489688238E-3</v>
      </c>
      <c r="DX59" s="79">
        <f t="shared" si="88"/>
        <v>9.8534065489688238E-3</v>
      </c>
      <c r="DY59" s="79">
        <f t="shared" si="88"/>
        <v>9.8534065489688238E-3</v>
      </c>
      <c r="DZ59" s="79">
        <f t="shared" si="88"/>
        <v>9.8534065489688238E-3</v>
      </c>
      <c r="EA59" s="79">
        <f t="shared" si="88"/>
        <v>9.8534065489688238E-3</v>
      </c>
      <c r="EB59" s="79">
        <f t="shared" ref="EB59:EP59" si="89">HLOOKUP(EB$43,$B$5:$GB$36,$A$32,FALSE)</f>
        <v>9.8534065489688238E-3</v>
      </c>
      <c r="EC59" s="79">
        <f t="shared" si="89"/>
        <v>9.8534065489688238E-3</v>
      </c>
      <c r="ED59" s="79">
        <f t="shared" si="89"/>
        <v>9.8534065489688238E-3</v>
      </c>
      <c r="EE59" s="79">
        <f t="shared" si="89"/>
        <v>9.8534065489688238E-3</v>
      </c>
      <c r="EF59" s="79">
        <f t="shared" si="89"/>
        <v>9.8534065489688238E-3</v>
      </c>
      <c r="EG59" s="79">
        <f t="shared" si="89"/>
        <v>9.8534065489688238E-3</v>
      </c>
      <c r="EH59" s="79">
        <f t="shared" si="89"/>
        <v>9.8534065489688238E-3</v>
      </c>
      <c r="EI59" s="79">
        <f t="shared" si="89"/>
        <v>9.8534065489688238E-3</v>
      </c>
      <c r="EJ59" s="79">
        <f t="shared" si="89"/>
        <v>9.8534065489688238E-3</v>
      </c>
      <c r="EK59" s="79">
        <f t="shared" si="89"/>
        <v>9.8534065489688238E-3</v>
      </c>
      <c r="EL59" s="79">
        <f>HLOOKUP(EL$43,$B$5:$GB$36,$A$32,FALSE)</f>
        <v>9.8534065489688238E-3</v>
      </c>
      <c r="EM59" s="79">
        <f t="shared" si="89"/>
        <v>9.8534065489688238E-3</v>
      </c>
      <c r="EN59" s="79">
        <f t="shared" si="89"/>
        <v>9.8534065489688238E-3</v>
      </c>
      <c r="EO59" s="79">
        <f t="shared" si="89"/>
        <v>9.8534065489688238E-3</v>
      </c>
      <c r="EP59" s="79">
        <f t="shared" si="89"/>
        <v>9.8534065489688238E-3</v>
      </c>
    </row>
    <row r="60" spans="1:146">
      <c r="A60" s="54">
        <f t="shared" si="38"/>
        <v>18</v>
      </c>
      <c r="B60" s="6" t="s">
        <v>314</v>
      </c>
      <c r="C60" s="79">
        <f>HLOOKUP(C$43,$B$5:$GB$36,$A$31,FALSE)</f>
        <v>2.64E-2</v>
      </c>
      <c r="D60" s="79">
        <f t="shared" ref="D60:BO60" si="90">HLOOKUP(D$43,$B$5:$GB$36,$A$31,FALSE)</f>
        <v>2.87E-2</v>
      </c>
      <c r="E60" s="79">
        <f t="shared" si="90"/>
        <v>2.87E-2</v>
      </c>
      <c r="F60" s="79">
        <f t="shared" si="90"/>
        <v>2.64E-2</v>
      </c>
      <c r="G60" s="79">
        <f t="shared" si="90"/>
        <v>2.41E-2</v>
      </c>
      <c r="H60" s="79">
        <f t="shared" si="90"/>
        <v>2.35E-2</v>
      </c>
      <c r="I60" s="79">
        <f t="shared" si="90"/>
        <v>2.35E-2</v>
      </c>
      <c r="J60" s="79">
        <f t="shared" si="90"/>
        <v>2.35E-2</v>
      </c>
      <c r="K60" s="79">
        <f t="shared" si="90"/>
        <v>2.35E-2</v>
      </c>
      <c r="L60" s="79">
        <f t="shared" si="90"/>
        <v>2.35E-2</v>
      </c>
      <c r="M60" s="79">
        <f t="shared" si="90"/>
        <v>2.35E-2</v>
      </c>
      <c r="N60" s="79">
        <f t="shared" si="90"/>
        <v>2.35E-2</v>
      </c>
      <c r="O60" s="79">
        <f t="shared" si="90"/>
        <v>2.18E-2</v>
      </c>
      <c r="P60" s="79">
        <f t="shared" si="90"/>
        <v>1.9800000000000002E-2</v>
      </c>
      <c r="Q60" s="79">
        <f t="shared" si="90"/>
        <v>1.8200000000000001E-2</v>
      </c>
      <c r="R60" s="79">
        <f t="shared" si="90"/>
        <v>1.67E-2</v>
      </c>
      <c r="S60" s="79">
        <f t="shared" si="90"/>
        <v>1.5900000000000001E-2</v>
      </c>
      <c r="T60" s="79">
        <f t="shared" si="90"/>
        <v>1.5900000000000001E-2</v>
      </c>
      <c r="U60" s="79">
        <f t="shared" si="90"/>
        <v>1.5299999999999999E-2</v>
      </c>
      <c r="V60" s="79">
        <f t="shared" si="90"/>
        <v>1.5299999999999999E-2</v>
      </c>
      <c r="W60" s="79">
        <f t="shared" si="90"/>
        <v>1.5299999999999999E-2</v>
      </c>
      <c r="X60" s="79">
        <f t="shared" si="90"/>
        <v>1.5299999999999999E-2</v>
      </c>
      <c r="Y60" s="79">
        <f t="shared" si="90"/>
        <v>1.5299999999999999E-2</v>
      </c>
      <c r="Z60" s="79">
        <f t="shared" si="90"/>
        <v>1.5599999999999999E-2</v>
      </c>
      <c r="AA60" s="79">
        <f t="shared" si="90"/>
        <v>1.5599999999999999E-2</v>
      </c>
      <c r="AB60" s="79">
        <f t="shared" si="90"/>
        <v>1.5599999999999999E-2</v>
      </c>
      <c r="AC60" s="79">
        <f t="shared" si="90"/>
        <v>1.4999999999999999E-2</v>
      </c>
      <c r="AD60" s="79">
        <f t="shared" si="90"/>
        <v>1.4999999999999999E-2</v>
      </c>
      <c r="AE60" s="79">
        <f t="shared" si="90"/>
        <v>1.4999999999999999E-2</v>
      </c>
      <c r="AF60" s="79">
        <f t="shared" si="90"/>
        <v>1.4999999999999999E-2</v>
      </c>
      <c r="AG60" s="79">
        <f t="shared" si="90"/>
        <v>1.4999999999999999E-2</v>
      </c>
      <c r="AH60" s="79">
        <f t="shared" si="90"/>
        <v>1.6250000000000001E-2</v>
      </c>
      <c r="AI60" s="79">
        <f t="shared" si="90"/>
        <v>1.4999999999999999E-2</v>
      </c>
      <c r="AJ60" s="79">
        <f t="shared" si="90"/>
        <v>1.4999999999999999E-2</v>
      </c>
      <c r="AK60" s="79">
        <f t="shared" si="90"/>
        <v>1.4999999999999999E-2</v>
      </c>
      <c r="AL60" s="79">
        <f t="shared" si="90"/>
        <v>1.4999999999999999E-2</v>
      </c>
      <c r="AM60" s="79">
        <f t="shared" si="90"/>
        <v>1.4999999999999999E-2</v>
      </c>
      <c r="AN60" s="79">
        <f t="shared" si="90"/>
        <v>1.4999999999999999E-2</v>
      </c>
      <c r="AO60" s="79">
        <f t="shared" si="90"/>
        <v>1.4999999999999999E-2</v>
      </c>
      <c r="AP60" s="79">
        <f t="shared" si="90"/>
        <v>1.4999999999999999E-2</v>
      </c>
      <c r="AQ60" s="79">
        <f t="shared" si="90"/>
        <v>1.375E-2</v>
      </c>
      <c r="AR60" s="79">
        <f t="shared" si="90"/>
        <v>1.375E-2</v>
      </c>
      <c r="AS60" s="79">
        <f t="shared" si="90"/>
        <v>1.375E-2</v>
      </c>
      <c r="AT60" s="79">
        <f t="shared" si="90"/>
        <v>1.375E-2</v>
      </c>
      <c r="AU60" s="79">
        <f t="shared" si="90"/>
        <v>1.2500000000000001E-2</v>
      </c>
      <c r="AV60" s="79">
        <f t="shared" si="90"/>
        <v>1.2500000000000001E-2</v>
      </c>
      <c r="AW60" s="79">
        <f t="shared" si="90"/>
        <v>1.2500000000000001E-2</v>
      </c>
      <c r="AX60" s="79">
        <f t="shared" si="90"/>
        <v>1.2500000000000001E-2</v>
      </c>
      <c r="AY60" s="79">
        <f t="shared" si="90"/>
        <v>1.2500000000000001E-2</v>
      </c>
      <c r="AZ60" s="79">
        <f t="shared" si="90"/>
        <v>1.2500000000000001E-2</v>
      </c>
      <c r="BA60" s="79">
        <f t="shared" si="90"/>
        <v>1.2500000000000001E-2</v>
      </c>
      <c r="BB60" s="79">
        <f t="shared" si="90"/>
        <v>1.2500000000000001E-2</v>
      </c>
      <c r="BC60" s="79">
        <f t="shared" si="90"/>
        <v>1.2500000000000001E-2</v>
      </c>
      <c r="BD60" s="79">
        <f t="shared" si="90"/>
        <v>1.2500000000000001E-2</v>
      </c>
      <c r="BE60" s="79">
        <f t="shared" si="90"/>
        <v>1.2500000000000001E-2</v>
      </c>
      <c r="BF60" s="79">
        <f t="shared" si="90"/>
        <v>1.2500000000000001E-2</v>
      </c>
      <c r="BG60" s="79">
        <f t="shared" si="90"/>
        <v>1.2500000000000001E-2</v>
      </c>
      <c r="BH60" s="79">
        <f t="shared" si="90"/>
        <v>1.2500000000000001E-2</v>
      </c>
      <c r="BI60" s="79">
        <f t="shared" si="90"/>
        <v>1.2500000000000001E-2</v>
      </c>
      <c r="BJ60" s="79">
        <f t="shared" si="90"/>
        <v>1.2500000000000001E-2</v>
      </c>
      <c r="BK60" s="79">
        <f t="shared" si="90"/>
        <v>1.2500000000000001E-2</v>
      </c>
      <c r="BL60" s="79">
        <f t="shared" si="90"/>
        <v>1.2500000000000001E-2</v>
      </c>
      <c r="BM60" s="79">
        <f t="shared" si="90"/>
        <v>1.2500000000000001E-2</v>
      </c>
      <c r="BN60" s="79">
        <f t="shared" si="90"/>
        <v>1.2500000000000001E-2</v>
      </c>
      <c r="BO60" s="79">
        <f t="shared" si="90"/>
        <v>1.2500000000000001E-2</v>
      </c>
      <c r="BP60" s="79">
        <f t="shared" ref="BP60:EA60" si="91">HLOOKUP(BP$43,$B$5:$GB$36,$A$31,FALSE)</f>
        <v>1.2500000000000001E-2</v>
      </c>
      <c r="BQ60" s="79">
        <f t="shared" si="91"/>
        <v>1.2500000000000001E-2</v>
      </c>
      <c r="BR60" s="79">
        <f t="shared" si="91"/>
        <v>1.2500000000000001E-2</v>
      </c>
      <c r="BS60" s="79">
        <f t="shared" si="91"/>
        <v>1.2500000000000001E-2</v>
      </c>
      <c r="BT60" s="79">
        <f t="shared" si="91"/>
        <v>1.2500000000000001E-2</v>
      </c>
      <c r="BU60" s="79">
        <f t="shared" si="91"/>
        <v>1.2500000000000001E-2</v>
      </c>
      <c r="BV60" s="79">
        <f t="shared" si="91"/>
        <v>1.2500000000000001E-2</v>
      </c>
      <c r="BW60" s="79">
        <f t="shared" si="91"/>
        <v>1.2500000000000001E-2</v>
      </c>
      <c r="BX60" s="79">
        <f t="shared" si="91"/>
        <v>1.2500000000000001E-2</v>
      </c>
      <c r="BY60" s="79">
        <f t="shared" si="91"/>
        <v>1.2500000000000001E-2</v>
      </c>
      <c r="BZ60" s="79">
        <f t="shared" si="91"/>
        <v>1.2500000000000001E-2</v>
      </c>
      <c r="CA60" s="79">
        <f t="shared" si="91"/>
        <v>1.2500000000000001E-2</v>
      </c>
      <c r="CB60" s="79">
        <f t="shared" si="91"/>
        <v>1.2500000000000001E-2</v>
      </c>
      <c r="CC60" s="79">
        <f t="shared" si="91"/>
        <v>1.2500000000000001E-2</v>
      </c>
      <c r="CD60" s="79">
        <f t="shared" si="91"/>
        <v>1.2500000000000001E-2</v>
      </c>
      <c r="CE60" s="79">
        <f t="shared" si="91"/>
        <v>1.2500000000000001E-2</v>
      </c>
      <c r="CF60" s="79">
        <f t="shared" si="91"/>
        <v>1.2500000000000001E-2</v>
      </c>
      <c r="CG60" s="79">
        <f t="shared" si="91"/>
        <v>1.2500000000000001E-2</v>
      </c>
      <c r="CH60" s="79">
        <f t="shared" si="91"/>
        <v>1.2500000000000001E-2</v>
      </c>
      <c r="CI60" s="79">
        <f t="shared" si="91"/>
        <v>1.2500000000000001E-2</v>
      </c>
      <c r="CJ60" s="79">
        <f t="shared" si="91"/>
        <v>1.2500000000000001E-2</v>
      </c>
      <c r="CK60" s="79">
        <f t="shared" si="91"/>
        <v>1.2500000000000001E-2</v>
      </c>
      <c r="CL60" s="79">
        <f t="shared" si="91"/>
        <v>1.2500000000000001E-2</v>
      </c>
      <c r="CM60" s="79">
        <f t="shared" si="91"/>
        <v>1.2500000000000001E-2</v>
      </c>
      <c r="CN60" s="79">
        <f t="shared" si="91"/>
        <v>1.2500000000000001E-2</v>
      </c>
      <c r="CO60" s="79">
        <f t="shared" si="91"/>
        <v>1.2500000000000001E-2</v>
      </c>
      <c r="CP60" s="79">
        <f t="shared" si="91"/>
        <v>1.2500000000000001E-2</v>
      </c>
      <c r="CQ60" s="79">
        <f t="shared" si="91"/>
        <v>1.2500000000000001E-2</v>
      </c>
      <c r="CR60" s="79">
        <f t="shared" si="91"/>
        <v>1.2500000000000001E-2</v>
      </c>
      <c r="CS60" s="79">
        <f t="shared" si="91"/>
        <v>1.2500000000000001E-2</v>
      </c>
      <c r="CT60" s="79">
        <f t="shared" si="91"/>
        <v>1.2500000000000001E-2</v>
      </c>
      <c r="CU60" s="79">
        <f t="shared" si="91"/>
        <v>1.2500000000000001E-2</v>
      </c>
      <c r="CV60" s="79">
        <f t="shared" si="91"/>
        <v>1.2500000000000001E-2</v>
      </c>
      <c r="CW60" s="79">
        <f t="shared" si="91"/>
        <v>1.2500000000000001E-2</v>
      </c>
      <c r="CX60" s="79">
        <f t="shared" si="91"/>
        <v>1.2500000000000001E-2</v>
      </c>
      <c r="CY60" s="79">
        <f t="shared" si="91"/>
        <v>1.2500000000000001E-2</v>
      </c>
      <c r="CZ60" s="79">
        <f t="shared" si="91"/>
        <v>1.2500000000000001E-2</v>
      </c>
      <c r="DA60" s="79">
        <f t="shared" si="91"/>
        <v>1.2500000000000001E-2</v>
      </c>
      <c r="DB60" s="79">
        <f t="shared" si="91"/>
        <v>1.2500000000000001E-2</v>
      </c>
      <c r="DC60" s="79">
        <f t="shared" si="91"/>
        <v>1.2500000000000001E-2</v>
      </c>
      <c r="DD60" s="79">
        <f t="shared" si="91"/>
        <v>1.2500000000000001E-2</v>
      </c>
      <c r="DE60" s="79">
        <f t="shared" si="91"/>
        <v>1.2500000000000001E-2</v>
      </c>
      <c r="DF60" s="79">
        <f t="shared" si="91"/>
        <v>1.2500000000000001E-2</v>
      </c>
      <c r="DG60" s="79">
        <f t="shared" si="91"/>
        <v>1.2500000000000001E-2</v>
      </c>
      <c r="DH60" s="79">
        <f t="shared" si="91"/>
        <v>1.2500000000000001E-2</v>
      </c>
      <c r="DI60" s="79">
        <f t="shared" si="91"/>
        <v>1.2500000000000001E-2</v>
      </c>
      <c r="DJ60" s="79">
        <f t="shared" si="91"/>
        <v>1.2500000000000001E-2</v>
      </c>
      <c r="DK60" s="79">
        <f t="shared" si="91"/>
        <v>1.2500000000000001E-2</v>
      </c>
      <c r="DL60" s="79">
        <f t="shared" si="91"/>
        <v>1.2500000000000001E-2</v>
      </c>
      <c r="DM60" s="79">
        <f t="shared" si="91"/>
        <v>1.2500000000000001E-2</v>
      </c>
      <c r="DN60" s="79">
        <f t="shared" si="91"/>
        <v>1.2500000000000001E-2</v>
      </c>
      <c r="DO60" s="79">
        <f t="shared" si="91"/>
        <v>1.2500000000000001E-2</v>
      </c>
      <c r="DP60" s="79">
        <f t="shared" si="91"/>
        <v>1.2500000000000001E-2</v>
      </c>
      <c r="DQ60" s="79">
        <f t="shared" si="91"/>
        <v>1.2500000000000001E-2</v>
      </c>
      <c r="DR60" s="79">
        <f t="shared" si="91"/>
        <v>1.2500000000000001E-2</v>
      </c>
      <c r="DS60" s="79">
        <f t="shared" si="91"/>
        <v>1.2500000000000001E-2</v>
      </c>
      <c r="DT60" s="79">
        <f t="shared" si="91"/>
        <v>1.2500000000000001E-2</v>
      </c>
      <c r="DU60" s="79">
        <f t="shared" si="91"/>
        <v>1.2500000000000001E-2</v>
      </c>
      <c r="DV60" s="79">
        <f t="shared" si="91"/>
        <v>1.2500000000000001E-2</v>
      </c>
      <c r="DW60" s="79">
        <f t="shared" si="91"/>
        <v>1.2500000000000001E-2</v>
      </c>
      <c r="DX60" s="79">
        <f t="shared" si="91"/>
        <v>1.2500000000000001E-2</v>
      </c>
      <c r="DY60" s="79">
        <f t="shared" si="91"/>
        <v>1.2500000000000001E-2</v>
      </c>
      <c r="DZ60" s="79">
        <f t="shared" si="91"/>
        <v>1.2500000000000001E-2</v>
      </c>
      <c r="EA60" s="79">
        <f t="shared" si="91"/>
        <v>1.2500000000000001E-2</v>
      </c>
      <c r="EB60" s="79">
        <f t="shared" ref="EB60:EP60" si="92">HLOOKUP(EB$43,$B$5:$GB$36,$A$31,FALSE)</f>
        <v>1.2500000000000001E-2</v>
      </c>
      <c r="EC60" s="79">
        <f t="shared" si="92"/>
        <v>1.2500000000000001E-2</v>
      </c>
      <c r="ED60" s="79">
        <f t="shared" si="92"/>
        <v>1.2500000000000001E-2</v>
      </c>
      <c r="EE60" s="79">
        <f t="shared" si="92"/>
        <v>1.2500000000000001E-2</v>
      </c>
      <c r="EF60" s="79">
        <f t="shared" si="92"/>
        <v>1.2500000000000001E-2</v>
      </c>
      <c r="EG60" s="79">
        <f t="shared" si="92"/>
        <v>1.2500000000000001E-2</v>
      </c>
      <c r="EH60" s="79">
        <f t="shared" si="92"/>
        <v>1.2500000000000001E-2</v>
      </c>
      <c r="EI60" s="79">
        <f t="shared" si="92"/>
        <v>1.2500000000000001E-2</v>
      </c>
      <c r="EJ60" s="79">
        <f t="shared" si="92"/>
        <v>1.2500000000000001E-2</v>
      </c>
      <c r="EK60" s="79">
        <f t="shared" si="92"/>
        <v>1.2500000000000001E-2</v>
      </c>
      <c r="EL60" s="79">
        <f t="shared" si="92"/>
        <v>1.2500000000000001E-2</v>
      </c>
      <c r="EM60" s="79">
        <f t="shared" si="92"/>
        <v>1.2500000000000001E-2</v>
      </c>
      <c r="EN60" s="79">
        <f t="shared" si="92"/>
        <v>1.2500000000000001E-2</v>
      </c>
      <c r="EO60" s="79">
        <f t="shared" si="92"/>
        <v>1.2500000000000001E-2</v>
      </c>
      <c r="EP60" s="79">
        <f t="shared" si="92"/>
        <v>1.2500000000000001E-2</v>
      </c>
    </row>
    <row r="61" spans="1:146">
      <c r="A61" s="54">
        <f t="shared" si="38"/>
        <v>19</v>
      </c>
      <c r="B61" s="144" t="s">
        <v>339</v>
      </c>
      <c r="C61" s="79">
        <f>HLOOKUP(C$43,$B$5:$GB$36,$A$33,FALSE)</f>
        <v>0</v>
      </c>
      <c r="D61" s="79">
        <f t="shared" ref="D61:BO61" si="93">HLOOKUP(D$43,$B$5:$GB$36,$A$33,FALSE)</f>
        <v>0</v>
      </c>
      <c r="E61" s="79">
        <f t="shared" si="93"/>
        <v>0</v>
      </c>
      <c r="F61" s="79">
        <f t="shared" si="93"/>
        <v>0</v>
      </c>
      <c r="G61" s="79">
        <f t="shared" si="93"/>
        <v>0</v>
      </c>
      <c r="H61" s="79">
        <f t="shared" si="93"/>
        <v>0</v>
      </c>
      <c r="I61" s="79">
        <f t="shared" si="93"/>
        <v>0</v>
      </c>
      <c r="J61" s="79">
        <f t="shared" si="93"/>
        <v>0</v>
      </c>
      <c r="K61" s="79">
        <f t="shared" si="93"/>
        <v>0</v>
      </c>
      <c r="L61" s="79">
        <f t="shared" si="93"/>
        <v>0</v>
      </c>
      <c r="M61" s="79">
        <f t="shared" si="93"/>
        <v>0</v>
      </c>
      <c r="N61" s="79">
        <f t="shared" si="93"/>
        <v>0</v>
      </c>
      <c r="O61" s="79">
        <f t="shared" si="93"/>
        <v>5.1000000000000004E-3</v>
      </c>
      <c r="P61" s="79">
        <f t="shared" si="93"/>
        <v>4.4000000000000003E-3</v>
      </c>
      <c r="Q61" s="79">
        <f t="shared" si="93"/>
        <v>5.7000000000000002E-3</v>
      </c>
      <c r="R61" s="79">
        <f t="shared" si="93"/>
        <v>4.7000000000000002E-3</v>
      </c>
      <c r="S61" s="79">
        <f t="shared" si="93"/>
        <v>4.7999999999999996E-3</v>
      </c>
      <c r="T61" s="79">
        <f t="shared" si="93"/>
        <v>3.8999999999999998E-3</v>
      </c>
      <c r="U61" s="79">
        <f t="shared" si="93"/>
        <v>3.3E-3</v>
      </c>
      <c r="V61" s="79">
        <f t="shared" si="93"/>
        <v>2E-3</v>
      </c>
      <c r="W61" s="79">
        <f t="shared" si="93"/>
        <v>2.0999999999999999E-3</v>
      </c>
      <c r="X61" s="79">
        <f t="shared" si="93"/>
        <v>3.2000000000000002E-3</v>
      </c>
      <c r="Y61" s="79">
        <f t="shared" si="93"/>
        <v>5.7000000000000002E-3</v>
      </c>
      <c r="Z61" s="79">
        <f t="shared" si="93"/>
        <v>6.3E-3</v>
      </c>
      <c r="AA61" s="79">
        <f t="shared" si="93"/>
        <v>3.3999999999999998E-3</v>
      </c>
      <c r="AB61" s="79">
        <f t="shared" si="93"/>
        <v>1.6999999999999999E-3</v>
      </c>
      <c r="AC61" s="79">
        <f t="shared" si="93"/>
        <v>1.1000000000000001E-3</v>
      </c>
      <c r="AD61" s="79">
        <f t="shared" si="93"/>
        <v>2.9999999999999997E-4</v>
      </c>
      <c r="AE61" s="79">
        <f t="shared" si="93"/>
        <v>5.9999999999999995E-4</v>
      </c>
      <c r="AF61" s="79">
        <f t="shared" si="93"/>
        <v>8.9999999999999998E-4</v>
      </c>
      <c r="AG61" s="79">
        <f t="shared" si="93"/>
        <v>2.8E-3</v>
      </c>
      <c r="AH61" s="79">
        <f t="shared" si="93"/>
        <v>2.2152948629803326E-3</v>
      </c>
      <c r="AI61" s="79">
        <f t="shared" si="93"/>
        <v>2.4528767820877206E-3</v>
      </c>
      <c r="AJ61" s="79">
        <f t="shared" si="93"/>
        <v>3.0557400213737651E-3</v>
      </c>
      <c r="AK61" s="79">
        <f t="shared" si="93"/>
        <v>4.3138688780581802E-3</v>
      </c>
      <c r="AL61" s="79">
        <f t="shared" si="93"/>
        <v>2.2035855797062354E-3</v>
      </c>
      <c r="AM61" s="79">
        <f t="shared" si="93"/>
        <v>1.9329227519999659E-3</v>
      </c>
      <c r="AN61" s="79">
        <f t="shared" si="93"/>
        <v>8.2889206304859187E-4</v>
      </c>
      <c r="AO61" s="79">
        <f t="shared" si="93"/>
        <v>6.7530764648648933E-4</v>
      </c>
      <c r="AP61" s="79">
        <f t="shared" si="93"/>
        <v>1.7585899090333257E-4</v>
      </c>
      <c r="AQ61" s="79">
        <f t="shared" si="93"/>
        <v>1.7585899090333257E-4</v>
      </c>
      <c r="AR61" s="79">
        <f t="shared" si="93"/>
        <v>1.7585899090333257E-4</v>
      </c>
      <c r="AS61" s="79">
        <f t="shared" si="93"/>
        <v>6.6774535526370471E-4</v>
      </c>
      <c r="AT61" s="79">
        <f t="shared" si="93"/>
        <v>2.1732422999809486E-3</v>
      </c>
      <c r="AU61" s="79">
        <f t="shared" si="93"/>
        <v>2.4041040622842513E-3</v>
      </c>
      <c r="AV61" s="79">
        <f t="shared" si="93"/>
        <v>2.4041040622842513E-3</v>
      </c>
      <c r="AW61" s="79">
        <f t="shared" si="93"/>
        <v>2.4041040622842513E-3</v>
      </c>
      <c r="AX61" s="79">
        <f t="shared" si="93"/>
        <v>2.4041040622842513E-3</v>
      </c>
      <c r="AY61" s="79">
        <f t="shared" si="93"/>
        <v>2.0134524355783778E-3</v>
      </c>
      <c r="AZ61" s="79">
        <f t="shared" si="93"/>
        <v>2.0134524355783778E-3</v>
      </c>
      <c r="BA61" s="79">
        <f t="shared" si="93"/>
        <v>2.0134524355783778E-3</v>
      </c>
      <c r="BB61" s="79">
        <f t="shared" si="93"/>
        <v>2.0134524355783778E-3</v>
      </c>
      <c r="BC61" s="79">
        <f t="shared" si="93"/>
        <v>1.8749999999999999E-3</v>
      </c>
      <c r="BD61" s="79">
        <f t="shared" si="93"/>
        <v>1.8749999999999999E-3</v>
      </c>
      <c r="BE61" s="79">
        <f t="shared" si="93"/>
        <v>1.8749999999999999E-3</v>
      </c>
      <c r="BF61" s="79">
        <f t="shared" si="93"/>
        <v>1.8749999999999999E-3</v>
      </c>
      <c r="BG61" s="79">
        <f t="shared" si="93"/>
        <v>1.8749999999999999E-3</v>
      </c>
      <c r="BH61" s="79">
        <f t="shared" si="93"/>
        <v>1.8749999999999999E-3</v>
      </c>
      <c r="BI61" s="79">
        <f t="shared" si="93"/>
        <v>1.8749999999999999E-3</v>
      </c>
      <c r="BJ61" s="79">
        <f t="shared" si="93"/>
        <v>1.8749999999999999E-3</v>
      </c>
      <c r="BK61" s="79">
        <f t="shared" si="93"/>
        <v>1.25E-3</v>
      </c>
      <c r="BL61" s="79">
        <f t="shared" si="93"/>
        <v>1.25E-3</v>
      </c>
      <c r="BM61" s="79">
        <f t="shared" si="93"/>
        <v>1.25E-3</v>
      </c>
      <c r="BN61" s="79">
        <f t="shared" si="93"/>
        <v>1.25E-3</v>
      </c>
      <c r="BO61" s="79">
        <f t="shared" si="93"/>
        <v>1.25E-3</v>
      </c>
      <c r="BP61" s="79">
        <f t="shared" ref="BP61:EA61" si="94">HLOOKUP(BP$43,$B$5:$GB$36,$A$33,FALSE)</f>
        <v>1.25E-3</v>
      </c>
      <c r="BQ61" s="79">
        <f t="shared" si="94"/>
        <v>1.25E-3</v>
      </c>
      <c r="BR61" s="79">
        <f t="shared" si="94"/>
        <v>1.25E-3</v>
      </c>
      <c r="BS61" s="79">
        <f t="shared" si="94"/>
        <v>1.25E-3</v>
      </c>
      <c r="BT61" s="79">
        <f t="shared" si="94"/>
        <v>1.25E-3</v>
      </c>
      <c r="BU61" s="79">
        <f t="shared" si="94"/>
        <v>1.25E-3</v>
      </c>
      <c r="BV61" s="79">
        <f t="shared" si="94"/>
        <v>1.25E-3</v>
      </c>
      <c r="BW61" s="79">
        <f t="shared" si="94"/>
        <v>1.25E-3</v>
      </c>
      <c r="BX61" s="79">
        <f t="shared" si="94"/>
        <v>1.25E-3</v>
      </c>
      <c r="BY61" s="79">
        <f t="shared" si="94"/>
        <v>1.25E-3</v>
      </c>
      <c r="BZ61" s="79">
        <f t="shared" si="94"/>
        <v>1.25E-3</v>
      </c>
      <c r="CA61" s="79">
        <f t="shared" si="94"/>
        <v>1.25E-3</v>
      </c>
      <c r="CB61" s="79">
        <f t="shared" si="94"/>
        <v>1.25E-3</v>
      </c>
      <c r="CC61" s="79">
        <f t="shared" si="94"/>
        <v>1.25E-3</v>
      </c>
      <c r="CD61" s="79">
        <f t="shared" si="94"/>
        <v>1.25E-3</v>
      </c>
      <c r="CE61" s="79">
        <f t="shared" si="94"/>
        <v>1.25E-3</v>
      </c>
      <c r="CF61" s="79">
        <f t="shared" si="94"/>
        <v>1.25E-3</v>
      </c>
      <c r="CG61" s="79">
        <f t="shared" si="94"/>
        <v>1.25E-3</v>
      </c>
      <c r="CH61" s="79">
        <f t="shared" si="94"/>
        <v>1.25E-3</v>
      </c>
      <c r="CI61" s="79">
        <f t="shared" si="94"/>
        <v>1.25E-3</v>
      </c>
      <c r="CJ61" s="79">
        <f t="shared" si="94"/>
        <v>1.25E-3</v>
      </c>
      <c r="CK61" s="79">
        <f t="shared" si="94"/>
        <v>1.25E-3</v>
      </c>
      <c r="CL61" s="79">
        <f t="shared" si="94"/>
        <v>1.25E-3</v>
      </c>
      <c r="CM61" s="79">
        <f t="shared" si="94"/>
        <v>1.25E-3</v>
      </c>
      <c r="CN61" s="79">
        <f t="shared" si="94"/>
        <v>1.25E-3</v>
      </c>
      <c r="CO61" s="79">
        <f t="shared" si="94"/>
        <v>1.25E-3</v>
      </c>
      <c r="CP61" s="79">
        <f t="shared" si="94"/>
        <v>1.25E-3</v>
      </c>
      <c r="CQ61" s="79">
        <f t="shared" si="94"/>
        <v>1.25E-3</v>
      </c>
      <c r="CR61" s="79">
        <f t="shared" si="94"/>
        <v>1.25E-3</v>
      </c>
      <c r="CS61" s="79">
        <f t="shared" si="94"/>
        <v>1.25E-3</v>
      </c>
      <c r="CT61" s="79">
        <f t="shared" si="94"/>
        <v>1.25E-3</v>
      </c>
      <c r="CU61" s="79">
        <f t="shared" si="94"/>
        <v>1.25E-3</v>
      </c>
      <c r="CV61" s="79">
        <f t="shared" si="94"/>
        <v>1.25E-3</v>
      </c>
      <c r="CW61" s="79">
        <f t="shared" si="94"/>
        <v>1.25E-3</v>
      </c>
      <c r="CX61" s="79">
        <f t="shared" si="94"/>
        <v>1.25E-3</v>
      </c>
      <c r="CY61" s="79">
        <f t="shared" si="94"/>
        <v>1.25E-3</v>
      </c>
      <c r="CZ61" s="79">
        <f t="shared" si="94"/>
        <v>1.25E-3</v>
      </c>
      <c r="DA61" s="79">
        <f t="shared" si="94"/>
        <v>1.25E-3</v>
      </c>
      <c r="DB61" s="79">
        <f t="shared" si="94"/>
        <v>1.25E-3</v>
      </c>
      <c r="DC61" s="79">
        <f t="shared" si="94"/>
        <v>1.25E-3</v>
      </c>
      <c r="DD61" s="79">
        <f t="shared" si="94"/>
        <v>1.25E-3</v>
      </c>
      <c r="DE61" s="79">
        <f t="shared" si="94"/>
        <v>1.25E-3</v>
      </c>
      <c r="DF61" s="79">
        <f t="shared" si="94"/>
        <v>1.25E-3</v>
      </c>
      <c r="DG61" s="79">
        <f t="shared" si="94"/>
        <v>1.25E-3</v>
      </c>
      <c r="DH61" s="79">
        <f t="shared" si="94"/>
        <v>1.25E-3</v>
      </c>
      <c r="DI61" s="79">
        <f t="shared" si="94"/>
        <v>1.25E-3</v>
      </c>
      <c r="DJ61" s="79">
        <f t="shared" si="94"/>
        <v>1.25E-3</v>
      </c>
      <c r="DK61" s="79">
        <f t="shared" si="94"/>
        <v>1.25E-3</v>
      </c>
      <c r="DL61" s="79">
        <f t="shared" si="94"/>
        <v>1.25E-3</v>
      </c>
      <c r="DM61" s="79">
        <f t="shared" si="94"/>
        <v>1.25E-3</v>
      </c>
      <c r="DN61" s="79">
        <f t="shared" si="94"/>
        <v>1.25E-3</v>
      </c>
      <c r="DO61" s="79">
        <f t="shared" si="94"/>
        <v>1.25E-3</v>
      </c>
      <c r="DP61" s="79">
        <f t="shared" si="94"/>
        <v>1.25E-3</v>
      </c>
      <c r="DQ61" s="79">
        <f t="shared" si="94"/>
        <v>1.25E-3</v>
      </c>
      <c r="DR61" s="79">
        <f t="shared" si="94"/>
        <v>1.25E-3</v>
      </c>
      <c r="DS61" s="79">
        <f t="shared" si="94"/>
        <v>1.25E-3</v>
      </c>
      <c r="DT61" s="79">
        <f t="shared" si="94"/>
        <v>1.25E-3</v>
      </c>
      <c r="DU61" s="79">
        <f t="shared" si="94"/>
        <v>1.25E-3</v>
      </c>
      <c r="DV61" s="79">
        <f t="shared" si="94"/>
        <v>1.25E-3</v>
      </c>
      <c r="DW61" s="79">
        <f t="shared" si="94"/>
        <v>1.25E-3</v>
      </c>
      <c r="DX61" s="79">
        <f t="shared" si="94"/>
        <v>1.25E-3</v>
      </c>
      <c r="DY61" s="79">
        <f t="shared" si="94"/>
        <v>1.25E-3</v>
      </c>
      <c r="DZ61" s="79">
        <f t="shared" si="94"/>
        <v>1.25E-3</v>
      </c>
      <c r="EA61" s="79">
        <f t="shared" si="94"/>
        <v>1.25E-3</v>
      </c>
      <c r="EB61" s="79">
        <f t="shared" ref="EB61:EP61" si="95">HLOOKUP(EB$43,$B$5:$GB$36,$A$33,FALSE)</f>
        <v>1.25E-3</v>
      </c>
      <c r="EC61" s="79">
        <f t="shared" si="95"/>
        <v>1.25E-3</v>
      </c>
      <c r="ED61" s="79">
        <f t="shared" si="95"/>
        <v>1.25E-3</v>
      </c>
      <c r="EE61" s="79">
        <f t="shared" si="95"/>
        <v>1.25E-3</v>
      </c>
      <c r="EF61" s="79">
        <f t="shared" si="95"/>
        <v>1.25E-3</v>
      </c>
      <c r="EG61" s="79">
        <f t="shared" si="95"/>
        <v>1.25E-3</v>
      </c>
      <c r="EH61" s="79">
        <f t="shared" si="95"/>
        <v>1.25E-3</v>
      </c>
      <c r="EI61" s="79">
        <f t="shared" si="95"/>
        <v>1.25E-3</v>
      </c>
      <c r="EJ61" s="79">
        <f t="shared" si="95"/>
        <v>1.25E-3</v>
      </c>
      <c r="EK61" s="79">
        <f t="shared" si="95"/>
        <v>1.25E-3</v>
      </c>
      <c r="EL61" s="79">
        <f t="shared" si="95"/>
        <v>1.25E-3</v>
      </c>
      <c r="EM61" s="79">
        <f t="shared" si="95"/>
        <v>1.25E-3</v>
      </c>
      <c r="EN61" s="79">
        <f t="shared" si="95"/>
        <v>1.25E-3</v>
      </c>
      <c r="EO61" s="79">
        <f t="shared" si="95"/>
        <v>1.25E-3</v>
      </c>
      <c r="EP61" s="79">
        <f t="shared" si="95"/>
        <v>1.25E-3</v>
      </c>
    </row>
    <row r="64" spans="1:146" ht="15.75">
      <c r="B64" s="113" t="s">
        <v>353</v>
      </c>
      <c r="H64" s="55">
        <f>(1+C129)/(1+H129)-1</f>
        <v>3.2816229116943152E-3</v>
      </c>
    </row>
    <row r="66" spans="2:18">
      <c r="B66" s="89">
        <v>1</v>
      </c>
      <c r="C66" s="89">
        <f>+B66+1</f>
        <v>2</v>
      </c>
      <c r="D66" s="89">
        <f>+C66+1</f>
        <v>3</v>
      </c>
      <c r="E66" s="89">
        <f t="shared" ref="E66:R66" si="96">+D66+1</f>
        <v>4</v>
      </c>
      <c r="F66" s="89">
        <f t="shared" si="96"/>
        <v>5</v>
      </c>
      <c r="G66" s="89">
        <f t="shared" si="96"/>
        <v>6</v>
      </c>
      <c r="H66" s="89">
        <f t="shared" si="96"/>
        <v>7</v>
      </c>
      <c r="I66" s="89">
        <f t="shared" si="96"/>
        <v>8</v>
      </c>
      <c r="J66" s="89">
        <f t="shared" si="96"/>
        <v>9</v>
      </c>
      <c r="K66" s="89">
        <f t="shared" si="96"/>
        <v>10</v>
      </c>
      <c r="L66" s="89">
        <f t="shared" si="96"/>
        <v>11</v>
      </c>
      <c r="M66" s="89">
        <f t="shared" si="96"/>
        <v>12</v>
      </c>
      <c r="N66" s="89">
        <f t="shared" si="96"/>
        <v>13</v>
      </c>
      <c r="O66" s="89">
        <f t="shared" si="96"/>
        <v>14</v>
      </c>
      <c r="P66" s="89">
        <f t="shared" si="96"/>
        <v>15</v>
      </c>
      <c r="Q66" s="89">
        <f t="shared" si="96"/>
        <v>16</v>
      </c>
      <c r="R66" s="89">
        <f t="shared" si="96"/>
        <v>17</v>
      </c>
    </row>
    <row r="67" spans="2:18" ht="51">
      <c r="B67" s="35"/>
      <c r="C67" s="90" t="s">
        <v>358</v>
      </c>
      <c r="D67" s="90" t="s">
        <v>359</v>
      </c>
      <c r="E67" s="90" t="s">
        <v>313</v>
      </c>
      <c r="F67" s="90" t="s">
        <v>355</v>
      </c>
      <c r="G67" s="90" t="s">
        <v>342</v>
      </c>
      <c r="H67" s="90" t="s">
        <v>330</v>
      </c>
      <c r="I67" s="90" t="s">
        <v>343</v>
      </c>
      <c r="J67" s="90" t="s">
        <v>344</v>
      </c>
      <c r="K67" s="90" t="s">
        <v>341</v>
      </c>
      <c r="L67" s="90" t="s">
        <v>349</v>
      </c>
      <c r="M67" s="90" t="s">
        <v>345</v>
      </c>
      <c r="N67" s="90" t="s">
        <v>346</v>
      </c>
      <c r="O67" s="90" t="s">
        <v>354</v>
      </c>
      <c r="P67" s="90" t="s">
        <v>347</v>
      </c>
      <c r="Q67" s="90" t="s">
        <v>348</v>
      </c>
      <c r="R67" s="90" t="s">
        <v>314</v>
      </c>
    </row>
    <row r="68" spans="2:18">
      <c r="B68" s="88">
        <v>39082</v>
      </c>
      <c r="C68" s="116">
        <v>9.7999999999999997E-3</v>
      </c>
      <c r="D68" s="92">
        <f t="shared" ref="D68:D90" si="97">D69/(1+C69)</f>
        <v>0.79588685462155251</v>
      </c>
      <c r="E68" s="108">
        <v>3.2000000000000002E-3</v>
      </c>
      <c r="F68" s="92">
        <f t="shared" ref="F68:F75" si="98">F69/(1+E69)</f>
        <v>0.84522808332902055</v>
      </c>
      <c r="G68" s="98"/>
      <c r="H68" s="108">
        <v>4.7999999999999996E-3</v>
      </c>
      <c r="I68" s="92">
        <f t="shared" ref="I68:I75" si="99">I69/(1+H69)</f>
        <v>0.90397335597706507</v>
      </c>
      <c r="J68" s="93"/>
      <c r="K68" s="108">
        <v>9.8999999999999991E-3</v>
      </c>
      <c r="L68" s="94">
        <f t="shared" ref="L68:L90" si="100">L69/(IF(((1+K68)^12-1)&lt;6%,1,((1+K68)^12)/(1.06))^(1/12))</f>
        <v>0.89425766272378615</v>
      </c>
      <c r="M68" s="95"/>
      <c r="N68" s="96"/>
      <c r="O68" s="111">
        <v>2.1379999999999999</v>
      </c>
      <c r="P68" s="111">
        <v>2.1499000000000001</v>
      </c>
      <c r="Q68" s="91">
        <f t="shared" ref="Q68:Q88" si="101">IF(ISERROR((1+HLOOKUP(B68,$B$5:$EX$36,$A$32,FALSE))^(1/3)-1),Q69,(1+HLOOKUP(B68,$B$5:$EX$36,$A$32,FALSE))^(1/3)-1)</f>
        <v>4.3309252833241274E-3</v>
      </c>
      <c r="R68" s="119">
        <v>5.5365868732712986E-3</v>
      </c>
    </row>
    <row r="69" spans="2:18">
      <c r="B69" s="88">
        <f>EOMONTH(B68,1)</f>
        <v>39113</v>
      </c>
      <c r="C69" s="116">
        <v>1.0800000000000001E-2</v>
      </c>
      <c r="D69" s="92">
        <f t="shared" si="97"/>
        <v>0.80448243265146524</v>
      </c>
      <c r="E69" s="108">
        <v>5.0000000000000001E-3</v>
      </c>
      <c r="F69" s="92">
        <f t="shared" si="98"/>
        <v>0.84945422374566559</v>
      </c>
      <c r="G69" s="98">
        <f t="shared" ref="G69:G75" si="102">+F68*(F69/F68)^(0.5)</f>
        <v>0.84733851878236355</v>
      </c>
      <c r="H69" s="108">
        <v>4.4000000000000003E-3</v>
      </c>
      <c r="I69" s="92">
        <f t="shared" si="99"/>
        <v>0.90795083874336413</v>
      </c>
      <c r="J69" s="98">
        <f t="shared" ref="J69:J75" si="103">+I68*(I69/I68)^(0.5)</f>
        <v>0.90595991454425273</v>
      </c>
      <c r="K69" s="108">
        <v>1.0800000000000001E-2</v>
      </c>
      <c r="L69" s="94">
        <f t="shared" si="100"/>
        <v>0.89873616983318605</v>
      </c>
      <c r="M69" s="94">
        <f t="shared" ref="M69:M75" si="104">AVERAGE(L69,L68)</f>
        <v>0.89649691627848616</v>
      </c>
      <c r="N69" s="99">
        <f>(O71/O68)^(1/3)-1</f>
        <v>-1.3848520161574451E-2</v>
      </c>
      <c r="O69" s="111">
        <v>2.1246999999999998</v>
      </c>
      <c r="P69" s="111">
        <v>2.1385000000000001</v>
      </c>
      <c r="Q69" s="91">
        <f t="shared" si="101"/>
        <v>4.1696998373528249E-3</v>
      </c>
      <c r="R69" s="119">
        <v>5.2616942768477504E-3</v>
      </c>
    </row>
    <row r="70" spans="2:18">
      <c r="B70" s="88">
        <f t="shared" ref="B70:B133" si="105">EOMONTH(B69,1)</f>
        <v>39141</v>
      </c>
      <c r="C70" s="116">
        <v>8.6999999999999994E-3</v>
      </c>
      <c r="D70" s="92">
        <f t="shared" si="97"/>
        <v>0.81148142981553295</v>
      </c>
      <c r="E70" s="108">
        <v>2.7000000000000001E-3</v>
      </c>
      <c r="F70" s="92">
        <f t="shared" si="98"/>
        <v>0.85174775014977888</v>
      </c>
      <c r="G70" s="98">
        <f t="shared" si="102"/>
        <v>0.85060021392578866</v>
      </c>
      <c r="H70" s="108">
        <v>4.4000000000000003E-3</v>
      </c>
      <c r="I70" s="92">
        <f t="shared" si="99"/>
        <v>0.91194582243383493</v>
      </c>
      <c r="J70" s="98">
        <f t="shared" si="103"/>
        <v>0.90994613816824743</v>
      </c>
      <c r="K70" s="108">
        <v>8.6999999999999994E-3</v>
      </c>
      <c r="L70" s="94">
        <f t="shared" si="100"/>
        <v>0.90404205007544569</v>
      </c>
      <c r="M70" s="94">
        <f t="shared" si="104"/>
        <v>0.90138910995431587</v>
      </c>
      <c r="N70" s="99">
        <f>(O71/O68)^(1/3)-1</f>
        <v>-1.3848520161574451E-2</v>
      </c>
      <c r="O70" s="111">
        <v>2.1181999999999999</v>
      </c>
      <c r="P70" s="111">
        <v>2.0962499999999999</v>
      </c>
      <c r="Q70" s="91">
        <f t="shared" si="101"/>
        <v>4.1696998373528249E-3</v>
      </c>
      <c r="R70" s="119">
        <v>5.2616942768477504E-3</v>
      </c>
    </row>
    <row r="71" spans="2:18">
      <c r="B71" s="88">
        <f t="shared" si="105"/>
        <v>39172</v>
      </c>
      <c r="C71" s="116">
        <v>1.0500000000000001E-2</v>
      </c>
      <c r="D71" s="92">
        <f t="shared" si="97"/>
        <v>0.82000198482859599</v>
      </c>
      <c r="E71" s="108">
        <v>3.4000000000000002E-3</v>
      </c>
      <c r="F71" s="92">
        <f t="shared" si="98"/>
        <v>0.85464369250028815</v>
      </c>
      <c r="G71" s="98">
        <f t="shared" si="102"/>
        <v>0.85319449263741731</v>
      </c>
      <c r="H71" s="108">
        <v>3.7000000000000002E-3</v>
      </c>
      <c r="I71" s="92">
        <f t="shared" si="99"/>
        <v>0.91532002197684015</v>
      </c>
      <c r="J71" s="98">
        <f t="shared" si="103"/>
        <v>0.9136313645184394</v>
      </c>
      <c r="K71" s="108">
        <v>1.0500000000000001E-2</v>
      </c>
      <c r="L71" s="94">
        <f t="shared" si="100"/>
        <v>0.90748996263045711</v>
      </c>
      <c r="M71" s="94">
        <f t="shared" si="104"/>
        <v>0.90576600635295135</v>
      </c>
      <c r="N71" s="99">
        <f>(O71/O68)^(1/3)-1</f>
        <v>-1.3848520161574451E-2</v>
      </c>
      <c r="O71" s="111">
        <v>2.0503999999999998</v>
      </c>
      <c r="P71" s="111">
        <v>2.0886999999999998</v>
      </c>
      <c r="Q71" s="91">
        <f t="shared" si="101"/>
        <v>4.1696998373528249E-3</v>
      </c>
      <c r="R71" s="119">
        <v>5.2616942768477504E-3</v>
      </c>
    </row>
    <row r="72" spans="2:18">
      <c r="B72" s="88">
        <f t="shared" si="105"/>
        <v>39202</v>
      </c>
      <c r="C72" s="116">
        <v>9.3999999999999986E-3</v>
      </c>
      <c r="D72" s="92">
        <f t="shared" si="97"/>
        <v>0.82771000348598489</v>
      </c>
      <c r="E72" s="108">
        <v>4.0000000000000002E-4</v>
      </c>
      <c r="F72" s="92">
        <f t="shared" si="98"/>
        <v>0.85498554997728826</v>
      </c>
      <c r="G72" s="98">
        <f t="shared" si="102"/>
        <v>0.85481460414933197</v>
      </c>
      <c r="H72" s="108">
        <v>2.5000000000000001E-3</v>
      </c>
      <c r="I72" s="92">
        <f t="shared" si="99"/>
        <v>0.91760832203178222</v>
      </c>
      <c r="J72" s="98">
        <f t="shared" si="103"/>
        <v>0.91646345780301708</v>
      </c>
      <c r="K72" s="108">
        <v>9.3999999999999986E-3</v>
      </c>
      <c r="L72" s="94">
        <f t="shared" si="100"/>
        <v>0.91257659451950468</v>
      </c>
      <c r="M72" s="94">
        <f t="shared" si="104"/>
        <v>0.91003327857498095</v>
      </c>
      <c r="N72" s="99">
        <f>(O74/O71)^(1/3)-1</f>
        <v>-2.0613165261394895E-2</v>
      </c>
      <c r="O72" s="111">
        <v>2.0339</v>
      </c>
      <c r="P72" s="111">
        <v>2.032</v>
      </c>
      <c r="Q72" s="91">
        <f t="shared" si="101"/>
        <v>4.1696998373528249E-3</v>
      </c>
      <c r="R72" s="119">
        <v>5.2616942768477504E-3</v>
      </c>
    </row>
    <row r="73" spans="2:18">
      <c r="B73" s="88">
        <f t="shared" si="105"/>
        <v>39233</v>
      </c>
      <c r="C73" s="116">
        <v>1.0200000000000001E-2</v>
      </c>
      <c r="D73" s="92">
        <f t="shared" si="97"/>
        <v>0.83615264552154189</v>
      </c>
      <c r="E73" s="108">
        <v>4.0000000000000002E-4</v>
      </c>
      <c r="F73" s="92">
        <f t="shared" si="98"/>
        <v>0.85532754419727919</v>
      </c>
      <c r="G73" s="98">
        <f t="shared" si="102"/>
        <v>0.85515652999099168</v>
      </c>
      <c r="H73" s="108">
        <v>2.8000000000000004E-3</v>
      </c>
      <c r="I73" s="92">
        <f t="shared" si="99"/>
        <v>0.92017762533347114</v>
      </c>
      <c r="J73" s="98">
        <f t="shared" si="103"/>
        <v>0.91889207568323072</v>
      </c>
      <c r="K73" s="108">
        <v>1.03E-2</v>
      </c>
      <c r="L73" s="94">
        <f t="shared" si="100"/>
        <v>0.91669276611603412</v>
      </c>
      <c r="M73" s="94">
        <f t="shared" si="104"/>
        <v>0.9146346803177694</v>
      </c>
      <c r="N73" s="99">
        <f>(O74/O71)^(1/3)-1</f>
        <v>-2.0613165261394895E-2</v>
      </c>
      <c r="O73" s="111">
        <v>1.9289000000000001</v>
      </c>
      <c r="P73" s="111">
        <v>1.9816</v>
      </c>
      <c r="Q73" s="91">
        <f t="shared" si="101"/>
        <v>4.1696998373528249E-3</v>
      </c>
      <c r="R73" s="119">
        <v>5.2616942768477504E-3</v>
      </c>
    </row>
    <row r="74" spans="2:18">
      <c r="B74" s="88">
        <f t="shared" si="105"/>
        <v>39263</v>
      </c>
      <c r="C74" s="116">
        <v>9.0000000000000011E-3</v>
      </c>
      <c r="D74" s="92">
        <f t="shared" si="97"/>
        <v>0.84367801933123565</v>
      </c>
      <c r="E74" s="108">
        <v>2.5999999999999999E-3</v>
      </c>
      <c r="F74" s="92">
        <f t="shared" si="98"/>
        <v>0.85755139581219209</v>
      </c>
      <c r="G74" s="98">
        <f t="shared" si="102"/>
        <v>0.85643874819101407</v>
      </c>
      <c r="H74" s="108">
        <v>2.8000000000000004E-3</v>
      </c>
      <c r="I74" s="92">
        <f t="shared" si="99"/>
        <v>0.92275412268440482</v>
      </c>
      <c r="J74" s="98">
        <f t="shared" si="103"/>
        <v>0.92146497349514378</v>
      </c>
      <c r="K74" s="108">
        <v>9.1000000000000004E-3</v>
      </c>
      <c r="L74" s="94">
        <f t="shared" si="100"/>
        <v>0.92164853077998365</v>
      </c>
      <c r="M74" s="94">
        <f t="shared" si="104"/>
        <v>0.91917064844800889</v>
      </c>
      <c r="N74" s="99">
        <f>(O74/O71)^(1/3)-1</f>
        <v>-2.0613165261394895E-2</v>
      </c>
      <c r="O74" s="111">
        <v>1.9261999999999999</v>
      </c>
      <c r="P74" s="111">
        <v>1.9319</v>
      </c>
      <c r="Q74" s="91">
        <f t="shared" si="101"/>
        <v>4.1696998373528249E-3</v>
      </c>
      <c r="R74" s="119">
        <v>5.2616942768477504E-3</v>
      </c>
    </row>
    <row r="75" spans="2:18">
      <c r="B75" s="88">
        <f t="shared" si="105"/>
        <v>39294</v>
      </c>
      <c r="C75" s="116">
        <v>9.7000000000000003E-3</v>
      </c>
      <c r="D75" s="92">
        <f t="shared" si="97"/>
        <v>0.85186169611874862</v>
      </c>
      <c r="E75" s="108">
        <v>2.8000000000000004E-3</v>
      </c>
      <c r="F75" s="92">
        <f t="shared" si="98"/>
        <v>0.85995253972046615</v>
      </c>
      <c r="G75" s="98">
        <f t="shared" si="102"/>
        <v>0.85875112854046676</v>
      </c>
      <c r="H75" s="108">
        <v>2.3999999999999998E-3</v>
      </c>
      <c r="I75" s="92">
        <f t="shared" si="99"/>
        <v>0.92496873257884737</v>
      </c>
      <c r="J75" s="98">
        <f t="shared" si="103"/>
        <v>0.92386076404472339</v>
      </c>
      <c r="K75" s="108">
        <v>9.7000000000000003E-3</v>
      </c>
      <c r="L75" s="94">
        <f t="shared" si="100"/>
        <v>0.92553046606673628</v>
      </c>
      <c r="M75" s="94">
        <f t="shared" si="104"/>
        <v>0.92358949842335991</v>
      </c>
      <c r="N75" s="99">
        <f>(O77/O74)^(1/3)-1</f>
        <v>-1.5341627376538325E-2</v>
      </c>
      <c r="O75" s="111">
        <v>1.8775999999999999</v>
      </c>
      <c r="P75" s="111">
        <v>1.8828</v>
      </c>
      <c r="Q75" s="91">
        <f t="shared" si="101"/>
        <v>4.1696998373528249E-3</v>
      </c>
      <c r="R75" s="119">
        <v>5.0648349497708356E-3</v>
      </c>
    </row>
    <row r="76" spans="2:18">
      <c r="B76" s="88">
        <f t="shared" si="105"/>
        <v>39325</v>
      </c>
      <c r="C76" s="116">
        <v>9.8999999999999991E-3</v>
      </c>
      <c r="D76" s="92">
        <f t="shared" si="97"/>
        <v>0.86029512691032428</v>
      </c>
      <c r="E76" s="108">
        <v>9.7999999999999997E-3</v>
      </c>
      <c r="F76" s="92">
        <f t="shared" ref="F76:F91" si="106">F77/(1+E77)</f>
        <v>0.86838007460972677</v>
      </c>
      <c r="G76" s="98">
        <f t="shared" ref="G76:G139" si="107">+F75*(F76/F75)^(0.5)</f>
        <v>0.86415603371340433</v>
      </c>
      <c r="H76" s="108">
        <v>4.6999999999999993E-3</v>
      </c>
      <c r="I76" s="92">
        <f t="shared" ref="I76:I91" si="108">I77/(1+H77)</f>
        <v>0.92931608562196788</v>
      </c>
      <c r="J76" s="98">
        <f t="shared" ref="J76:J139" si="109">+I75*(I76/I75)^(0.5)</f>
        <v>0.9271398610149858</v>
      </c>
      <c r="K76" s="108">
        <v>9.8999999999999991E-3</v>
      </c>
      <c r="L76" s="94">
        <f t="shared" si="100"/>
        <v>0.92998138019465859</v>
      </c>
      <c r="M76" s="94">
        <f t="shared" ref="M76:M139" si="110">AVERAGE(L76,L75)</f>
        <v>0.92775592313069744</v>
      </c>
      <c r="N76" s="99">
        <f>(O77/O74)^(1/3)-1</f>
        <v>-1.5341627376538325E-2</v>
      </c>
      <c r="O76" s="111">
        <v>1.962</v>
      </c>
      <c r="P76" s="111">
        <v>1.966</v>
      </c>
      <c r="Q76" s="91">
        <f t="shared" si="101"/>
        <v>4.1696998373528249E-3</v>
      </c>
      <c r="R76" s="119">
        <v>5.0648349497708356E-3</v>
      </c>
    </row>
    <row r="77" spans="2:18">
      <c r="B77" s="88">
        <f t="shared" si="105"/>
        <v>39355</v>
      </c>
      <c r="C77" s="116">
        <v>8.0000000000000002E-3</v>
      </c>
      <c r="D77" s="92">
        <f t="shared" si="97"/>
        <v>0.86717748792560689</v>
      </c>
      <c r="E77" s="108">
        <v>1.29E-2</v>
      </c>
      <c r="F77" s="92">
        <f t="shared" si="106"/>
        <v>0.87958217757219215</v>
      </c>
      <c r="G77" s="98">
        <f t="shared" si="107"/>
        <v>0.87396317827785297</v>
      </c>
      <c r="H77" s="108">
        <v>1.8E-3</v>
      </c>
      <c r="I77" s="92">
        <f t="shared" si="108"/>
        <v>0.93098885457608749</v>
      </c>
      <c r="J77" s="98">
        <f t="shared" si="109"/>
        <v>0.93015209406436805</v>
      </c>
      <c r="K77" s="108">
        <v>8.0000000000000002E-3</v>
      </c>
      <c r="L77" s="94">
        <f t="shared" si="100"/>
        <v>0.93463879426715923</v>
      </c>
      <c r="M77" s="94">
        <f t="shared" si="110"/>
        <v>0.93231008723090891</v>
      </c>
      <c r="N77" s="99">
        <f>(O77/O74)^(1/3)-1</f>
        <v>-1.5341627376538325E-2</v>
      </c>
      <c r="O77" s="111">
        <v>1.8389</v>
      </c>
      <c r="P77" s="111">
        <v>1.8996</v>
      </c>
      <c r="Q77" s="91">
        <f t="shared" si="101"/>
        <v>4.1696998373528249E-3</v>
      </c>
      <c r="R77" s="119">
        <v>5.0648349497708356E-3</v>
      </c>
    </row>
    <row r="78" spans="2:18">
      <c r="B78" s="88">
        <f t="shared" si="105"/>
        <v>39386</v>
      </c>
      <c r="C78" s="116">
        <v>9.1999999999999998E-3</v>
      </c>
      <c r="D78" s="92">
        <f t="shared" si="97"/>
        <v>0.87515552081452253</v>
      </c>
      <c r="E78" s="108">
        <v>1.0500000000000001E-2</v>
      </c>
      <c r="F78" s="92">
        <f t="shared" si="106"/>
        <v>0.88881779043670017</v>
      </c>
      <c r="G78" s="98">
        <f t="shared" si="107"/>
        <v>0.88418792548712011</v>
      </c>
      <c r="H78" s="108">
        <v>3.0000000000000001E-3</v>
      </c>
      <c r="I78" s="92">
        <f t="shared" si="108"/>
        <v>0.93378182113981567</v>
      </c>
      <c r="J78" s="98">
        <f t="shared" si="109"/>
        <v>0.9323842920635943</v>
      </c>
      <c r="K78" s="108">
        <v>9.300000000000001E-3</v>
      </c>
      <c r="L78" s="94">
        <f t="shared" si="100"/>
        <v>0.93755232128976396</v>
      </c>
      <c r="M78" s="94">
        <f t="shared" si="110"/>
        <v>0.93609555777846154</v>
      </c>
      <c r="N78" s="99">
        <f>(O80/O77)^(1/3)-1</f>
        <v>-1.2406999410755626E-2</v>
      </c>
      <c r="O78" s="111">
        <v>1.744</v>
      </c>
      <c r="P78" s="111">
        <v>1.8009999999999999</v>
      </c>
      <c r="Q78" s="91">
        <f t="shared" si="101"/>
        <v>4.1696998373528249E-3</v>
      </c>
      <c r="R78" s="119">
        <v>5.0648349497708356E-3</v>
      </c>
    </row>
    <row r="79" spans="2:18">
      <c r="B79" s="88">
        <f t="shared" si="105"/>
        <v>39416</v>
      </c>
      <c r="C79" s="116">
        <v>8.3999999999999995E-3</v>
      </c>
      <c r="D79" s="92">
        <f t="shared" si="97"/>
        <v>0.88250682718936446</v>
      </c>
      <c r="E79" s="108">
        <v>6.8999999999999999E-3</v>
      </c>
      <c r="F79" s="92">
        <f t="shared" si="106"/>
        <v>0.89495063319071333</v>
      </c>
      <c r="G79" s="98">
        <f t="shared" si="107"/>
        <v>0.89187894040755089</v>
      </c>
      <c r="H79" s="108">
        <v>3.8E-3</v>
      </c>
      <c r="I79" s="92">
        <f t="shared" si="108"/>
        <v>0.937330192060147</v>
      </c>
      <c r="J79" s="98">
        <f t="shared" si="109"/>
        <v>0.93555432431861341</v>
      </c>
      <c r="K79" s="108">
        <v>8.3999999999999995E-3</v>
      </c>
      <c r="L79" s="94">
        <f t="shared" si="100"/>
        <v>0.9416878446770246</v>
      </c>
      <c r="M79" s="94">
        <f t="shared" si="110"/>
        <v>0.93962008298339428</v>
      </c>
      <c r="N79" s="99">
        <f>(O80/O77)^(1/3)-1</f>
        <v>-1.2406999410755626E-2</v>
      </c>
      <c r="O79" s="111">
        <v>1.7837000000000001</v>
      </c>
      <c r="P79" s="111">
        <v>1.7699</v>
      </c>
      <c r="Q79" s="91">
        <f t="shared" si="101"/>
        <v>4.1696998373528249E-3</v>
      </c>
      <c r="R79" s="119">
        <v>5.0648349497708356E-3</v>
      </c>
    </row>
    <row r="80" spans="2:18">
      <c r="B80" s="88">
        <f t="shared" si="105"/>
        <v>39447</v>
      </c>
      <c r="C80" s="116">
        <v>8.3999999999999995E-3</v>
      </c>
      <c r="D80" s="92">
        <f t="shared" si="97"/>
        <v>0.88991988453775506</v>
      </c>
      <c r="E80" s="108">
        <v>1.7600000000000001E-2</v>
      </c>
      <c r="F80" s="92">
        <f t="shared" si="106"/>
        <v>0.91070176433486993</v>
      </c>
      <c r="G80" s="98">
        <f t="shared" si="107"/>
        <v>0.90279184790260025</v>
      </c>
      <c r="H80" s="108">
        <v>7.4000000000000003E-3</v>
      </c>
      <c r="I80" s="92">
        <f t="shared" si="108"/>
        <v>0.94426643548139211</v>
      </c>
      <c r="J80" s="98">
        <f t="shared" si="109"/>
        <v>0.94079192137566947</v>
      </c>
      <c r="K80" s="108">
        <v>8.3999999999999995E-3</v>
      </c>
      <c r="L80" s="94">
        <f t="shared" si="100"/>
        <v>0.94499819606878876</v>
      </c>
      <c r="M80" s="94">
        <f t="shared" si="110"/>
        <v>0.94334302037290674</v>
      </c>
      <c r="N80" s="99">
        <f>(O80/O77)^(1/3)-1</f>
        <v>-1.2406999410755626E-2</v>
      </c>
      <c r="O80" s="111">
        <v>1.7713000000000001</v>
      </c>
      <c r="P80" s="111">
        <v>1.786</v>
      </c>
      <c r="Q80" s="91">
        <f t="shared" si="101"/>
        <v>4.1696998373528249E-3</v>
      </c>
      <c r="R80" s="119">
        <v>5.0648349497708356E-3</v>
      </c>
    </row>
    <row r="81" spans="1:18">
      <c r="B81" s="88">
        <f t="shared" si="105"/>
        <v>39478</v>
      </c>
      <c r="C81" s="116">
        <v>9.1999999999999998E-3</v>
      </c>
      <c r="D81" s="92">
        <f t="shared" si="97"/>
        <v>0.89810714747550247</v>
      </c>
      <c r="E81" s="108">
        <v>1.09E-2</v>
      </c>
      <c r="F81" s="92">
        <f t="shared" si="106"/>
        <v>0.92062841356611991</v>
      </c>
      <c r="G81" s="98">
        <f t="shared" si="107"/>
        <v>0.91565163710413244</v>
      </c>
      <c r="H81" s="108">
        <v>5.4000000000000003E-3</v>
      </c>
      <c r="I81" s="92">
        <f t="shared" si="108"/>
        <v>0.94936547423299167</v>
      </c>
      <c r="J81" s="98">
        <f t="shared" si="109"/>
        <v>0.94681252226778689</v>
      </c>
      <c r="K81" s="108">
        <v>9.300000000000001E-3</v>
      </c>
      <c r="L81" s="94">
        <f t="shared" si="100"/>
        <v>0.94832018446574406</v>
      </c>
      <c r="M81" s="94">
        <f t="shared" si="110"/>
        <v>0.94665919026726641</v>
      </c>
      <c r="N81" s="99">
        <f>(O83/O80)^(1/3)-1</f>
        <v>-4.1952984929251036E-3</v>
      </c>
      <c r="O81" s="111">
        <v>1.7603</v>
      </c>
      <c r="P81" s="111">
        <v>1.7743</v>
      </c>
      <c r="Q81" s="91">
        <f t="shared" si="101"/>
        <v>2.4409448931050903E-3</v>
      </c>
      <c r="R81" s="119">
        <v>5.0648349497708356E-3</v>
      </c>
    </row>
    <row r="82" spans="1:18">
      <c r="B82" s="88">
        <f t="shared" si="105"/>
        <v>39507</v>
      </c>
      <c r="C82" s="116">
        <v>7.9000000000000008E-3</v>
      </c>
      <c r="D82" s="92">
        <f t="shared" si="97"/>
        <v>0.9052021939405589</v>
      </c>
      <c r="E82" s="108">
        <v>5.3E-3</v>
      </c>
      <c r="F82" s="92">
        <f t="shared" si="106"/>
        <v>0.9255077441580204</v>
      </c>
      <c r="G82" s="98">
        <f t="shared" si="107"/>
        <v>0.92306485484355694</v>
      </c>
      <c r="H82" s="108">
        <v>4.8999999999999998E-3</v>
      </c>
      <c r="I82" s="92">
        <f t="shared" si="108"/>
        <v>0.95401736505673329</v>
      </c>
      <c r="J82" s="98">
        <f t="shared" si="109"/>
        <v>0.95168857732117118</v>
      </c>
      <c r="K82" s="108">
        <v>8.0000000000000002E-3</v>
      </c>
      <c r="L82" s="94">
        <f t="shared" si="100"/>
        <v>0.95250320466889848</v>
      </c>
      <c r="M82" s="94">
        <f t="shared" si="110"/>
        <v>0.95041169456732133</v>
      </c>
      <c r="N82" s="99">
        <f>(O83/O80)^(1/3)-1</f>
        <v>-4.1952984929251036E-3</v>
      </c>
      <c r="O82" s="111">
        <v>1.6833</v>
      </c>
      <c r="P82" s="111">
        <v>1.7277</v>
      </c>
      <c r="Q82" s="91">
        <f t="shared" si="101"/>
        <v>2.4409448931050903E-3</v>
      </c>
      <c r="R82" s="119">
        <v>5.0648349497708356E-3</v>
      </c>
    </row>
    <row r="83" spans="1:18">
      <c r="B83" s="88">
        <f t="shared" si="105"/>
        <v>39538</v>
      </c>
      <c r="C83" s="116">
        <v>8.3999999999999995E-3</v>
      </c>
      <c r="D83" s="92">
        <f t="shared" si="97"/>
        <v>0.91280589236965959</v>
      </c>
      <c r="E83" s="108">
        <v>7.4000000000000003E-3</v>
      </c>
      <c r="F83" s="92">
        <f t="shared" si="106"/>
        <v>0.93235650146478977</v>
      </c>
      <c r="G83" s="98">
        <f t="shared" si="107"/>
        <v>0.92892581104291738</v>
      </c>
      <c r="H83" s="108">
        <v>4.7999999999999996E-3</v>
      </c>
      <c r="I83" s="92">
        <f t="shared" si="108"/>
        <v>0.95859664840900549</v>
      </c>
      <c r="J83" s="98">
        <f t="shared" si="109"/>
        <v>0.95630426573730987</v>
      </c>
      <c r="K83" s="108">
        <v>8.3999999999999995E-3</v>
      </c>
      <c r="L83" s="94">
        <f t="shared" si="100"/>
        <v>0.95547241998816668</v>
      </c>
      <c r="M83" s="94">
        <f t="shared" si="110"/>
        <v>0.95398781232853258</v>
      </c>
      <c r="N83" s="99">
        <f>(O83/O80)^(1/3)-1</f>
        <v>-4.1952984929251036E-3</v>
      </c>
      <c r="O83" s="111">
        <v>1.7491000000000001</v>
      </c>
      <c r="P83" s="111">
        <v>1.7076</v>
      </c>
      <c r="Q83" s="91">
        <f t="shared" si="101"/>
        <v>2.4409448931050903E-3</v>
      </c>
      <c r="R83" s="119">
        <v>5.0648349497708356E-3</v>
      </c>
    </row>
    <row r="84" spans="1:18">
      <c r="B84" s="88">
        <f t="shared" si="105"/>
        <v>39568</v>
      </c>
      <c r="C84" s="116">
        <v>9.0000000000000011E-3</v>
      </c>
      <c r="D84" s="92">
        <f t="shared" si="97"/>
        <v>0.92102114540098645</v>
      </c>
      <c r="E84" s="108">
        <v>6.8999999999999999E-3</v>
      </c>
      <c r="F84" s="92">
        <f t="shared" si="106"/>
        <v>0.93878976132489678</v>
      </c>
      <c r="G84" s="98">
        <f t="shared" si="107"/>
        <v>0.93556760176902543</v>
      </c>
      <c r="H84" s="108">
        <v>5.5000000000000005E-3</v>
      </c>
      <c r="I84" s="92">
        <f t="shared" si="108"/>
        <v>0.96386892997525508</v>
      </c>
      <c r="J84" s="98">
        <f t="shared" si="109"/>
        <v>0.96122917443232747</v>
      </c>
      <c r="K84" s="108">
        <v>9.0000000000000011E-3</v>
      </c>
      <c r="L84" s="94">
        <f t="shared" si="100"/>
        <v>0.95883122882612604</v>
      </c>
      <c r="M84" s="94">
        <f t="shared" si="110"/>
        <v>0.95715182440714641</v>
      </c>
      <c r="N84" s="99">
        <f>(O86/O83)^(1/3)-1</f>
        <v>-3.0903449610951705E-2</v>
      </c>
      <c r="O84" s="111">
        <v>1.6872</v>
      </c>
      <c r="P84" s="111">
        <v>1.6889000000000001</v>
      </c>
      <c r="Q84" s="91">
        <f t="shared" si="101"/>
        <v>2.4409448931050903E-3</v>
      </c>
      <c r="R84" s="119">
        <v>5.0648349497708356E-3</v>
      </c>
    </row>
    <row r="85" spans="1:18">
      <c r="B85" s="88">
        <f t="shared" si="105"/>
        <v>39599</v>
      </c>
      <c r="C85" s="116">
        <v>8.6999999999999994E-3</v>
      </c>
      <c r="D85" s="92">
        <f t="shared" si="97"/>
        <v>0.92903402936597501</v>
      </c>
      <c r="E85" s="108">
        <v>1.61E-2</v>
      </c>
      <c r="F85" s="92">
        <f t="shared" si="106"/>
        <v>0.95390427648222764</v>
      </c>
      <c r="G85" s="98">
        <f t="shared" si="107"/>
        <v>0.94631684336988775</v>
      </c>
      <c r="H85" s="108">
        <v>7.9000000000000008E-3</v>
      </c>
      <c r="I85" s="92">
        <f t="shared" si="108"/>
        <v>0.97148349452205962</v>
      </c>
      <c r="J85" s="98">
        <f t="shared" si="109"/>
        <v>0.96766872242188284</v>
      </c>
      <c r="K85" s="108">
        <v>8.8000000000000005E-3</v>
      </c>
      <c r="L85" s="94">
        <f t="shared" si="100"/>
        <v>0.96277435701975189</v>
      </c>
      <c r="M85" s="94">
        <f t="shared" si="110"/>
        <v>0.96080279292293902</v>
      </c>
      <c r="N85" s="99">
        <f>(O86/O83)^(1/3)-1</f>
        <v>-3.0903449610951705E-2</v>
      </c>
      <c r="O85" s="111">
        <v>1.6294</v>
      </c>
      <c r="P85" s="111">
        <v>1.6605000000000001</v>
      </c>
      <c r="Q85" s="91">
        <f t="shared" si="101"/>
        <v>2.4409448931050903E-3</v>
      </c>
      <c r="R85" s="119">
        <v>5.0648349497708356E-3</v>
      </c>
    </row>
    <row r="86" spans="1:18">
      <c r="B86" s="88">
        <f t="shared" si="105"/>
        <v>39629</v>
      </c>
      <c r="C86" s="116">
        <v>9.4999999999999998E-3</v>
      </c>
      <c r="D86" s="92">
        <f t="shared" si="97"/>
        <v>0.93785985264495186</v>
      </c>
      <c r="E86" s="108">
        <v>1.9799999999999998E-2</v>
      </c>
      <c r="F86" s="92">
        <f t="shared" si="106"/>
        <v>0.97279158115657582</v>
      </c>
      <c r="G86" s="98">
        <f t="shared" si="107"/>
        <v>0.96330163987775164</v>
      </c>
      <c r="H86" s="108">
        <v>7.4000000000000003E-3</v>
      </c>
      <c r="I86" s="92">
        <f t="shared" si="108"/>
        <v>0.97867247238152288</v>
      </c>
      <c r="J86" s="98">
        <f t="shared" si="109"/>
        <v>0.97507135813833945</v>
      </c>
      <c r="K86" s="108">
        <v>9.5999999999999992E-3</v>
      </c>
      <c r="L86" s="94">
        <f t="shared" si="100"/>
        <v>0.96654207891885646</v>
      </c>
      <c r="M86" s="94">
        <f t="shared" si="110"/>
        <v>0.96465821796930418</v>
      </c>
      <c r="N86" s="99">
        <f>(O86/O83)^(1/3)-1</f>
        <v>-3.0903449610951705E-2</v>
      </c>
      <c r="O86" s="111">
        <v>1.5919000000000001</v>
      </c>
      <c r="P86" s="111">
        <v>1.6189</v>
      </c>
      <c r="Q86" s="91">
        <f t="shared" si="101"/>
        <v>2.4409448931050903E-3</v>
      </c>
      <c r="R86" s="119">
        <v>5.0648349497708356E-3</v>
      </c>
    </row>
    <row r="87" spans="1:18">
      <c r="B87" s="88">
        <f t="shared" si="105"/>
        <v>39660</v>
      </c>
      <c r="C87" s="116">
        <v>1.06E-2</v>
      </c>
      <c r="D87" s="92">
        <f t="shared" si="97"/>
        <v>0.94780116708298834</v>
      </c>
      <c r="E87" s="108">
        <v>1.7600000000000001E-2</v>
      </c>
      <c r="F87" s="92">
        <f t="shared" si="106"/>
        <v>0.98991271298493166</v>
      </c>
      <c r="G87" s="98">
        <f t="shared" si="107"/>
        <v>0.98131480844406271</v>
      </c>
      <c r="H87" s="108">
        <v>5.3E-3</v>
      </c>
      <c r="I87" s="92">
        <f t="shared" si="108"/>
        <v>0.98385943648514507</v>
      </c>
      <c r="J87" s="98">
        <f t="shared" si="109"/>
        <v>0.98126252714592588</v>
      </c>
      <c r="K87" s="108">
        <v>1.0700000000000001E-2</v>
      </c>
      <c r="L87" s="94">
        <f t="shared" si="100"/>
        <v>0.97109403356439983</v>
      </c>
      <c r="M87" s="94">
        <f t="shared" si="110"/>
        <v>0.9688180562416282</v>
      </c>
      <c r="N87" s="99">
        <f>(O89/O86)^(1/3)-1</f>
        <v>6.3403467723639473E-2</v>
      </c>
      <c r="O87" s="111">
        <v>1.5666</v>
      </c>
      <c r="P87" s="111">
        <v>1.5913999999999999</v>
      </c>
      <c r="Q87" s="91">
        <f t="shared" si="101"/>
        <v>2.4409448931050903E-3</v>
      </c>
      <c r="R87" s="119">
        <v>5.0648349497708356E-3</v>
      </c>
    </row>
    <row r="88" spans="1:18">
      <c r="B88" s="88">
        <f t="shared" si="105"/>
        <v>39691</v>
      </c>
      <c r="C88" s="116">
        <v>1.01E-2</v>
      </c>
      <c r="D88" s="92">
        <f t="shared" si="97"/>
        <v>0.95737395887052656</v>
      </c>
      <c r="E88" s="108">
        <v>-3.2000000000000002E-3</v>
      </c>
      <c r="F88" s="92">
        <f t="shared" si="106"/>
        <v>0.98674499230337986</v>
      </c>
      <c r="G88" s="98">
        <f t="shared" si="107"/>
        <v>0.98832758352447814</v>
      </c>
      <c r="H88" s="108">
        <v>2.8000000000000004E-3</v>
      </c>
      <c r="I88" s="92">
        <f t="shared" si="108"/>
        <v>0.98661424290730337</v>
      </c>
      <c r="J88" s="98">
        <f t="shared" si="109"/>
        <v>0.98523587686147396</v>
      </c>
      <c r="K88" s="108">
        <v>1.0200000000000001E-2</v>
      </c>
      <c r="L88" s="94">
        <f t="shared" si="100"/>
        <v>0.97673045484586607</v>
      </c>
      <c r="M88" s="94">
        <f t="shared" si="110"/>
        <v>0.97391224420513289</v>
      </c>
      <c r="N88" s="99">
        <f>(O89/O86)^(1/3)-1</f>
        <v>6.3403467723639473E-2</v>
      </c>
      <c r="O88" s="111">
        <v>1.6344000000000001</v>
      </c>
      <c r="P88" s="111">
        <v>1.6123000000000001</v>
      </c>
      <c r="Q88" s="91">
        <f t="shared" si="101"/>
        <v>2.4409448931050903E-3</v>
      </c>
      <c r="R88" s="119">
        <v>5.0648349497708356E-3</v>
      </c>
    </row>
    <row r="89" spans="1:18">
      <c r="B89" s="88">
        <f t="shared" si="105"/>
        <v>39721</v>
      </c>
      <c r="C89" s="116">
        <v>1.1000000000000001E-2</v>
      </c>
      <c r="D89" s="92">
        <f t="shared" si="97"/>
        <v>0.96790507241810231</v>
      </c>
      <c r="E89" s="108">
        <v>1.1000000000000001E-3</v>
      </c>
      <c r="F89" s="92">
        <f t="shared" si="106"/>
        <v>0.98783041179491371</v>
      </c>
      <c r="G89" s="98">
        <f t="shared" si="107"/>
        <v>0.98728755288599512</v>
      </c>
      <c r="H89" s="108">
        <v>2.5999999999999999E-3</v>
      </c>
      <c r="I89" s="92">
        <f t="shared" si="108"/>
        <v>0.98917943993886226</v>
      </c>
      <c r="J89" s="98">
        <f t="shared" si="109"/>
        <v>0.98789600881608541</v>
      </c>
      <c r="K89" s="108">
        <v>1.1000000000000001E-2</v>
      </c>
      <c r="L89" s="94">
        <f t="shared" si="100"/>
        <v>0.98191359142821955</v>
      </c>
      <c r="M89" s="94">
        <f t="shared" si="110"/>
        <v>0.97932202313704275</v>
      </c>
      <c r="N89" s="99">
        <f>(O89/O86)^(1/3)-1</f>
        <v>6.3403467723639473E-2</v>
      </c>
      <c r="O89" s="111">
        <v>1.9142999999999999</v>
      </c>
      <c r="P89" s="111">
        <v>1.7996000000000001</v>
      </c>
      <c r="Q89" s="91">
        <f>IF(ISERROR((1+HLOOKUP(B89,$B$5:$EX$36,$A$32,FALSE))^(1/3)-1),Q90,(1+HLOOKUP(B89,$B$5:$EX$36,$A$32,FALSE))^(1/3)-1)</f>
        <v>2.4409448931050903E-3</v>
      </c>
      <c r="R89" s="119">
        <v>5.0648349497708356E-3</v>
      </c>
    </row>
    <row r="90" spans="1:18">
      <c r="B90" s="88">
        <f t="shared" si="105"/>
        <v>39752</v>
      </c>
      <c r="C90" s="116">
        <v>1.1699999999999999E-2</v>
      </c>
      <c r="D90" s="92">
        <f t="shared" si="97"/>
        <v>0.97922956176539411</v>
      </c>
      <c r="E90" s="108">
        <v>9.7999999999999997E-3</v>
      </c>
      <c r="F90" s="92">
        <f t="shared" si="106"/>
        <v>0.99751114983050393</v>
      </c>
      <c r="G90" s="98">
        <f t="shared" si="107"/>
        <v>0.9926589796637536</v>
      </c>
      <c r="H90" s="108">
        <v>4.5000000000000005E-3</v>
      </c>
      <c r="I90" s="92">
        <f t="shared" si="108"/>
        <v>0.99363074741858703</v>
      </c>
      <c r="J90" s="98">
        <f t="shared" si="109"/>
        <v>0.99140259543615827</v>
      </c>
      <c r="K90" s="108">
        <v>1.18E-2</v>
      </c>
      <c r="L90" s="94">
        <f t="shared" si="100"/>
        <v>0.98790595872602738</v>
      </c>
      <c r="M90" s="94">
        <f t="shared" si="110"/>
        <v>0.98490977507712341</v>
      </c>
      <c r="N90" s="99">
        <f>(O92/O89)^(1/3)-1</f>
        <v>6.8766676616527578E-2</v>
      </c>
      <c r="O90" s="111">
        <v>2.1153</v>
      </c>
      <c r="P90" s="111">
        <v>2.1728999999999998</v>
      </c>
      <c r="Q90" s="91">
        <f t="shared" ref="Q90:Q153" si="111">IF(ISERROR((1+HLOOKUP(B90,$B$5:$EX$36,$A$32,FALSE))^(1/3)-1),Q91,(1+HLOOKUP(B90,$B$5:$EX$36,$A$32,FALSE))^(1/3)-1)</f>
        <v>2.4409448931050903E-3</v>
      </c>
      <c r="R90" s="119">
        <v>5.0648349497708356E-3</v>
      </c>
    </row>
    <row r="91" spans="1:18">
      <c r="B91" s="88">
        <f t="shared" si="105"/>
        <v>39782</v>
      </c>
      <c r="C91" s="116">
        <v>0.01</v>
      </c>
      <c r="D91" s="92">
        <f>D92/(1+C92)</f>
        <v>0.98902185738304804</v>
      </c>
      <c r="E91" s="108">
        <v>3.8E-3</v>
      </c>
      <c r="F91" s="92">
        <f t="shared" si="106"/>
        <v>1.0013016921998599</v>
      </c>
      <c r="G91" s="98">
        <f t="shared" si="107"/>
        <v>0.99940462392041773</v>
      </c>
      <c r="H91" s="108">
        <v>3.5999999999999999E-3</v>
      </c>
      <c r="I91" s="92">
        <f t="shared" si="108"/>
        <v>0.99720781810929404</v>
      </c>
      <c r="J91" s="98">
        <f t="shared" si="109"/>
        <v>0.99541767597305408</v>
      </c>
      <c r="K91" s="108">
        <v>1.0200000000000001E-2</v>
      </c>
      <c r="L91" s="94">
        <f>L92/(IF(((1+K91)^12-1)&lt;6%,1,((1+K91)^12)/(1.06))^(1/12))</f>
        <v>0.99472139236323798</v>
      </c>
      <c r="M91" s="94">
        <f t="shared" si="110"/>
        <v>0.99131367554463268</v>
      </c>
      <c r="N91" s="99">
        <f>(O92/O89)^(1/3)-1</f>
        <v>6.8766676616527578E-2</v>
      </c>
      <c r="O91" s="111">
        <v>2.3331</v>
      </c>
      <c r="P91" s="111">
        <v>2.2663000000000002</v>
      </c>
      <c r="Q91" s="91">
        <f t="shared" si="111"/>
        <v>2.4409448931050903E-3</v>
      </c>
      <c r="R91" s="119">
        <v>5.0648349497708356E-3</v>
      </c>
    </row>
    <row r="92" spans="1:18">
      <c r="A92" s="106" t="s">
        <v>357</v>
      </c>
      <c r="B92" s="100">
        <f t="shared" si="105"/>
        <v>39813</v>
      </c>
      <c r="C92" s="116">
        <v>1.11E-2</v>
      </c>
      <c r="D92" s="101">
        <v>1</v>
      </c>
      <c r="E92" s="109">
        <v>-1.2999999999999999E-3</v>
      </c>
      <c r="F92" s="101">
        <v>1</v>
      </c>
      <c r="G92" s="102">
        <f t="shared" si="107"/>
        <v>1.0006506344373445</v>
      </c>
      <c r="H92" s="109">
        <v>2.8000000000000004E-3</v>
      </c>
      <c r="I92" s="101">
        <v>1</v>
      </c>
      <c r="J92" s="102">
        <f t="shared" si="109"/>
        <v>0.99860293315676474</v>
      </c>
      <c r="K92" s="109">
        <v>1.1200000000000002E-2</v>
      </c>
      <c r="L92" s="103">
        <v>1</v>
      </c>
      <c r="M92" s="104">
        <f t="shared" si="110"/>
        <v>0.99736069618161904</v>
      </c>
      <c r="N92" s="105">
        <f>(O92/O89)^(1/3)-1</f>
        <v>6.8766676616527578E-2</v>
      </c>
      <c r="O92" s="112">
        <v>2.3370000000000002</v>
      </c>
      <c r="P92" s="112">
        <v>2.3944000000000001</v>
      </c>
      <c r="Q92" s="91">
        <f t="shared" si="111"/>
        <v>2.4409448931050903E-3</v>
      </c>
      <c r="R92" s="174">
        <v>5.0648349497708356E-3</v>
      </c>
    </row>
    <row r="93" spans="1:18">
      <c r="B93" s="88">
        <f t="shared" si="105"/>
        <v>39844</v>
      </c>
      <c r="C93" s="116">
        <v>1.04E-2</v>
      </c>
      <c r="D93" s="92">
        <f>D92*(1+C93)</f>
        <v>1.0104</v>
      </c>
      <c r="E93" s="108">
        <v>-4.4000000000000003E-3</v>
      </c>
      <c r="F93" s="92">
        <f>F92*(1+E93)</f>
        <v>0.99560000000000004</v>
      </c>
      <c r="G93" s="98">
        <f t="shared" si="107"/>
        <v>0.9977975746613138</v>
      </c>
      <c r="H93" s="108">
        <v>4.7999999999999996E-3</v>
      </c>
      <c r="I93" s="92">
        <f>I92*(1+H93)</f>
        <v>1.0047999999999999</v>
      </c>
      <c r="J93" s="98">
        <f>+I92*(I93/I92)^(0.5)</f>
        <v>1.0023971268913334</v>
      </c>
      <c r="K93" s="108">
        <v>1.0500000000000001E-2</v>
      </c>
      <c r="L93" s="94">
        <f>L92*(IF(((1+K93)^12-1)&lt;6%,1,((1+K93)^12)/(1.06))^(1/12))</f>
        <v>1.005605166005697</v>
      </c>
      <c r="M93" s="94">
        <f t="shared" si="110"/>
        <v>1.0028025830028486</v>
      </c>
      <c r="N93" s="99">
        <f>(O95/O92)^(1/3)-1</f>
        <v>-3.1191182988141719E-3</v>
      </c>
      <c r="O93" s="111">
        <v>2.3161999999999998</v>
      </c>
      <c r="P93" s="111">
        <v>2.3073999999999999</v>
      </c>
      <c r="Q93" s="91">
        <f t="shared" si="111"/>
        <v>1.2812989177852785E-3</v>
      </c>
      <c r="R93" s="119">
        <v>5.0648349497708356E-3</v>
      </c>
    </row>
    <row r="94" spans="1:18">
      <c r="B94" s="88">
        <f t="shared" si="105"/>
        <v>39872</v>
      </c>
      <c r="C94" s="116">
        <v>8.5000000000000006E-3</v>
      </c>
      <c r="D94" s="92">
        <f t="shared" ref="D94:D157" si="112">D93*(1+C94)</f>
        <v>1.0189884</v>
      </c>
      <c r="E94" s="108">
        <v>2.5999999999999999E-3</v>
      </c>
      <c r="F94" s="92">
        <f t="shared" ref="F94:F157" si="113">F93*(1+E94)</f>
        <v>0.99818856</v>
      </c>
      <c r="G94" s="98">
        <f t="shared" si="107"/>
        <v>0.99689343980989265</v>
      </c>
      <c r="H94" s="108">
        <v>5.5000000000000005E-3</v>
      </c>
      <c r="I94" s="92">
        <f t="shared" ref="I94:I157" si="114">I93*(1+H94)</f>
        <v>1.0103264000000001</v>
      </c>
      <c r="J94" s="98">
        <f t="shared" si="109"/>
        <v>1.0075594110125714</v>
      </c>
      <c r="K94" s="108">
        <v>8.6E-3</v>
      </c>
      <c r="L94" s="94">
        <f t="shared" ref="L94:L157" si="115">L93*(IF(((1+K94)^12-1)&lt;6%,1,((1+K94)^12)/(1.06))^(1/12))</f>
        <v>1.0093403552166873</v>
      </c>
      <c r="M94" s="94">
        <f t="shared" si="110"/>
        <v>1.0074727606111922</v>
      </c>
      <c r="N94" s="99">
        <f>(O95/O92)^(1/3)-1</f>
        <v>-3.1191182988141719E-3</v>
      </c>
      <c r="O94" s="111">
        <v>2.3784000000000001</v>
      </c>
      <c r="P94" s="111">
        <v>2.3127</v>
      </c>
      <c r="Q94" s="91">
        <f t="shared" si="111"/>
        <v>1.2812989177852785E-3</v>
      </c>
      <c r="R94" s="119">
        <v>5.0648349497708356E-3</v>
      </c>
    </row>
    <row r="95" spans="1:18">
      <c r="B95" s="88">
        <f t="shared" si="105"/>
        <v>39903</v>
      </c>
      <c r="C95" s="116">
        <v>9.7000000000000003E-3</v>
      </c>
      <c r="D95" s="92">
        <f t="shared" si="112"/>
        <v>1.02887258748</v>
      </c>
      <c r="E95" s="108">
        <v>-7.4000000000000003E-3</v>
      </c>
      <c r="F95" s="92">
        <f t="shared" si="113"/>
        <v>0.99080196465600001</v>
      </c>
      <c r="G95" s="98">
        <f t="shared" si="107"/>
        <v>0.99448840432915231</v>
      </c>
      <c r="H95" s="108">
        <v>2E-3</v>
      </c>
      <c r="I95" s="92">
        <f t="shared" si="114"/>
        <v>1.0123470528</v>
      </c>
      <c r="J95" s="98">
        <f t="shared" si="109"/>
        <v>1.0113362217413326</v>
      </c>
      <c r="K95" s="108">
        <v>9.7000000000000003E-3</v>
      </c>
      <c r="L95" s="94">
        <f t="shared" si="115"/>
        <v>1.0141943145531185</v>
      </c>
      <c r="M95" s="94">
        <f t="shared" si="110"/>
        <v>1.0117673348849028</v>
      </c>
      <c r="N95" s="99">
        <f>(O95/O92)^(1/3)-1</f>
        <v>-3.1191182988141719E-3</v>
      </c>
      <c r="O95" s="111">
        <v>2.3151999999999999</v>
      </c>
      <c r="P95" s="111">
        <v>2.3138000000000001</v>
      </c>
      <c r="Q95" s="91">
        <f t="shared" si="111"/>
        <v>1.2812989177852785E-3</v>
      </c>
      <c r="R95" s="119">
        <v>5.0648349497708356E-3</v>
      </c>
    </row>
    <row r="96" spans="1:18">
      <c r="B96" s="88">
        <f t="shared" si="105"/>
        <v>39933</v>
      </c>
      <c r="C96" s="116">
        <v>8.3999999999999995E-3</v>
      </c>
      <c r="D96" s="92">
        <f t="shared" si="112"/>
        <v>1.037515117214832</v>
      </c>
      <c r="E96" s="108">
        <v>-1.5E-3</v>
      </c>
      <c r="F96" s="92">
        <f t="shared" si="113"/>
        <v>0.98931576170901603</v>
      </c>
      <c r="G96" s="98">
        <f t="shared" si="107"/>
        <v>0.99005858431026206</v>
      </c>
      <c r="H96" s="108">
        <v>4.7999999999999996E-3</v>
      </c>
      <c r="I96" s="92">
        <f t="shared" si="114"/>
        <v>1.0172063186534399</v>
      </c>
      <c r="J96" s="98">
        <f t="shared" si="109"/>
        <v>1.0147737771436292</v>
      </c>
      <c r="K96" s="108">
        <v>8.3999999999999995E-3</v>
      </c>
      <c r="L96" s="94">
        <f t="shared" si="115"/>
        <v>1.0177595507188797</v>
      </c>
      <c r="M96" s="94">
        <f t="shared" si="110"/>
        <v>1.0159769326359991</v>
      </c>
      <c r="N96" s="99">
        <f>(O98/O95)^(1/3)-1</f>
        <v>-5.5357606463450559E-2</v>
      </c>
      <c r="O96" s="111">
        <v>2.1783000000000001</v>
      </c>
      <c r="P96" s="111">
        <v>2.2059000000000002</v>
      </c>
      <c r="Q96" s="91">
        <f t="shared" si="111"/>
        <v>1.2812989177852785E-3</v>
      </c>
      <c r="R96" s="119">
        <v>5.0648349497708356E-3</v>
      </c>
    </row>
    <row r="97" spans="2:18">
      <c r="B97" s="88">
        <f t="shared" si="105"/>
        <v>39964</v>
      </c>
      <c r="C97" s="116">
        <v>7.7000000000000002E-3</v>
      </c>
      <c r="D97" s="92">
        <f t="shared" si="112"/>
        <v>1.0455039836173863</v>
      </c>
      <c r="E97" s="108">
        <v>-7.000000000000001E-4</v>
      </c>
      <c r="F97" s="92">
        <f t="shared" si="113"/>
        <v>0.98862324067581964</v>
      </c>
      <c r="G97" s="98">
        <f t="shared" si="107"/>
        <v>0.98896944057560976</v>
      </c>
      <c r="H97" s="108">
        <v>4.6999999999999993E-3</v>
      </c>
      <c r="I97" s="92">
        <f t="shared" si="114"/>
        <v>1.0219871883511109</v>
      </c>
      <c r="J97" s="98">
        <f t="shared" si="109"/>
        <v>1.0195939513225907</v>
      </c>
      <c r="K97" s="108">
        <v>7.7000000000000002E-3</v>
      </c>
      <c r="L97" s="94">
        <f t="shared" si="115"/>
        <v>1.0206283392098887</v>
      </c>
      <c r="M97" s="94">
        <f t="shared" si="110"/>
        <v>1.0191939449643841</v>
      </c>
      <c r="N97" s="99">
        <f>(O98/O95)^(1/3)-1</f>
        <v>-5.5357606463450559E-2</v>
      </c>
      <c r="O97" s="111">
        <v>1.9730000000000001</v>
      </c>
      <c r="P97" s="111">
        <v>2.0609000000000002</v>
      </c>
      <c r="Q97" s="91">
        <f t="shared" si="111"/>
        <v>1.2812989177852785E-3</v>
      </c>
      <c r="R97" s="119">
        <v>5.0648349497708356E-3</v>
      </c>
    </row>
    <row r="98" spans="2:18">
      <c r="B98" s="88">
        <f t="shared" si="105"/>
        <v>39994</v>
      </c>
      <c r="C98" s="116">
        <v>7.4999999999999997E-3</v>
      </c>
      <c r="D98" s="92">
        <f t="shared" si="112"/>
        <v>1.0533452634945168</v>
      </c>
      <c r="E98" s="108">
        <v>-1E-3</v>
      </c>
      <c r="F98" s="92">
        <f t="shared" si="113"/>
        <v>0.9876346174351438</v>
      </c>
      <c r="G98" s="98">
        <f t="shared" si="107"/>
        <v>0.9881288054157491</v>
      </c>
      <c r="H98" s="108">
        <v>3.5999999999999999E-3</v>
      </c>
      <c r="I98" s="92">
        <f t="shared" si="114"/>
        <v>1.025666342229175</v>
      </c>
      <c r="J98" s="98">
        <f t="shared" si="109"/>
        <v>1.0238251126443241</v>
      </c>
      <c r="K98" s="108">
        <v>7.6E-3</v>
      </c>
      <c r="L98" s="94">
        <f t="shared" si="115"/>
        <v>1.0234036455941977</v>
      </c>
      <c r="M98" s="94">
        <f t="shared" si="110"/>
        <v>1.0220159924020433</v>
      </c>
      <c r="N98" s="99">
        <f>(O98/O95)^(1/3)-1</f>
        <v>-5.5357606463450559E-2</v>
      </c>
      <c r="O98" s="111">
        <v>1.9516</v>
      </c>
      <c r="P98" s="111">
        <v>1.9576</v>
      </c>
      <c r="Q98" s="91">
        <f t="shared" si="111"/>
        <v>1.2812989177852785E-3</v>
      </c>
      <c r="R98" s="119">
        <v>5.0648349497708356E-3</v>
      </c>
    </row>
    <row r="99" spans="2:18">
      <c r="B99" s="88">
        <f t="shared" si="105"/>
        <v>40025</v>
      </c>
      <c r="C99" s="116">
        <v>7.8000000000000005E-3</v>
      </c>
      <c r="D99" s="92">
        <f t="shared" si="112"/>
        <v>1.0615613565497741</v>
      </c>
      <c r="E99" s="108">
        <v>-4.3E-3</v>
      </c>
      <c r="F99" s="92">
        <f t="shared" si="113"/>
        <v>0.98338778858017273</v>
      </c>
      <c r="G99" s="98">
        <f t="shared" si="107"/>
        <v>0.98550891541617769</v>
      </c>
      <c r="H99" s="108">
        <v>2.3999999999999998E-3</v>
      </c>
      <c r="I99" s="92">
        <f t="shared" si="114"/>
        <v>1.0281279414505249</v>
      </c>
      <c r="J99" s="98">
        <f t="shared" si="109"/>
        <v>1.0268964042449322</v>
      </c>
      <c r="K99" s="108">
        <v>7.9000000000000008E-3</v>
      </c>
      <c r="L99" s="94">
        <f t="shared" si="115"/>
        <v>1.0264920325211735</v>
      </c>
      <c r="M99" s="94">
        <f t="shared" si="110"/>
        <v>1.0249478390576856</v>
      </c>
      <c r="N99" s="99">
        <f>(O101/O98)^(1/3)-1</f>
        <v>-3.0558089918049758E-2</v>
      </c>
      <c r="O99" s="111">
        <v>1.8726</v>
      </c>
      <c r="P99" s="111">
        <v>1.9328000000000001</v>
      </c>
      <c r="Q99" s="91">
        <f t="shared" si="111"/>
        <v>1.2812989177852785E-3</v>
      </c>
      <c r="R99" s="119">
        <v>4.8675505653430484E-3</v>
      </c>
    </row>
    <row r="100" spans="2:18">
      <c r="B100" s="88">
        <f t="shared" si="105"/>
        <v>40056</v>
      </c>
      <c r="C100" s="116">
        <v>6.8999999999999999E-3</v>
      </c>
      <c r="D100" s="92">
        <f t="shared" si="112"/>
        <v>1.0688861299099675</v>
      </c>
      <c r="E100" s="108">
        <v>-3.5999999999999999E-3</v>
      </c>
      <c r="F100" s="92">
        <f t="shared" si="113"/>
        <v>0.97984759254128406</v>
      </c>
      <c r="G100" s="98">
        <f t="shared" si="107"/>
        <v>0.98161609459848387</v>
      </c>
      <c r="H100" s="108">
        <v>1.5E-3</v>
      </c>
      <c r="I100" s="92">
        <f t="shared" si="114"/>
        <v>1.0296701333627007</v>
      </c>
      <c r="J100" s="98">
        <f t="shared" si="109"/>
        <v>1.0288987484622969</v>
      </c>
      <c r="K100" s="108">
        <v>6.8999999999999999E-3</v>
      </c>
      <c r="L100" s="94">
        <f t="shared" si="115"/>
        <v>1.0285682197261476</v>
      </c>
      <c r="M100" s="94">
        <f t="shared" si="110"/>
        <v>1.0275301261236605</v>
      </c>
      <c r="N100" s="99">
        <f>(O101/O98)^(1/3)-1</f>
        <v>-3.0558089918049758E-2</v>
      </c>
      <c r="O100" s="111">
        <v>1.8864000000000001</v>
      </c>
      <c r="P100" s="111">
        <v>1.8452</v>
      </c>
      <c r="Q100" s="91">
        <f t="shared" si="111"/>
        <v>1.2812989177852785E-3</v>
      </c>
      <c r="R100" s="119">
        <v>4.8675505653430484E-3</v>
      </c>
    </row>
    <row r="101" spans="2:18">
      <c r="B101" s="88">
        <f t="shared" si="105"/>
        <v>40086</v>
      </c>
      <c r="C101" s="116">
        <v>6.8999999999999999E-3</v>
      </c>
      <c r="D101" s="92">
        <f t="shared" si="112"/>
        <v>1.0762614442063461</v>
      </c>
      <c r="E101" s="108">
        <v>4.1999999999999997E-3</v>
      </c>
      <c r="F101" s="92">
        <f t="shared" si="113"/>
        <v>0.98396295242995746</v>
      </c>
      <c r="G101" s="98">
        <f t="shared" si="107"/>
        <v>0.98190311644698836</v>
      </c>
      <c r="H101" s="108">
        <v>2.3999999999999998E-3</v>
      </c>
      <c r="I101" s="92">
        <f t="shared" si="114"/>
        <v>1.0321413416827712</v>
      </c>
      <c r="J101" s="98">
        <f t="shared" si="109"/>
        <v>1.0309049970485427</v>
      </c>
      <c r="K101" s="108">
        <v>6.8999999999999999E-3</v>
      </c>
      <c r="L101" s="94">
        <f t="shared" si="115"/>
        <v>1.0306486062363025</v>
      </c>
      <c r="M101" s="94">
        <f t="shared" si="110"/>
        <v>1.0296084129812251</v>
      </c>
      <c r="N101" s="99">
        <f>(O101/O98)^(1/3)-1</f>
        <v>-3.0558089918049758E-2</v>
      </c>
      <c r="O101" s="111">
        <v>1.7781</v>
      </c>
      <c r="P101" s="111">
        <v>1.8198000000000001</v>
      </c>
      <c r="Q101" s="91">
        <f t="shared" si="111"/>
        <v>1.2812989177852785E-3</v>
      </c>
      <c r="R101" s="119">
        <v>4.8675505653430484E-3</v>
      </c>
    </row>
    <row r="102" spans="2:18">
      <c r="B102" s="88">
        <f t="shared" si="105"/>
        <v>40117</v>
      </c>
      <c r="C102" s="116">
        <v>6.8999999999999999E-3</v>
      </c>
      <c r="D102" s="92">
        <f t="shared" si="112"/>
        <v>1.0836876481713698</v>
      </c>
      <c r="E102" s="108">
        <v>5.0000000000000001E-4</v>
      </c>
      <c r="F102" s="92">
        <f t="shared" si="113"/>
        <v>0.98445493390617234</v>
      </c>
      <c r="G102" s="98">
        <f t="shared" si="107"/>
        <v>0.98420891242690756</v>
      </c>
      <c r="H102" s="108">
        <v>2.8000000000000004E-3</v>
      </c>
      <c r="I102" s="92">
        <f t="shared" si="114"/>
        <v>1.0350313374394828</v>
      </c>
      <c r="J102" s="98">
        <f t="shared" si="109"/>
        <v>1.0335853294762367</v>
      </c>
      <c r="K102" s="108">
        <v>6.8999999999999999E-3</v>
      </c>
      <c r="L102" s="94">
        <f t="shared" si="115"/>
        <v>1.0327332005451708</v>
      </c>
      <c r="M102" s="94">
        <f t="shared" si="110"/>
        <v>1.0316909033907367</v>
      </c>
      <c r="N102" s="99">
        <f>(O104/O101)^(1/3)-1</f>
        <v>-6.965907398782667E-3</v>
      </c>
      <c r="O102" s="111">
        <v>1.744</v>
      </c>
      <c r="P102" s="111">
        <v>1.7383999999999999</v>
      </c>
      <c r="Q102" s="91">
        <f t="shared" si="111"/>
        <v>1.2812989177852785E-3</v>
      </c>
      <c r="R102" s="119">
        <v>4.8675505653430484E-3</v>
      </c>
    </row>
    <row r="103" spans="2:18">
      <c r="B103" s="88">
        <f t="shared" si="105"/>
        <v>40147</v>
      </c>
      <c r="C103" s="116">
        <v>6.6E-3</v>
      </c>
      <c r="D103" s="92">
        <f t="shared" si="112"/>
        <v>1.0908399866493008</v>
      </c>
      <c r="E103" s="108">
        <v>1E-3</v>
      </c>
      <c r="F103" s="92">
        <f t="shared" si="113"/>
        <v>0.98543938884007842</v>
      </c>
      <c r="G103" s="98">
        <f t="shared" si="107"/>
        <v>0.98494703837774866</v>
      </c>
      <c r="H103" s="108">
        <v>4.0999999999999995E-3</v>
      </c>
      <c r="I103" s="92">
        <f t="shared" si="114"/>
        <v>1.0392749659229847</v>
      </c>
      <c r="J103" s="98">
        <f t="shared" si="109"/>
        <v>1.0371509812687059</v>
      </c>
      <c r="K103" s="108">
        <v>6.6E-3</v>
      </c>
      <c r="L103" s="94">
        <f t="shared" si="115"/>
        <v>1.034513691962601</v>
      </c>
      <c r="M103" s="94">
        <f t="shared" si="110"/>
        <v>1.0336234462538858</v>
      </c>
      <c r="N103" s="99">
        <f>(O104/O101)^(1/3)-1</f>
        <v>-6.965907398782667E-3</v>
      </c>
      <c r="O103" s="111">
        <v>1.7504999999999999</v>
      </c>
      <c r="P103" s="111">
        <v>1.726</v>
      </c>
      <c r="Q103" s="91">
        <f t="shared" si="111"/>
        <v>1.2812989177852785E-3</v>
      </c>
      <c r="R103" s="119">
        <v>4.8675505653430484E-3</v>
      </c>
    </row>
    <row r="104" spans="2:18">
      <c r="B104" s="88">
        <f t="shared" si="105"/>
        <v>40178</v>
      </c>
      <c r="C104" s="116">
        <v>7.1999999999999998E-3</v>
      </c>
      <c r="D104" s="92">
        <f t="shared" si="112"/>
        <v>1.0986940345531759</v>
      </c>
      <c r="E104" s="108">
        <v>-2.5999999999999999E-3</v>
      </c>
      <c r="F104" s="92">
        <f t="shared" si="113"/>
        <v>0.98287724642909413</v>
      </c>
      <c r="G104" s="98">
        <f t="shared" si="107"/>
        <v>0.98415748385403523</v>
      </c>
      <c r="H104" s="108">
        <v>3.7000000000000002E-3</v>
      </c>
      <c r="I104" s="92">
        <f t="shared" si="114"/>
        <v>1.0431202832968998</v>
      </c>
      <c r="J104" s="98">
        <f t="shared" si="109"/>
        <v>1.0411958494332179</v>
      </c>
      <c r="K104" s="108">
        <v>7.3000000000000001E-3</v>
      </c>
      <c r="L104" s="94">
        <f t="shared" si="115"/>
        <v>1.0370179048250261</v>
      </c>
      <c r="M104" s="94">
        <f t="shared" si="110"/>
        <v>1.0357657983938136</v>
      </c>
      <c r="N104" s="99">
        <f>(O104/O101)^(1/3)-1</f>
        <v>-6.965907398782667E-3</v>
      </c>
      <c r="O104" s="111">
        <v>1.7412000000000001</v>
      </c>
      <c r="P104" s="111">
        <v>1.7506999999999999</v>
      </c>
      <c r="Q104" s="91">
        <f t="shared" si="111"/>
        <v>1.2812989177852785E-3</v>
      </c>
      <c r="R104" s="119">
        <v>4.8675505653430484E-3</v>
      </c>
    </row>
    <row r="105" spans="2:18">
      <c r="B105" s="88">
        <f t="shared" si="105"/>
        <v>40209</v>
      </c>
      <c r="C105" s="116">
        <v>6.6E-3</v>
      </c>
      <c r="D105" s="92">
        <f t="shared" si="112"/>
        <v>1.1059454151812269</v>
      </c>
      <c r="E105" s="108">
        <v>6.3E-3</v>
      </c>
      <c r="F105" s="92">
        <f t="shared" si="113"/>
        <v>0.98906937308159737</v>
      </c>
      <c r="G105" s="98">
        <f t="shared" si="107"/>
        <v>0.9859684487557353</v>
      </c>
      <c r="H105" s="108">
        <v>7.4999999999999997E-3</v>
      </c>
      <c r="I105" s="92">
        <f t="shared" si="114"/>
        <v>1.0509436854216265</v>
      </c>
      <c r="J105" s="98">
        <f t="shared" si="109"/>
        <v>1.0470246772956668</v>
      </c>
      <c r="K105" s="108">
        <v>6.6E-3</v>
      </c>
      <c r="L105" s="94">
        <f t="shared" si="115"/>
        <v>1.0388057833189952</v>
      </c>
      <c r="M105" s="94">
        <f t="shared" si="110"/>
        <v>1.0379118440720108</v>
      </c>
      <c r="N105" s="99">
        <f>(O107/O104)^(1/3)-1</f>
        <v>7.5619393417605263E-3</v>
      </c>
      <c r="O105" s="111">
        <v>1.8748</v>
      </c>
      <c r="P105" s="111">
        <v>1.77982</v>
      </c>
      <c r="Q105" s="91">
        <f t="shared" si="111"/>
        <v>7.6658629879600149E-4</v>
      </c>
      <c r="R105" s="119">
        <v>4.8675505653430484E-3</v>
      </c>
    </row>
    <row r="106" spans="2:18">
      <c r="B106" s="88">
        <f t="shared" si="105"/>
        <v>40237</v>
      </c>
      <c r="C106" s="116">
        <v>5.8999999999999999E-3</v>
      </c>
      <c r="D106" s="92">
        <f t="shared" si="112"/>
        <v>1.1124704931307963</v>
      </c>
      <c r="E106" s="108">
        <v>1.18E-2</v>
      </c>
      <c r="F106" s="92">
        <f t="shared" si="113"/>
        <v>1.0007403916839603</v>
      </c>
      <c r="G106" s="98">
        <f t="shared" si="107"/>
        <v>0.9948877684544557</v>
      </c>
      <c r="H106" s="108">
        <v>7.8000000000000005E-3</v>
      </c>
      <c r="I106" s="92">
        <f t="shared" si="114"/>
        <v>1.0591410461679152</v>
      </c>
      <c r="J106" s="98">
        <f t="shared" si="109"/>
        <v>1.0550344043873763</v>
      </c>
      <c r="K106" s="108">
        <v>6.0000000000000001E-3</v>
      </c>
      <c r="L106" s="94">
        <f t="shared" si="115"/>
        <v>1.0399764799161499</v>
      </c>
      <c r="M106" s="94">
        <f t="shared" si="110"/>
        <v>1.0393911316175726</v>
      </c>
      <c r="N106" s="99">
        <f>(O107/O104)^(1/3)-1</f>
        <v>7.5619393417605263E-3</v>
      </c>
      <c r="O106" s="111">
        <v>1.8109999999999999</v>
      </c>
      <c r="P106" s="111">
        <v>1.8402000000000001</v>
      </c>
      <c r="Q106" s="91">
        <f t="shared" si="111"/>
        <v>7.6658629879600149E-4</v>
      </c>
      <c r="R106" s="119">
        <v>4.8675505653430484E-3</v>
      </c>
    </row>
    <row r="107" spans="2:18">
      <c r="B107" s="88">
        <f t="shared" si="105"/>
        <v>40268</v>
      </c>
      <c r="C107" s="116">
        <v>7.6E-3</v>
      </c>
      <c r="D107" s="92">
        <f t="shared" si="112"/>
        <v>1.1209252688785905</v>
      </c>
      <c r="E107" s="108">
        <v>9.3999999999999986E-3</v>
      </c>
      <c r="F107" s="92">
        <f t="shared" si="113"/>
        <v>1.0101473513657897</v>
      </c>
      <c r="G107" s="98">
        <f t="shared" si="107"/>
        <v>1.0054328699939721</v>
      </c>
      <c r="H107" s="108">
        <v>5.1999999999999998E-3</v>
      </c>
      <c r="I107" s="92">
        <f t="shared" si="114"/>
        <v>1.0646485796079883</v>
      </c>
      <c r="J107" s="98">
        <f t="shared" si="109"/>
        <v>1.0618912422688069</v>
      </c>
      <c r="K107" s="108">
        <v>7.6E-3</v>
      </c>
      <c r="L107" s="94">
        <f t="shared" si="115"/>
        <v>1.0428043980263573</v>
      </c>
      <c r="M107" s="94">
        <f t="shared" si="110"/>
        <v>1.0413904389712536</v>
      </c>
      <c r="N107" s="99">
        <f>(O107/O104)^(1/3)-1</f>
        <v>7.5619393417605263E-3</v>
      </c>
      <c r="O107" s="111">
        <v>1.7809999999999999</v>
      </c>
      <c r="P107" s="111">
        <v>1.7858000000000001</v>
      </c>
      <c r="Q107" s="91">
        <f t="shared" si="111"/>
        <v>7.6658629879600149E-4</v>
      </c>
      <c r="R107" s="119">
        <v>4.8675505653430484E-3</v>
      </c>
    </row>
    <row r="108" spans="2:18">
      <c r="B108" s="88">
        <f t="shared" si="105"/>
        <v>40298</v>
      </c>
      <c r="C108" s="116">
        <v>6.6E-3</v>
      </c>
      <c r="D108" s="92">
        <f t="shared" si="112"/>
        <v>1.1283233756531892</v>
      </c>
      <c r="E108" s="108">
        <v>7.7000000000000002E-3</v>
      </c>
      <c r="F108" s="92">
        <f t="shared" si="113"/>
        <v>1.0179254859713063</v>
      </c>
      <c r="G108" s="98">
        <f t="shared" si="107"/>
        <v>1.0140289608988737</v>
      </c>
      <c r="H108" s="108">
        <v>5.6999999999999993E-3</v>
      </c>
      <c r="I108" s="92">
        <f t="shared" si="114"/>
        <v>1.070717076511754</v>
      </c>
      <c r="J108" s="98">
        <f t="shared" si="109"/>
        <v>1.0676785165349429</v>
      </c>
      <c r="K108" s="108">
        <v>6.7000000000000002E-3</v>
      </c>
      <c r="L108" s="94">
        <f t="shared" si="115"/>
        <v>1.0447060280755573</v>
      </c>
      <c r="M108" s="94">
        <f t="shared" si="110"/>
        <v>1.0437552130509573</v>
      </c>
      <c r="N108" s="99">
        <f>(O110/O107)^(1/3)-1</f>
        <v>3.8221682250114686E-3</v>
      </c>
      <c r="O108" s="111">
        <v>1.7305999999999999</v>
      </c>
      <c r="P108" s="111">
        <v>1.7576000000000001</v>
      </c>
      <c r="Q108" s="91">
        <f t="shared" si="111"/>
        <v>7.6658629879600149E-4</v>
      </c>
      <c r="R108" s="119">
        <v>4.8675505653430484E-3</v>
      </c>
    </row>
    <row r="109" spans="2:18">
      <c r="B109" s="88">
        <f t="shared" si="105"/>
        <v>40329</v>
      </c>
      <c r="C109" s="116">
        <v>7.4999999999999997E-3</v>
      </c>
      <c r="D109" s="92">
        <f t="shared" si="112"/>
        <v>1.1367858009705882</v>
      </c>
      <c r="E109" s="108">
        <v>1.1899999999999999E-2</v>
      </c>
      <c r="F109" s="92">
        <f t="shared" si="113"/>
        <v>1.0300387992543649</v>
      </c>
      <c r="G109" s="98">
        <f t="shared" si="107"/>
        <v>1.0239642304789265</v>
      </c>
      <c r="H109" s="108">
        <v>4.3E-3</v>
      </c>
      <c r="I109" s="92">
        <f t="shared" si="114"/>
        <v>1.0753211599407544</v>
      </c>
      <c r="J109" s="98">
        <f t="shared" si="109"/>
        <v>1.0730166488377488</v>
      </c>
      <c r="K109" s="108">
        <v>7.4999999999999997E-3</v>
      </c>
      <c r="L109" s="94">
        <f t="shared" si="115"/>
        <v>1.0474428422869855</v>
      </c>
      <c r="M109" s="94">
        <f t="shared" si="110"/>
        <v>1.0460744351812714</v>
      </c>
      <c r="N109" s="99">
        <f>(O110/O107)^(1/3)-1</f>
        <v>3.8221682250114686E-3</v>
      </c>
      <c r="O109" s="111">
        <v>1.8167</v>
      </c>
      <c r="P109" s="111">
        <v>1.8131999999999999</v>
      </c>
      <c r="Q109" s="91">
        <f t="shared" si="111"/>
        <v>7.6658629879600149E-4</v>
      </c>
      <c r="R109" s="119">
        <v>4.8675505653430484E-3</v>
      </c>
    </row>
    <row r="110" spans="2:18">
      <c r="B110" s="88">
        <f t="shared" si="105"/>
        <v>40359</v>
      </c>
      <c r="C110" s="116">
        <v>7.9000000000000008E-3</v>
      </c>
      <c r="D110" s="92">
        <f t="shared" si="112"/>
        <v>1.145766408798256</v>
      </c>
      <c r="E110" s="108">
        <v>8.5000000000000006E-3</v>
      </c>
      <c r="F110" s="92">
        <f t="shared" si="113"/>
        <v>1.0387941290480269</v>
      </c>
      <c r="G110" s="98">
        <f t="shared" si="107"/>
        <v>1.0344072009402843</v>
      </c>
      <c r="H110" s="108">
        <v>0</v>
      </c>
      <c r="I110" s="92">
        <f t="shared" si="114"/>
        <v>1.0753211599407544</v>
      </c>
      <c r="J110" s="98">
        <f t="shared" si="109"/>
        <v>1.0753211599407544</v>
      </c>
      <c r="K110" s="108">
        <v>7.9000000000000008E-3</v>
      </c>
      <c r="L110" s="94">
        <f t="shared" si="115"/>
        <v>1.0506037737481932</v>
      </c>
      <c r="M110" s="94">
        <f t="shared" si="110"/>
        <v>1.0490233080175893</v>
      </c>
      <c r="N110" s="99">
        <f>(O110/O107)^(1/3)-1</f>
        <v>3.8221682250114686E-3</v>
      </c>
      <c r="O110" s="111">
        <v>1.8015000000000001</v>
      </c>
      <c r="P110" s="111">
        <v>1.8059000000000001</v>
      </c>
      <c r="Q110" s="91">
        <f t="shared" si="111"/>
        <v>7.6658629879600149E-4</v>
      </c>
      <c r="R110" s="119">
        <v>4.8675505653430484E-3</v>
      </c>
    </row>
    <row r="111" spans="2:18">
      <c r="B111" s="88">
        <f t="shared" si="105"/>
        <v>40390</v>
      </c>
      <c r="C111" s="116">
        <v>8.6E-3</v>
      </c>
      <c r="D111" s="92">
        <f t="shared" si="112"/>
        <v>1.1556199999139209</v>
      </c>
      <c r="E111" s="108">
        <v>1.5E-3</v>
      </c>
      <c r="F111" s="92">
        <f t="shared" si="113"/>
        <v>1.040352320241599</v>
      </c>
      <c r="G111" s="98">
        <f t="shared" si="107"/>
        <v>1.0395729327028795</v>
      </c>
      <c r="H111" s="108">
        <v>1E-4</v>
      </c>
      <c r="I111" s="92">
        <f t="shared" si="114"/>
        <v>1.0754286920567484</v>
      </c>
      <c r="J111" s="98">
        <f t="shared" si="109"/>
        <v>1.0753749246546671</v>
      </c>
      <c r="K111" s="108">
        <v>8.6E-3</v>
      </c>
      <c r="L111" s="94">
        <f t="shared" si="115"/>
        <v>1.0545061044177115</v>
      </c>
      <c r="M111" s="94">
        <f t="shared" si="110"/>
        <v>1.0525549390829525</v>
      </c>
      <c r="N111" s="99">
        <f>(O113/O110)^(1/3)-1</f>
        <v>-2.0261584653416431E-2</v>
      </c>
      <c r="O111" s="111">
        <v>1.7572000000000001</v>
      </c>
      <c r="P111" s="111">
        <v>1.7696000000000001</v>
      </c>
      <c r="Q111" s="91">
        <f t="shared" si="111"/>
        <v>7.6658629879600149E-4</v>
      </c>
      <c r="R111" s="119">
        <v>4.8675505653430484E-3</v>
      </c>
    </row>
    <row r="112" spans="2:18">
      <c r="B112" s="88">
        <f t="shared" si="105"/>
        <v>40421</v>
      </c>
      <c r="C112" s="116">
        <v>8.8999999999999999E-3</v>
      </c>
      <c r="D112" s="92">
        <f t="shared" si="112"/>
        <v>1.1659050179131547</v>
      </c>
      <c r="E112" s="108">
        <v>7.7000000000000002E-3</v>
      </c>
      <c r="F112" s="92">
        <f t="shared" si="113"/>
        <v>1.0483630331074594</v>
      </c>
      <c r="G112" s="98">
        <f t="shared" si="107"/>
        <v>1.0443499959060016</v>
      </c>
      <c r="H112" s="108">
        <v>4.0000000000000002E-4</v>
      </c>
      <c r="I112" s="92">
        <f t="shared" si="114"/>
        <v>1.0758588635335711</v>
      </c>
      <c r="J112" s="98">
        <f t="shared" si="109"/>
        <v>1.0756437562908865</v>
      </c>
      <c r="K112" s="108">
        <v>8.8999999999999999E-3</v>
      </c>
      <c r="L112" s="94">
        <f t="shared" si="115"/>
        <v>1.0587377492172765</v>
      </c>
      <c r="M112" s="94">
        <f t="shared" si="110"/>
        <v>1.0566219268174941</v>
      </c>
      <c r="N112" s="99">
        <f>(O113/O110)^(1/3)-1</f>
        <v>-2.0261584653416431E-2</v>
      </c>
      <c r="O112" s="111">
        <v>1.756</v>
      </c>
      <c r="P112" s="111">
        <v>1.7596000000000001</v>
      </c>
      <c r="Q112" s="91">
        <f t="shared" si="111"/>
        <v>7.6658629879600149E-4</v>
      </c>
      <c r="R112" s="119">
        <v>4.8675505653430484E-3</v>
      </c>
    </row>
    <row r="113" spans="2:20">
      <c r="B113" s="88">
        <f t="shared" si="105"/>
        <v>40451</v>
      </c>
      <c r="C113" s="116">
        <v>8.3999999999999995E-3</v>
      </c>
      <c r="D113" s="92">
        <f t="shared" si="112"/>
        <v>1.1756986200636252</v>
      </c>
      <c r="E113" s="108">
        <v>1.15E-2</v>
      </c>
      <c r="F113" s="92">
        <f t="shared" si="113"/>
        <v>1.0604192079881953</v>
      </c>
      <c r="G113" s="98">
        <f t="shared" si="107"/>
        <v>1.0543738887377259</v>
      </c>
      <c r="H113" s="108">
        <v>4.5000000000000005E-3</v>
      </c>
      <c r="I113" s="92">
        <f t="shared" si="114"/>
        <v>1.080700228419472</v>
      </c>
      <c r="J113" s="98">
        <f t="shared" si="109"/>
        <v>1.0782768288189466</v>
      </c>
      <c r="K113" s="108">
        <v>8.5000000000000006E-3</v>
      </c>
      <c r="L113" s="94">
        <f t="shared" si="115"/>
        <v>1.062564931552332</v>
      </c>
      <c r="M113" s="94">
        <f t="shared" si="110"/>
        <v>1.0606513403848044</v>
      </c>
      <c r="N113" s="99">
        <f>(O113/O110)^(1/3)-1</f>
        <v>-2.0261584653416431E-2</v>
      </c>
      <c r="O113" s="111">
        <v>1.6941999999999999</v>
      </c>
      <c r="P113" s="111">
        <v>1.71871</v>
      </c>
      <c r="Q113" s="91">
        <f t="shared" si="111"/>
        <v>7.6658629879600149E-4</v>
      </c>
      <c r="R113" s="119">
        <v>4.8675505653430484E-3</v>
      </c>
    </row>
    <row r="114" spans="2:20">
      <c r="B114" s="88">
        <f t="shared" si="105"/>
        <v>40482</v>
      </c>
      <c r="C114" s="116">
        <v>8.0567120266177294E-3</v>
      </c>
      <c r="D114" s="92">
        <f t="shared" si="112"/>
        <v>1.1851708852755698</v>
      </c>
      <c r="E114" s="108">
        <v>1.01E-2</v>
      </c>
      <c r="F114" s="92">
        <f t="shared" si="113"/>
        <v>1.0711294419888762</v>
      </c>
      <c r="G114" s="98">
        <f t="shared" si="107"/>
        <v>1.0657608711745246</v>
      </c>
      <c r="H114" s="108">
        <v>7.4999999999999997E-3</v>
      </c>
      <c r="I114" s="92">
        <f t="shared" si="114"/>
        <v>1.0888054801326181</v>
      </c>
      <c r="J114" s="98">
        <f t="shared" si="109"/>
        <v>1.0847452839647165</v>
      </c>
      <c r="K114" s="108">
        <v>8.1000000000000013E-3</v>
      </c>
      <c r="L114" s="94">
        <f t="shared" si="115"/>
        <v>1.065982981433981</v>
      </c>
      <c r="M114" s="94">
        <f t="shared" si="110"/>
        <v>1.0642739564931565</v>
      </c>
      <c r="N114" s="99">
        <f>(O116/O113)^(1/3)-1</f>
        <v>-5.5396222097292558E-3</v>
      </c>
      <c r="O114" s="111">
        <v>1.7014</v>
      </c>
      <c r="P114" s="111">
        <v>1.6835</v>
      </c>
      <c r="Q114" s="91">
        <f t="shared" si="111"/>
        <v>7.6658629879600149E-4</v>
      </c>
      <c r="R114" s="119">
        <v>4.8675505653430484E-3</v>
      </c>
    </row>
    <row r="115" spans="2:20">
      <c r="B115" s="88">
        <f t="shared" si="105"/>
        <v>40512</v>
      </c>
      <c r="C115" s="116">
        <v>8.0563492717826701E-3</v>
      </c>
      <c r="D115" s="92">
        <f t="shared" si="112"/>
        <v>1.1947190358740976</v>
      </c>
      <c r="E115" s="108">
        <v>1.4499999999999999E-2</v>
      </c>
      <c r="F115" s="92">
        <f t="shared" si="113"/>
        <v>1.0866608188977149</v>
      </c>
      <c r="G115" s="98">
        <f t="shared" si="107"/>
        <v>1.0788671820836355</v>
      </c>
      <c r="H115" s="119">
        <v>8.3000000000000001E-3</v>
      </c>
      <c r="I115" s="92">
        <f t="shared" si="114"/>
        <v>1.0978425656177189</v>
      </c>
      <c r="J115" s="98">
        <f t="shared" si="109"/>
        <v>1.0933146856085971</v>
      </c>
      <c r="K115" s="108">
        <v>8.0713835461672101E-3</v>
      </c>
      <c r="L115" s="94">
        <f t="shared" si="115"/>
        <v>1.0693816695804874</v>
      </c>
      <c r="M115" s="94">
        <f t="shared" si="110"/>
        <v>1.0676823255072341</v>
      </c>
      <c r="N115" s="99">
        <f>(O116/O113)^(1/3)-1</f>
        <v>-5.5396222097292558E-3</v>
      </c>
      <c r="O115" s="111">
        <v>1.7161</v>
      </c>
      <c r="P115" s="111">
        <v>1.71333</v>
      </c>
      <c r="Q115" s="91">
        <f t="shared" si="111"/>
        <v>7.6658629879600149E-4</v>
      </c>
      <c r="R115" s="119">
        <v>4.8675505653430484E-3</v>
      </c>
    </row>
    <row r="116" spans="2:20">
      <c r="B116" s="88">
        <f t="shared" si="105"/>
        <v>40543</v>
      </c>
      <c r="C116" s="116">
        <v>9.2696554216422644E-3</v>
      </c>
      <c r="D116" s="92">
        <f t="shared" si="112"/>
        <v>1.205793669662327</v>
      </c>
      <c r="E116" s="108">
        <v>6.8999999999999999E-3</v>
      </c>
      <c r="F116" s="92">
        <f t="shared" si="113"/>
        <v>1.0941587785481091</v>
      </c>
      <c r="G116" s="98">
        <f t="shared" si="107"/>
        <v>1.0904033539480755</v>
      </c>
      <c r="H116" s="119">
        <v>6.3E-3</v>
      </c>
      <c r="I116" s="92">
        <f t="shared" si="114"/>
        <v>1.1047589737811105</v>
      </c>
      <c r="J116" s="98">
        <f t="shared" si="109"/>
        <v>1.1012953401177419</v>
      </c>
      <c r="K116" s="108">
        <v>9.300000000000001E-3</v>
      </c>
      <c r="L116" s="94">
        <f t="shared" si="115"/>
        <v>1.0740986894246429</v>
      </c>
      <c r="M116" s="94">
        <f t="shared" si="110"/>
        <v>1.0717401795025652</v>
      </c>
      <c r="N116" s="99">
        <f>(O116/O113)^(1/3)-1</f>
        <v>-5.5396222097292558E-3</v>
      </c>
      <c r="O116" s="111">
        <v>1.6661999999999999</v>
      </c>
      <c r="P116" s="111">
        <v>1.6934100000000001</v>
      </c>
      <c r="Q116" s="91">
        <f t="shared" si="111"/>
        <v>7.6658629879600149E-4</v>
      </c>
      <c r="R116" s="119">
        <v>4.8675505653430484E-3</v>
      </c>
    </row>
    <row r="117" spans="2:20">
      <c r="B117" s="88">
        <f t="shared" si="105"/>
        <v>40574</v>
      </c>
      <c r="C117" s="116">
        <v>8.6E-3</v>
      </c>
      <c r="D117" s="92">
        <f t="shared" si="112"/>
        <v>1.2161634952214231</v>
      </c>
      <c r="E117" s="108">
        <v>7.9000000000000008E-3</v>
      </c>
      <c r="F117" s="92">
        <f t="shared" si="113"/>
        <v>1.1028026328986391</v>
      </c>
      <c r="G117" s="98">
        <f t="shared" si="107"/>
        <v>1.0984722034680776</v>
      </c>
      <c r="H117" s="119">
        <v>8.3000000000000001E-3</v>
      </c>
      <c r="I117" s="92">
        <f t="shared" si="114"/>
        <v>1.1139284732634938</v>
      </c>
      <c r="J117" s="98">
        <f t="shared" si="109"/>
        <v>1.1093342494433933</v>
      </c>
      <c r="K117" s="108">
        <v>8.6E-3</v>
      </c>
      <c r="L117" s="94">
        <f t="shared" si="115"/>
        <v>1.078088288893601</v>
      </c>
      <c r="M117" s="94">
        <f t="shared" si="110"/>
        <v>1.0760934891591218</v>
      </c>
      <c r="N117" s="99">
        <f>(O119/O116)^(1/3)-1</f>
        <v>-7.5590965534256815E-3</v>
      </c>
      <c r="O117" s="111">
        <v>1.6734</v>
      </c>
      <c r="P117" s="111">
        <v>1.6749099999999999</v>
      </c>
      <c r="Q117" s="91">
        <f t="shared" si="111"/>
        <v>7.4692392313879807E-4</v>
      </c>
      <c r="R117" s="119">
        <v>4.8675505653430484E-3</v>
      </c>
    </row>
    <row r="118" spans="2:20">
      <c r="B118" s="88">
        <f t="shared" si="105"/>
        <v>40602</v>
      </c>
      <c r="C118" s="116">
        <v>8.3999999999999995E-3</v>
      </c>
      <c r="D118" s="92">
        <f t="shared" si="112"/>
        <v>1.2263792685812831</v>
      </c>
      <c r="E118" s="108">
        <v>0.01</v>
      </c>
      <c r="F118" s="92">
        <f t="shared" si="113"/>
        <v>1.1138306592276255</v>
      </c>
      <c r="G118" s="98">
        <f t="shared" si="107"/>
        <v>1.1083029295275963</v>
      </c>
      <c r="H118" s="119">
        <v>8.0000000000000002E-3</v>
      </c>
      <c r="I118" s="92">
        <f t="shared" si="114"/>
        <v>1.1228399010496017</v>
      </c>
      <c r="J118" s="98">
        <f t="shared" si="109"/>
        <v>1.1183753111972363</v>
      </c>
      <c r="K118" s="108">
        <v>8.3999999999999995E-3</v>
      </c>
      <c r="L118" s="94">
        <f t="shared" si="115"/>
        <v>1.0818781339975352</v>
      </c>
      <c r="M118" s="94">
        <f t="shared" si="110"/>
        <v>1.0799832114455681</v>
      </c>
      <c r="N118" s="99">
        <f>(O119/O116)^(1/3)-1</f>
        <v>-7.5590965534256815E-3</v>
      </c>
      <c r="O118" s="111">
        <v>1.6612</v>
      </c>
      <c r="P118" s="111">
        <v>1.6679900000000001</v>
      </c>
      <c r="Q118" s="91">
        <f t="shared" si="111"/>
        <v>7.4692392313879807E-4</v>
      </c>
      <c r="R118" s="119">
        <v>4.8675505653430484E-3</v>
      </c>
    </row>
    <row r="119" spans="2:20">
      <c r="B119" s="88">
        <f t="shared" si="105"/>
        <v>40633</v>
      </c>
      <c r="C119" s="116">
        <v>9.1999999999999998E-3</v>
      </c>
      <c r="D119" s="92">
        <f t="shared" si="112"/>
        <v>1.237661957852231</v>
      </c>
      <c r="E119" s="108">
        <v>6.1999999999999998E-3</v>
      </c>
      <c r="F119" s="92">
        <f t="shared" si="113"/>
        <v>1.1207364093148366</v>
      </c>
      <c r="G119" s="98">
        <f t="shared" si="107"/>
        <v>1.1172781988419653</v>
      </c>
      <c r="H119" s="119">
        <v>7.9000000000000008E-3</v>
      </c>
      <c r="I119" s="92">
        <f t="shared" si="114"/>
        <v>1.1317103362678935</v>
      </c>
      <c r="J119" s="98">
        <f t="shared" si="109"/>
        <v>1.1272663935343115</v>
      </c>
      <c r="K119" s="108">
        <v>9.1999999999999998E-3</v>
      </c>
      <c r="L119" s="94">
        <f t="shared" si="115"/>
        <v>1.0865426117263348</v>
      </c>
      <c r="M119" s="94">
        <f t="shared" si="110"/>
        <v>1.084210372861935</v>
      </c>
      <c r="N119" s="99">
        <f>(O119/O116)^(1/3)-1</f>
        <v>-7.5590965534256815E-3</v>
      </c>
      <c r="O119" s="111">
        <v>1.6287</v>
      </c>
      <c r="P119" s="111">
        <v>1.6591</v>
      </c>
      <c r="Q119" s="91">
        <f t="shared" si="111"/>
        <v>7.4692392313879807E-4</v>
      </c>
      <c r="R119" s="119">
        <v>4.8675505653430484E-3</v>
      </c>
    </row>
    <row r="120" spans="2:20">
      <c r="B120" s="88">
        <f t="shared" si="105"/>
        <v>40663</v>
      </c>
      <c r="C120" s="116">
        <v>8.3879999999999996E-3</v>
      </c>
      <c r="D120" s="92">
        <f t="shared" si="112"/>
        <v>1.2480434663546955</v>
      </c>
      <c r="E120" s="108">
        <v>4.5000000000000005E-3</v>
      </c>
      <c r="F120" s="92">
        <f t="shared" si="113"/>
        <v>1.1257797231567535</v>
      </c>
      <c r="G120" s="98">
        <f t="shared" si="107"/>
        <v>1.1232552357368073</v>
      </c>
      <c r="H120" s="119">
        <v>7.7000000000000002E-3</v>
      </c>
      <c r="I120" s="92">
        <f t="shared" si="114"/>
        <v>1.1404245058571563</v>
      </c>
      <c r="J120" s="98">
        <f t="shared" si="109"/>
        <v>1.1360590658111702</v>
      </c>
      <c r="K120" s="108">
        <v>8.3800000000000003E-3</v>
      </c>
      <c r="L120" s="94">
        <f t="shared" si="115"/>
        <v>1.0903405510469366</v>
      </c>
      <c r="M120" s="94">
        <f t="shared" si="110"/>
        <v>1.0884415813866357</v>
      </c>
      <c r="N120" s="99">
        <f>(O122/O119)^(1/3)-1</f>
        <v>-1.4031116511561081E-2</v>
      </c>
      <c r="O120" s="111">
        <v>1.5732999999999999</v>
      </c>
      <c r="P120" s="111">
        <v>1.5864499999999999</v>
      </c>
      <c r="Q120" s="91">
        <f t="shared" si="111"/>
        <v>7.4692392313879807E-4</v>
      </c>
      <c r="R120" s="119">
        <v>4.8675505653430484E-3</v>
      </c>
    </row>
    <row r="121" spans="2:20">
      <c r="B121" s="88">
        <f t="shared" si="105"/>
        <v>40694</v>
      </c>
      <c r="C121" s="116">
        <v>9.8529999999999989E-3</v>
      </c>
      <c r="D121" s="92">
        <f t="shared" si="112"/>
        <v>1.2603404386286883</v>
      </c>
      <c r="E121" s="108">
        <v>4.3E-3</v>
      </c>
      <c r="F121" s="92">
        <f t="shared" si="113"/>
        <v>1.1306205759663275</v>
      </c>
      <c r="G121" s="98">
        <f t="shared" si="107"/>
        <v>1.1281975531823765</v>
      </c>
      <c r="H121" s="119">
        <v>4.6999999999999993E-3</v>
      </c>
      <c r="I121" s="92">
        <f t="shared" si="114"/>
        <v>1.1457845010346848</v>
      </c>
      <c r="J121" s="98">
        <f t="shared" si="109"/>
        <v>1.1431013618272303</v>
      </c>
      <c r="K121" s="108">
        <v>9.8999999999999991E-3</v>
      </c>
      <c r="L121" s="94">
        <f t="shared" si="115"/>
        <v>1.0958010554553164</v>
      </c>
      <c r="M121" s="94">
        <f t="shared" si="110"/>
        <v>1.0930708032511265</v>
      </c>
      <c r="N121" s="99">
        <f>(O122/O119)^(1/3)-1</f>
        <v>-1.4031116511561081E-2</v>
      </c>
      <c r="O121" s="111">
        <v>1.5799000000000001</v>
      </c>
      <c r="P121" s="111">
        <v>1.6134900000000001</v>
      </c>
      <c r="Q121" s="91">
        <f t="shared" si="111"/>
        <v>7.4692392313879807E-4</v>
      </c>
      <c r="R121" s="119">
        <v>4.8675505653430484E-3</v>
      </c>
    </row>
    <row r="122" spans="2:20">
      <c r="B122" s="88">
        <f t="shared" si="105"/>
        <v>40724</v>
      </c>
      <c r="C122" s="116">
        <v>9.4999999999999998E-3</v>
      </c>
      <c r="D122" s="92">
        <f t="shared" si="112"/>
        <v>1.272313672795661</v>
      </c>
      <c r="E122" s="108">
        <v>-1.8E-3</v>
      </c>
      <c r="F122" s="92">
        <f t="shared" si="113"/>
        <v>1.1285854589295881</v>
      </c>
      <c r="G122" s="98">
        <f t="shared" si="107"/>
        <v>1.1296025591340491</v>
      </c>
      <c r="H122" s="119">
        <v>1.5E-3</v>
      </c>
      <c r="I122" s="92">
        <f t="shared" si="114"/>
        <v>1.1475031777862368</v>
      </c>
      <c r="J122" s="98">
        <f t="shared" si="109"/>
        <v>1.1466435174000325</v>
      </c>
      <c r="K122" s="108">
        <v>9.5999999999999992E-3</v>
      </c>
      <c r="L122" s="94">
        <f t="shared" si="115"/>
        <v>1.1009617585574003</v>
      </c>
      <c r="M122" s="94">
        <f t="shared" si="110"/>
        <v>1.0983814070063582</v>
      </c>
      <c r="N122" s="99">
        <f>(O122/O119)^(1/3)-1</f>
        <v>-1.4031116511561081E-2</v>
      </c>
      <c r="O122" s="111">
        <v>1.5610999999999999</v>
      </c>
      <c r="P122" s="111">
        <v>1.5870428571428579</v>
      </c>
      <c r="Q122" s="91">
        <f t="shared" si="111"/>
        <v>7.4692392313879807E-4</v>
      </c>
      <c r="R122" s="119">
        <v>4.8675505653430484E-3</v>
      </c>
      <c r="T122" s="145"/>
    </row>
    <row r="123" spans="2:20">
      <c r="B123" s="88">
        <f t="shared" si="105"/>
        <v>40755</v>
      </c>
      <c r="C123" s="116">
        <v>9.666000000000001E-3</v>
      </c>
      <c r="D123" s="92">
        <f t="shared" si="112"/>
        <v>1.2846118567569038</v>
      </c>
      <c r="E123" s="108">
        <v>-1.1999999999999999E-3</v>
      </c>
      <c r="F123" s="92">
        <f t="shared" si="113"/>
        <v>1.1272311563788726</v>
      </c>
      <c r="G123" s="98">
        <f t="shared" si="107"/>
        <v>1.1279081043868691</v>
      </c>
      <c r="H123" s="119">
        <v>1.6000000000000001E-3</v>
      </c>
      <c r="I123" s="92">
        <f t="shared" si="114"/>
        <v>1.1493391828706949</v>
      </c>
      <c r="J123" s="98">
        <f t="shared" si="109"/>
        <v>1.1484208134209164</v>
      </c>
      <c r="K123" s="108">
        <v>9.7000000000000003E-3</v>
      </c>
      <c r="L123" s="94">
        <f t="shared" si="115"/>
        <v>1.1062563289957894</v>
      </c>
      <c r="M123" s="94">
        <f t="shared" si="110"/>
        <v>1.1036090437765949</v>
      </c>
      <c r="N123" s="99">
        <f>(O125/O122)^(1/3)-1</f>
        <v>5.906894058997425E-2</v>
      </c>
      <c r="O123" s="111">
        <v>1.5563</v>
      </c>
      <c r="P123" s="111">
        <v>1.5639380952380952</v>
      </c>
      <c r="Q123" s="91">
        <f t="shared" si="111"/>
        <v>7.4692392313879807E-4</v>
      </c>
      <c r="R123" s="119">
        <v>4.8675505653430484E-3</v>
      </c>
      <c r="T123" s="145"/>
    </row>
    <row r="124" spans="2:20">
      <c r="B124" s="88">
        <f t="shared" si="105"/>
        <v>40786</v>
      </c>
      <c r="C124" s="116">
        <v>1.0700000000000001E-2</v>
      </c>
      <c r="D124" s="92">
        <f t="shared" si="112"/>
        <v>1.2983572036242026</v>
      </c>
      <c r="E124" s="108">
        <v>4.4000000000000003E-3</v>
      </c>
      <c r="F124" s="92">
        <f t="shared" si="113"/>
        <v>1.1321909734669395</v>
      </c>
      <c r="G124" s="98">
        <f t="shared" si="107"/>
        <v>1.1297083430084331</v>
      </c>
      <c r="H124" s="119">
        <v>3.7000000000000002E-3</v>
      </c>
      <c r="I124" s="92">
        <f t="shared" si="114"/>
        <v>1.1535917378473166</v>
      </c>
      <c r="J124" s="98">
        <f t="shared" si="109"/>
        <v>1.151463497182529</v>
      </c>
      <c r="K124" s="107">
        <v>1.0700000000000001E-2</v>
      </c>
      <c r="L124" s="94">
        <f t="shared" si="115"/>
        <v>1.1126772588954632</v>
      </c>
      <c r="M124" s="94">
        <f t="shared" si="110"/>
        <v>1.1094667939456264</v>
      </c>
      <c r="N124" s="99">
        <f>(O125/O122)^(1/3)-1</f>
        <v>5.906894058997425E-2</v>
      </c>
      <c r="O124" s="110">
        <v>1.5871999999999999</v>
      </c>
      <c r="P124" s="110">
        <v>1.5970086956521741</v>
      </c>
      <c r="Q124" s="91">
        <f t="shared" si="111"/>
        <v>7.4692392313879807E-4</v>
      </c>
      <c r="R124" s="118">
        <v>4.8675505653430484E-3</v>
      </c>
    </row>
    <row r="125" spans="2:20">
      <c r="B125" s="88">
        <f t="shared" si="105"/>
        <v>40816</v>
      </c>
      <c r="C125" s="116">
        <v>9.3999999999999986E-3</v>
      </c>
      <c r="D125" s="92">
        <f t="shared" si="112"/>
        <v>1.3105617613382703</v>
      </c>
      <c r="E125" s="108">
        <v>6.5000000000000006E-3</v>
      </c>
      <c r="F125" s="92">
        <f t="shared" si="113"/>
        <v>1.1395502147944745</v>
      </c>
      <c r="G125" s="98">
        <f t="shared" si="107"/>
        <v>1.1358646341015359</v>
      </c>
      <c r="H125" s="119">
        <v>5.3E-3</v>
      </c>
      <c r="I125" s="92">
        <f t="shared" si="114"/>
        <v>1.1597057740579075</v>
      </c>
      <c r="J125" s="98">
        <f t="shared" si="109"/>
        <v>1.1566447161021527</v>
      </c>
      <c r="K125" s="107">
        <v>9.3999999999999986E-3</v>
      </c>
      <c r="L125" s="94">
        <f t="shared" si="115"/>
        <v>1.1176959834131364</v>
      </c>
      <c r="M125" s="94">
        <f t="shared" si="110"/>
        <v>1.1151866211542998</v>
      </c>
      <c r="N125" s="99">
        <f>(O125/O122)^(1/3)-1</f>
        <v>5.906894058997425E-2</v>
      </c>
      <c r="O125" s="110">
        <v>1.8544</v>
      </c>
      <c r="P125" s="110">
        <v>1.7497799999999999</v>
      </c>
      <c r="Q125" s="91">
        <f t="shared" si="111"/>
        <v>7.4692392313879807E-4</v>
      </c>
      <c r="R125" s="118">
        <v>4.8675505653430484E-3</v>
      </c>
    </row>
    <row r="126" spans="2:20">
      <c r="B126" s="88">
        <f t="shared" si="105"/>
        <v>40847</v>
      </c>
      <c r="C126" s="116">
        <v>8.8000000000000005E-3</v>
      </c>
      <c r="D126" s="92">
        <f t="shared" si="112"/>
        <v>1.3220947048380469</v>
      </c>
      <c r="E126" s="108">
        <v>5.3E-3</v>
      </c>
      <c r="F126" s="92">
        <f t="shared" si="113"/>
        <v>1.1455898309328854</v>
      </c>
      <c r="G126" s="98">
        <f t="shared" si="107"/>
        <v>1.1425660321862958</v>
      </c>
      <c r="H126" s="119">
        <v>4.3E-3</v>
      </c>
      <c r="I126" s="92">
        <f t="shared" si="114"/>
        <v>1.1646925088863564</v>
      </c>
      <c r="J126" s="98">
        <f t="shared" si="109"/>
        <v>1.1621964668495162</v>
      </c>
      <c r="K126" s="107">
        <v>8.8000000000000005E-3</v>
      </c>
      <c r="L126" s="94">
        <f t="shared" si="115"/>
        <v>1.1220699757224895</v>
      </c>
      <c r="M126" s="94">
        <f t="shared" si="110"/>
        <v>1.1198829795678129</v>
      </c>
      <c r="N126" s="99">
        <f>(O128/O125)^(1/3)-1</f>
        <v>3.8320039205095302E-3</v>
      </c>
      <c r="O126" s="110">
        <v>1.6884999999999999</v>
      </c>
      <c r="P126" s="110">
        <v>1.77257</v>
      </c>
      <c r="Q126" s="91">
        <f t="shared" si="111"/>
        <v>7.4692392313879807E-4</v>
      </c>
      <c r="R126" s="118">
        <v>4.8675505653430484E-3</v>
      </c>
    </row>
    <row r="127" spans="2:20">
      <c r="B127" s="88">
        <f t="shared" si="105"/>
        <v>40877</v>
      </c>
      <c r="C127" s="116">
        <v>8.6457398576200717E-3</v>
      </c>
      <c r="D127" s="92">
        <f t="shared" si="112"/>
        <v>1.3335251917232136</v>
      </c>
      <c r="E127" s="108">
        <v>5.0000000000000001E-3</v>
      </c>
      <c r="F127" s="92">
        <f t="shared" si="113"/>
        <v>1.1513177800875496</v>
      </c>
      <c r="G127" s="98">
        <f t="shared" si="107"/>
        <v>1.1484502344640455</v>
      </c>
      <c r="H127" s="119">
        <v>5.1999999999999998E-3</v>
      </c>
      <c r="I127" s="92">
        <f t="shared" si="114"/>
        <v>1.1707489099325656</v>
      </c>
      <c r="J127" s="98">
        <f t="shared" si="109"/>
        <v>1.1677167829509547</v>
      </c>
      <c r="K127" s="107">
        <v>8.6E-3</v>
      </c>
      <c r="L127" s="94">
        <f t="shared" si="115"/>
        <v>1.1262377582766923</v>
      </c>
      <c r="M127" s="94">
        <f t="shared" si="110"/>
        <v>1.124153866999591</v>
      </c>
      <c r="N127" s="99">
        <f>(O128/O125)^(1/3)-1</f>
        <v>3.8320039205095302E-3</v>
      </c>
      <c r="O127" s="110">
        <v>1.8109</v>
      </c>
      <c r="P127" s="110">
        <v>1.7904899999999999</v>
      </c>
      <c r="Q127" s="91">
        <f t="shared" si="111"/>
        <v>7.4692392313879807E-4</v>
      </c>
      <c r="R127" s="118">
        <v>4.8675505653430484E-3</v>
      </c>
    </row>
    <row r="128" spans="2:20">
      <c r="B128" s="88">
        <f t="shared" si="105"/>
        <v>40908</v>
      </c>
      <c r="C128" s="116">
        <v>9.0000000000000011E-3</v>
      </c>
      <c r="D128" s="92">
        <f t="shared" si="112"/>
        <v>1.3455269184487224</v>
      </c>
      <c r="E128" s="108">
        <v>-1.1999999999999999E-3</v>
      </c>
      <c r="F128" s="92">
        <f t="shared" si="113"/>
        <v>1.1499361987514445</v>
      </c>
      <c r="G128" s="98">
        <f t="shared" si="107"/>
        <v>1.1506267820578608</v>
      </c>
      <c r="H128" s="119">
        <v>5.0000000000000001E-3</v>
      </c>
      <c r="I128" s="92">
        <f t="shared" si="114"/>
        <v>1.1766026544822283</v>
      </c>
      <c r="J128" s="98">
        <f t="shared" si="109"/>
        <v>1.1736721327350463</v>
      </c>
      <c r="K128" s="107">
        <v>9.1000000000000004E-3</v>
      </c>
      <c r="L128" s="94">
        <f t="shared" si="115"/>
        <v>1.1309814126624129</v>
      </c>
      <c r="M128" s="94">
        <f t="shared" si="110"/>
        <v>1.1286095854695526</v>
      </c>
      <c r="N128" s="99">
        <f>(O128/O125)^(1/3)-1</f>
        <v>3.8320039205095302E-3</v>
      </c>
      <c r="O128" s="110">
        <v>1.8757999999999999</v>
      </c>
      <c r="P128" s="110">
        <v>1.8368800000000001</v>
      </c>
      <c r="Q128" s="91">
        <f t="shared" si="111"/>
        <v>7.4692392313879807E-4</v>
      </c>
      <c r="R128" s="118">
        <v>4.8675505653430484E-3</v>
      </c>
    </row>
    <row r="129" spans="2:21">
      <c r="B129" s="88">
        <f t="shared" si="105"/>
        <v>40939</v>
      </c>
      <c r="C129" s="116">
        <v>8.8999999999999999E-3</v>
      </c>
      <c r="D129" s="92">
        <f t="shared" si="112"/>
        <v>1.3575021080229159</v>
      </c>
      <c r="E129" s="108">
        <v>2.5000000000000001E-3</v>
      </c>
      <c r="F129" s="92">
        <f t="shared" si="113"/>
        <v>1.1528110392483231</v>
      </c>
      <c r="G129" s="98">
        <f t="shared" si="107"/>
        <v>1.1513727217334615</v>
      </c>
      <c r="H129" s="119">
        <v>5.6000000000000008E-3</v>
      </c>
      <c r="I129" s="92">
        <f t="shared" si="114"/>
        <v>1.1831916293473288</v>
      </c>
      <c r="J129" s="98">
        <f t="shared" si="109"/>
        <v>1.1798925425017399</v>
      </c>
      <c r="K129" s="107">
        <v>8.8999999999999999E-3</v>
      </c>
      <c r="L129" s="94">
        <f t="shared" si="115"/>
        <v>1.1355199464776724</v>
      </c>
      <c r="M129" s="94">
        <f t="shared" si="110"/>
        <v>1.1332506795700428</v>
      </c>
      <c r="N129" s="99">
        <f>(O131/O128)^(1/3)-1</f>
        <v>-9.7438505897643468E-3</v>
      </c>
      <c r="O129" s="110">
        <v>1.7391000000000001</v>
      </c>
      <c r="P129" s="110">
        <v>1.80745</v>
      </c>
      <c r="Q129" s="91">
        <f t="shared" si="111"/>
        <v>1.4057468926966799E-3</v>
      </c>
      <c r="R129" s="118">
        <v>4.8675505653430484E-3</v>
      </c>
    </row>
    <row r="130" spans="2:21">
      <c r="B130" s="88">
        <f t="shared" si="105"/>
        <v>40968</v>
      </c>
      <c r="C130" s="116">
        <v>7.4000000000000003E-3</v>
      </c>
      <c r="D130" s="92">
        <f t="shared" si="112"/>
        <v>1.3675476236222857</v>
      </c>
      <c r="E130" s="108">
        <v>-5.9999999999999995E-4</v>
      </c>
      <c r="F130" s="92">
        <f t="shared" si="113"/>
        <v>1.1521193526247739</v>
      </c>
      <c r="G130" s="98">
        <f t="shared" si="107"/>
        <v>1.1524651440444829</v>
      </c>
      <c r="H130" s="118">
        <v>4.5000000000000005E-3</v>
      </c>
      <c r="I130" s="92">
        <f t="shared" si="114"/>
        <v>1.1885159916793917</v>
      </c>
      <c r="J130" s="98">
        <f t="shared" si="109"/>
        <v>1.1858508222793014</v>
      </c>
      <c r="K130" s="107">
        <v>7.4999999999999997E-3</v>
      </c>
      <c r="L130" s="94">
        <f t="shared" si="115"/>
        <v>1.1384946657224775</v>
      </c>
      <c r="M130" s="94">
        <f t="shared" si="110"/>
        <v>1.1370073061000749</v>
      </c>
      <c r="N130" s="99">
        <f>(O131/O128)^(1/3)-1</f>
        <v>-9.7438505897643468E-3</v>
      </c>
      <c r="O130" s="110">
        <v>1.7092000000000001</v>
      </c>
      <c r="P130" s="110">
        <v>1.7241500000000001</v>
      </c>
      <c r="Q130" s="91">
        <f t="shared" si="111"/>
        <v>1.4057468926966799E-3</v>
      </c>
      <c r="R130" s="118">
        <v>4.8675505653430484E-3</v>
      </c>
    </row>
    <row r="131" spans="2:21">
      <c r="B131" s="88">
        <f t="shared" si="105"/>
        <v>40999</v>
      </c>
      <c r="C131" s="116">
        <v>8.1000000000000013E-3</v>
      </c>
      <c r="D131" s="92">
        <f t="shared" si="112"/>
        <v>1.3786247593736263</v>
      </c>
      <c r="E131" s="108">
        <v>4.3E-3</v>
      </c>
      <c r="F131" s="92">
        <f t="shared" si="113"/>
        <v>1.1570734658410604</v>
      </c>
      <c r="G131" s="98">
        <f t="shared" si="107"/>
        <v>1.1545937521068206</v>
      </c>
      <c r="H131" s="118">
        <v>2.0999999999999999E-3</v>
      </c>
      <c r="I131" s="92">
        <f t="shared" si="114"/>
        <v>1.1910118752619183</v>
      </c>
      <c r="J131" s="98">
        <f t="shared" si="109"/>
        <v>1.1897632789882411</v>
      </c>
      <c r="K131" s="107">
        <v>8.199999999999999E-3</v>
      </c>
      <c r="L131" s="94">
        <f t="shared" si="115"/>
        <v>1.1422702637134887</v>
      </c>
      <c r="M131" s="94">
        <f t="shared" si="110"/>
        <v>1.140382464717983</v>
      </c>
      <c r="N131" s="99">
        <f>(O131/O128)^(1/3)-1</f>
        <v>-9.7438505897643468E-3</v>
      </c>
      <c r="O131" s="110">
        <v>1.8214999999999999</v>
      </c>
      <c r="P131" s="110">
        <v>1.76535</v>
      </c>
      <c r="Q131" s="91">
        <f t="shared" si="111"/>
        <v>1.4057468926966799E-3</v>
      </c>
      <c r="R131" s="118">
        <v>4.8675505653430484E-3</v>
      </c>
    </row>
    <row r="132" spans="2:21">
      <c r="B132" s="88">
        <f t="shared" si="105"/>
        <v>41029</v>
      </c>
      <c r="C132" s="116">
        <v>6.9999999999999993E-3</v>
      </c>
      <c r="D132" s="92">
        <f t="shared" si="112"/>
        <v>1.3882751326892415</v>
      </c>
      <c r="E132" s="108">
        <v>8.5000000000000006E-3</v>
      </c>
      <c r="F132" s="92">
        <f t="shared" si="113"/>
        <v>1.1669085903007093</v>
      </c>
      <c r="G132" s="98">
        <f t="shared" si="107"/>
        <v>1.161980622428338</v>
      </c>
      <c r="H132" s="118">
        <v>6.4000000000000003E-3</v>
      </c>
      <c r="I132" s="92">
        <f t="shared" si="114"/>
        <v>1.1986343512635946</v>
      </c>
      <c r="J132" s="98">
        <f t="shared" si="109"/>
        <v>1.1948170347177876</v>
      </c>
      <c r="K132" s="107">
        <v>7.119935473016259E-3</v>
      </c>
      <c r="L132" s="94">
        <f t="shared" si="115"/>
        <v>1.144830633287593</v>
      </c>
      <c r="M132" s="94">
        <f t="shared" si="110"/>
        <v>1.143550448500541</v>
      </c>
      <c r="N132" s="99">
        <f>(O134/O131)^(1/3)-1</f>
        <v>3.1652908000603164E-2</v>
      </c>
      <c r="O132" s="110">
        <v>1.89</v>
      </c>
      <c r="P132" s="110">
        <v>1.85575</v>
      </c>
      <c r="Q132" s="91">
        <f t="shared" si="111"/>
        <v>1.4057468926966799E-3</v>
      </c>
      <c r="R132" s="118">
        <v>4.8675505653430484E-3</v>
      </c>
    </row>
    <row r="133" spans="2:21">
      <c r="B133" s="88">
        <f t="shared" si="105"/>
        <v>41060</v>
      </c>
      <c r="C133" s="116">
        <v>7.3952838326976078E-3</v>
      </c>
      <c r="D133" s="92">
        <f t="shared" si="112"/>
        <v>1.3985418213333545</v>
      </c>
      <c r="E133" s="108">
        <v>0.01</v>
      </c>
      <c r="F133" s="92">
        <f t="shared" si="113"/>
        <v>1.1785776762037163</v>
      </c>
      <c r="G133" s="98">
        <f t="shared" si="107"/>
        <v>1.1727286193739641</v>
      </c>
      <c r="H133" s="118">
        <v>4.5000000000000005E-3</v>
      </c>
      <c r="I133" s="92">
        <f t="shared" si="114"/>
        <v>1.2040282058442808</v>
      </c>
      <c r="J133" s="98">
        <f t="shared" si="109"/>
        <v>1.2013282513181935</v>
      </c>
      <c r="K133" s="107">
        <v>6.0999999999999995E-3</v>
      </c>
      <c r="L133" s="94">
        <f t="shared" si="115"/>
        <v>1.1462347445716916</v>
      </c>
      <c r="M133" s="94">
        <f t="shared" si="110"/>
        <v>1.1455326889296424</v>
      </c>
      <c r="N133" s="99">
        <f>(O134/O131)^(1/3)-1</f>
        <v>3.1652908000603164E-2</v>
      </c>
      <c r="O133" s="110">
        <v>1.98</v>
      </c>
      <c r="P133" s="110">
        <v>1.9350000000000001</v>
      </c>
      <c r="Q133" s="91">
        <f t="shared" si="111"/>
        <v>1.4057468926966799E-3</v>
      </c>
      <c r="R133" s="118">
        <v>4.8675505653430484E-3</v>
      </c>
    </row>
    <row r="134" spans="2:21">
      <c r="B134" s="88">
        <f t="shared" ref="B134:B197" si="116">EOMONTH(B133,1)</f>
        <v>41090</v>
      </c>
      <c r="C134" s="116">
        <v>6.3636978734369354E-3</v>
      </c>
      <c r="D134" s="92">
        <f t="shared" si="112"/>
        <v>1.4074417189476862</v>
      </c>
      <c r="E134" s="108">
        <v>4.0000000000000001E-3</v>
      </c>
      <c r="F134" s="92">
        <f t="shared" si="113"/>
        <v>1.1832919869085312</v>
      </c>
      <c r="G134" s="98">
        <f t="shared" si="107"/>
        <v>1.1809324791033291</v>
      </c>
      <c r="H134" s="118">
        <v>1.2999999999999999E-3</v>
      </c>
      <c r="I134" s="92">
        <f t="shared" si="114"/>
        <v>1.2055934425118784</v>
      </c>
      <c r="J134" s="98">
        <f t="shared" si="109"/>
        <v>1.2048105699923151</v>
      </c>
      <c r="K134" s="107">
        <v>6.423735194235336E-3</v>
      </c>
      <c r="L134" s="94">
        <f t="shared" si="115"/>
        <v>1.1480098570127304</v>
      </c>
      <c r="M134" s="94">
        <f t="shared" si="110"/>
        <v>1.1471223007922111</v>
      </c>
      <c r="N134" s="99">
        <f>(O134/O131)^(1/3)-1</f>
        <v>3.1652908000603164E-2</v>
      </c>
      <c r="O134" s="110">
        <v>2</v>
      </c>
      <c r="P134" s="110">
        <v>1.99</v>
      </c>
      <c r="Q134" s="91">
        <f t="shared" si="111"/>
        <v>1.4057468926966799E-3</v>
      </c>
      <c r="R134" s="118">
        <v>4.8675505653430484E-3</v>
      </c>
    </row>
    <row r="135" spans="2:21">
      <c r="B135" s="88">
        <f t="shared" si="116"/>
        <v>41121</v>
      </c>
      <c r="C135" s="116">
        <v>6.9260102764292508E-3</v>
      </c>
      <c r="D135" s="92">
        <f t="shared" si="112"/>
        <v>1.4171896747565931</v>
      </c>
      <c r="E135" s="108">
        <v>1.5E-3</v>
      </c>
      <c r="F135" s="92">
        <f t="shared" si="113"/>
        <v>1.1850669248888941</v>
      </c>
      <c r="G135" s="98">
        <f t="shared" si="107"/>
        <v>1.1841791233472081</v>
      </c>
      <c r="H135" s="118">
        <v>0</v>
      </c>
      <c r="I135" s="92">
        <f t="shared" si="114"/>
        <v>1.2055934425118784</v>
      </c>
      <c r="J135" s="98">
        <f t="shared" si="109"/>
        <v>1.2055934425118784</v>
      </c>
      <c r="K135" s="107">
        <v>6.9921457694883671E-3</v>
      </c>
      <c r="L135" s="94">
        <f t="shared" si="115"/>
        <v>1.1504370985284391</v>
      </c>
      <c r="M135" s="94">
        <f t="shared" si="110"/>
        <v>1.1492234777705848</v>
      </c>
      <c r="N135" s="99">
        <f>(O137/O134)^(1/3)-1</f>
        <v>-4.1841493550434095E-3</v>
      </c>
      <c r="O135" s="110">
        <v>1.9916666666666667</v>
      </c>
      <c r="P135" s="110">
        <v>1.9958333333333333</v>
      </c>
      <c r="Q135" s="91">
        <f t="shared" si="111"/>
        <v>1.4057468926966799E-3</v>
      </c>
      <c r="R135" s="118">
        <v>4.8675505653430484E-3</v>
      </c>
    </row>
    <row r="136" spans="2:21">
      <c r="B136" s="88">
        <f t="shared" si="116"/>
        <v>41152</v>
      </c>
      <c r="C136" s="116">
        <v>7.1196212212127907E-3</v>
      </c>
      <c r="D136" s="92">
        <f t="shared" si="112"/>
        <v>1.4272795284394737</v>
      </c>
      <c r="E136" s="108">
        <v>2E-3</v>
      </c>
      <c r="F136" s="92">
        <f t="shared" si="113"/>
        <v>1.1874370587386718</v>
      </c>
      <c r="G136" s="98">
        <f t="shared" si="107"/>
        <v>1.1862513998721145</v>
      </c>
      <c r="H136" s="118">
        <v>2.0999999999999999E-3</v>
      </c>
      <c r="I136" s="92">
        <f t="shared" si="114"/>
        <v>1.2081251887411533</v>
      </c>
      <c r="J136" s="98">
        <f t="shared" si="109"/>
        <v>1.2068586517400288</v>
      </c>
      <c r="K136" s="107">
        <v>7.1888683402601128E-3</v>
      </c>
      <c r="L136" s="94">
        <f t="shared" si="115"/>
        <v>1.1530946926404548</v>
      </c>
      <c r="M136" s="94">
        <f t="shared" si="110"/>
        <v>1.151765895584447</v>
      </c>
      <c r="N136" s="99">
        <f>(O137/O134)^(1/3)-1</f>
        <v>-4.1841493550434095E-3</v>
      </c>
      <c r="O136" s="110">
        <v>1.9833333333333334</v>
      </c>
      <c r="P136" s="110">
        <v>1.9875</v>
      </c>
      <c r="Q136" s="91">
        <f t="shared" si="111"/>
        <v>1.4057468926966799E-3</v>
      </c>
      <c r="R136" s="118">
        <v>4.8675505653430484E-3</v>
      </c>
    </row>
    <row r="137" spans="2:21">
      <c r="B137" s="88">
        <f t="shared" si="116"/>
        <v>41182</v>
      </c>
      <c r="C137" s="116">
        <v>5.8660648693840134E-3</v>
      </c>
      <c r="D137" s="92">
        <f t="shared" si="112"/>
        <v>1.4356520427400434</v>
      </c>
      <c r="E137" s="108">
        <v>4.0000000000000001E-3</v>
      </c>
      <c r="F137" s="92">
        <f t="shared" si="113"/>
        <v>1.1921868069736266</v>
      </c>
      <c r="G137" s="98">
        <f t="shared" si="107"/>
        <v>1.1898095627199385</v>
      </c>
      <c r="H137" s="118">
        <v>4.5000000000000005E-3</v>
      </c>
      <c r="I137" s="92">
        <f t="shared" si="114"/>
        <v>1.2135617520904884</v>
      </c>
      <c r="J137" s="98">
        <f t="shared" si="109"/>
        <v>1.2108404192102962</v>
      </c>
      <c r="K137" s="107">
        <v>5.9232063023777481E-3</v>
      </c>
      <c r="L137" s="94">
        <f t="shared" si="115"/>
        <v>1.1543060672409633</v>
      </c>
      <c r="M137" s="94">
        <f t="shared" si="110"/>
        <v>1.1537003799407091</v>
      </c>
      <c r="N137" s="99">
        <f>(O137/O134)^(1/3)-1</f>
        <v>-4.1841493550434095E-3</v>
      </c>
      <c r="O137" s="110">
        <v>1.9750000000000001</v>
      </c>
      <c r="P137" s="110">
        <v>1.9791666666666667</v>
      </c>
      <c r="Q137" s="91">
        <f t="shared" si="111"/>
        <v>1.4057468926966799E-3</v>
      </c>
      <c r="R137" s="118">
        <v>4.8675505653430484E-3</v>
      </c>
    </row>
    <row r="138" spans="2:21">
      <c r="B138" s="88">
        <f t="shared" si="116"/>
        <v>41213</v>
      </c>
      <c r="C138" s="116">
        <v>6.8060857594178792E-3</v>
      </c>
      <c r="D138" s="92">
        <f t="shared" si="112"/>
        <v>1.4454232136636156</v>
      </c>
      <c r="E138" s="108">
        <v>5.0000000000000001E-3</v>
      </c>
      <c r="F138" s="92">
        <f t="shared" si="113"/>
        <v>1.1981477410084946</v>
      </c>
      <c r="G138" s="98">
        <f t="shared" si="107"/>
        <v>1.1951635576922437</v>
      </c>
      <c r="H138" s="118">
        <v>5.5000000000000005E-3</v>
      </c>
      <c r="I138" s="92">
        <f t="shared" si="114"/>
        <v>1.2202363417269861</v>
      </c>
      <c r="J138" s="98">
        <f t="shared" si="109"/>
        <v>1.2168944707042963</v>
      </c>
      <c r="K138" s="107">
        <v>6.8723036250981639E-3</v>
      </c>
      <c r="L138" s="94">
        <f t="shared" si="115"/>
        <v>1.1566089564315767</v>
      </c>
      <c r="M138" s="94">
        <f t="shared" si="110"/>
        <v>1.15545751183627</v>
      </c>
      <c r="N138" s="99">
        <f>(O140/O137)^(1/3)-1</f>
        <v>-4.2373389636610748E-3</v>
      </c>
      <c r="O138" s="110">
        <v>1.9666666666666668</v>
      </c>
      <c r="P138" s="110">
        <v>1.9708333333333334</v>
      </c>
      <c r="Q138" s="91">
        <f t="shared" si="111"/>
        <v>1.4057468926966799E-3</v>
      </c>
      <c r="R138" s="118">
        <v>4.8675505653430484E-3</v>
      </c>
    </row>
    <row r="139" spans="2:21">
      <c r="B139" s="88">
        <f t="shared" si="116"/>
        <v>41243</v>
      </c>
      <c r="C139" s="116">
        <v>6.179307613896512E-3</v>
      </c>
      <c r="D139" s="92">
        <f t="shared" si="112"/>
        <v>1.4543549283331099</v>
      </c>
      <c r="E139" s="108">
        <v>4.5000000000000005E-3</v>
      </c>
      <c r="F139" s="92">
        <f t="shared" si="113"/>
        <v>1.2035394058430329</v>
      </c>
      <c r="G139" s="98">
        <f t="shared" si="107"/>
        <v>1.2008405474189883</v>
      </c>
      <c r="H139" s="118">
        <v>6.8000000000000005E-3</v>
      </c>
      <c r="I139" s="92">
        <f t="shared" si="114"/>
        <v>1.2285339488507296</v>
      </c>
      <c r="J139" s="98">
        <f t="shared" si="109"/>
        <v>1.2243781162014544</v>
      </c>
      <c r="K139" s="107">
        <v>6.2394726374215281E-3</v>
      </c>
      <c r="L139" s="94">
        <f t="shared" si="115"/>
        <v>1.1581880474821329</v>
      </c>
      <c r="M139" s="94">
        <f t="shared" si="110"/>
        <v>1.1573985019568549</v>
      </c>
      <c r="N139" s="99">
        <f>(O140/O137)^(1/3)-1</f>
        <v>-4.2373389636610748E-3</v>
      </c>
      <c r="O139" s="110">
        <v>1.9583333333333335</v>
      </c>
      <c r="P139" s="110">
        <v>1.9625000000000001</v>
      </c>
      <c r="Q139" s="91">
        <f t="shared" si="111"/>
        <v>1.4057468926966799E-3</v>
      </c>
      <c r="R139" s="118">
        <v>4.8675505653430484E-3</v>
      </c>
    </row>
    <row r="140" spans="2:21">
      <c r="B140" s="88">
        <f t="shared" si="116"/>
        <v>41274</v>
      </c>
      <c r="C140" s="116">
        <v>6.179307613896734E-3</v>
      </c>
      <c r="D140" s="92">
        <f t="shared" si="112"/>
        <v>1.4633418348150669</v>
      </c>
      <c r="E140" s="108">
        <v>1E-3</v>
      </c>
      <c r="F140" s="92">
        <f t="shared" si="113"/>
        <v>1.2047429452488758</v>
      </c>
      <c r="G140" s="98">
        <f t="shared" ref="G140:G203" si="117">+F139*(F140/F139)^(0.5)</f>
        <v>1.2041410251787028</v>
      </c>
      <c r="H140" s="118">
        <v>6.0000000000000001E-3</v>
      </c>
      <c r="I140" s="92">
        <f t="shared" si="114"/>
        <v>1.235905152543834</v>
      </c>
      <c r="J140" s="98">
        <f t="shared" ref="J140:J203" si="118">+I139*(I140/I139)^(0.5)</f>
        <v>1.2322140388177858</v>
      </c>
      <c r="K140" s="107">
        <v>6.2394726374217502E-3</v>
      </c>
      <c r="L140" s="94">
        <f t="shared" si="115"/>
        <v>1.1597692944286231</v>
      </c>
      <c r="M140" s="94">
        <f t="shared" ref="M140:M177" si="119">AVERAGE(L140,L139)</f>
        <v>1.158978670955378</v>
      </c>
      <c r="N140" s="99">
        <f>(O140/O137)^(1/3)-1</f>
        <v>-4.2373389636610748E-3</v>
      </c>
      <c r="O140" s="110">
        <v>1.95</v>
      </c>
      <c r="P140" s="110">
        <v>1.9541666666666666</v>
      </c>
      <c r="Q140" s="91">
        <f t="shared" si="111"/>
        <v>1.4057468926966799E-3</v>
      </c>
      <c r="R140" s="117">
        <f>IF(ISERROR((1+HLOOKUP(B140,$B$5:$EX$36,21,FALSE))^(1/3)-1),R141,(1+HLOOKUP(B140,$B$5:$EX$36,21,FALSE))^(1/3)-1)</f>
        <v>2.8796949649818604E-3</v>
      </c>
      <c r="T140" s="215"/>
      <c r="U140" s="115"/>
    </row>
    <row r="141" spans="2:21">
      <c r="B141" s="88">
        <f t="shared" si="116"/>
        <v>41305</v>
      </c>
      <c r="C141" s="116">
        <v>6.8060857594178792E-3</v>
      </c>
      <c r="D141" s="92">
        <f t="shared" si="112"/>
        <v>1.4733014648381622</v>
      </c>
      <c r="E141" s="108">
        <v>4.3E-3</v>
      </c>
      <c r="F141" s="92">
        <f t="shared" si="113"/>
        <v>1.2099233399134459</v>
      </c>
      <c r="G141" s="98">
        <f t="shared" si="117"/>
        <v>1.2073303640895816</v>
      </c>
      <c r="H141" s="118">
        <v>6.7200000000000011E-3</v>
      </c>
      <c r="I141" s="92">
        <f t="shared" si="114"/>
        <v>1.2442104351689287</v>
      </c>
      <c r="J141" s="98">
        <f t="shared" si="118"/>
        <v>1.2400508407618154</v>
      </c>
      <c r="K141" s="107">
        <v>6.8723036250981639E-3</v>
      </c>
      <c r="L141" s="94">
        <f t="shared" si="115"/>
        <v>1.1620830829874313</v>
      </c>
      <c r="M141" s="94">
        <f t="shared" si="119"/>
        <v>1.1609261887080273</v>
      </c>
      <c r="N141" s="99">
        <f>(O143/O140)^(1/3)-1</f>
        <v>0</v>
      </c>
      <c r="O141" s="110">
        <v>1.95</v>
      </c>
      <c r="P141" s="110">
        <v>1.95</v>
      </c>
      <c r="Q141" s="91">
        <f t="shared" si="111"/>
        <v>1.4057468926966799E-3</v>
      </c>
      <c r="R141" s="117">
        <f t="shared" ref="R141:R204" si="120">IF(ISERROR((1+HLOOKUP(B141,$B$5:$EX$36,21,FALSE))^(1/3)-1),R142,(1+HLOOKUP(B141,$B$5:$EX$36,21,FALSE))^(1/3)-1)</f>
        <v>2.2253235775313573E-3</v>
      </c>
      <c r="T141" s="115"/>
      <c r="U141" s="115"/>
    </row>
    <row r="142" spans="2:21">
      <c r="B142" s="88">
        <f t="shared" si="116"/>
        <v>41333</v>
      </c>
      <c r="C142" s="116">
        <v>5.552919636522935E-3</v>
      </c>
      <c r="D142" s="92">
        <f t="shared" si="112"/>
        <v>1.4814825894727799</v>
      </c>
      <c r="E142" s="108">
        <v>4.2201838235294119E-3</v>
      </c>
      <c r="F142" s="92">
        <f t="shared" si="113"/>
        <v>1.2150294388202594</v>
      </c>
      <c r="G142" s="98">
        <f t="shared" si="117"/>
        <v>1.2124737014511153</v>
      </c>
      <c r="H142" s="118">
        <v>7.4000000000000003E-3</v>
      </c>
      <c r="I142" s="92">
        <f t="shared" si="114"/>
        <v>1.2534175923891788</v>
      </c>
      <c r="J142" s="98">
        <f t="shared" si="118"/>
        <v>1.2488055285251309</v>
      </c>
      <c r="K142" s="107">
        <v>5.6070393648599559E-3</v>
      </c>
      <c r="L142" s="94">
        <f t="shared" si="115"/>
        <v>1.1629382677563034</v>
      </c>
      <c r="M142" s="94">
        <f t="shared" si="119"/>
        <v>1.1625106753718675</v>
      </c>
      <c r="N142" s="99">
        <f>(O143/O140)^(1/3)-1</f>
        <v>0</v>
      </c>
      <c r="O142" s="110">
        <v>1.95</v>
      </c>
      <c r="P142" s="110">
        <v>1.95</v>
      </c>
      <c r="Q142" s="91">
        <f t="shared" si="111"/>
        <v>1.4057468926966799E-3</v>
      </c>
      <c r="R142" s="117">
        <f t="shared" si="120"/>
        <v>2.2253235775313573E-3</v>
      </c>
      <c r="T142" s="215"/>
      <c r="U142" s="115"/>
    </row>
    <row r="143" spans="2:21">
      <c r="B143" s="88">
        <f t="shared" si="116"/>
        <v>41364</v>
      </c>
      <c r="C143" s="116">
        <v>6.179307613896734E-3</v>
      </c>
      <c r="D143" s="92">
        <f t="shared" si="112"/>
        <v>1.4906371261177644</v>
      </c>
      <c r="E143" s="108">
        <v>3.315727941176471E-3</v>
      </c>
      <c r="F143" s="92">
        <f t="shared" si="113"/>
        <v>1.2190581458799077</v>
      </c>
      <c r="G143" s="98">
        <f t="shared" si="117"/>
        <v>1.2170421253505279</v>
      </c>
      <c r="H143" s="118">
        <v>4.5199999999999997E-3</v>
      </c>
      <c r="I143" s="92">
        <f t="shared" si="114"/>
        <v>1.2590830399067781</v>
      </c>
      <c r="J143" s="98">
        <f t="shared" si="118"/>
        <v>1.2562471223839686</v>
      </c>
      <c r="K143" s="107">
        <v>6.2394726374217502E-3</v>
      </c>
      <c r="L143" s="94">
        <f t="shared" si="115"/>
        <v>1.1645260000669968</v>
      </c>
      <c r="M143" s="94">
        <f t="shared" si="119"/>
        <v>1.1637321339116502</v>
      </c>
      <c r="N143" s="99">
        <f>(O143/O140)^(1/3)-1</f>
        <v>0</v>
      </c>
      <c r="O143" s="110">
        <v>1.95</v>
      </c>
      <c r="P143" s="110">
        <v>1.95</v>
      </c>
      <c r="Q143" s="91">
        <f t="shared" si="111"/>
        <v>1.4057468926966799E-3</v>
      </c>
      <c r="R143" s="117">
        <f t="shared" si="120"/>
        <v>2.2253235775313573E-3</v>
      </c>
      <c r="T143" s="215"/>
      <c r="U143" s="115"/>
    </row>
    <row r="144" spans="2:21">
      <c r="B144" s="88">
        <f t="shared" si="116"/>
        <v>41394</v>
      </c>
      <c r="C144" s="116">
        <v>6.8060857594178792E-3</v>
      </c>
      <c r="D144" s="92">
        <f t="shared" si="112"/>
        <v>1.5007825302342941</v>
      </c>
      <c r="E144" s="108">
        <v>2.4350735294117647E-3</v>
      </c>
      <c r="F144" s="92">
        <f t="shared" si="113"/>
        <v>1.2220266421017538</v>
      </c>
      <c r="G144" s="98">
        <f t="shared" si="117"/>
        <v>1.2205414915259594</v>
      </c>
      <c r="H144" s="118">
        <v>3.6800000000000001E-3</v>
      </c>
      <c r="I144" s="92">
        <f t="shared" si="114"/>
        <v>1.2637164654936348</v>
      </c>
      <c r="J144" s="98">
        <f t="shared" si="118"/>
        <v>1.2613976252371712</v>
      </c>
      <c r="K144" s="107">
        <v>6.8723036250981639E-3</v>
      </c>
      <c r="L144" s="94">
        <f t="shared" si="115"/>
        <v>1.1668492784537705</v>
      </c>
      <c r="M144" s="94">
        <f t="shared" si="119"/>
        <v>1.1656876392603837</v>
      </c>
      <c r="N144" s="99">
        <f>(O146/O143)^(1/3)-1</f>
        <v>0</v>
      </c>
      <c r="O144" s="110">
        <v>1.95</v>
      </c>
      <c r="P144" s="110">
        <v>1.95</v>
      </c>
      <c r="Q144" s="91">
        <f t="shared" si="111"/>
        <v>1.4057468926966799E-3</v>
      </c>
      <c r="R144" s="117">
        <f t="shared" si="120"/>
        <v>2.8575637257413078E-3</v>
      </c>
      <c r="T144" s="215"/>
      <c r="U144" s="115"/>
    </row>
    <row r="145" spans="2:21">
      <c r="B145" s="88">
        <f t="shared" si="116"/>
        <v>41425</v>
      </c>
      <c r="C145" s="116">
        <v>6.4926479004443483E-3</v>
      </c>
      <c r="D145" s="92">
        <f t="shared" si="112"/>
        <v>1.5105265827782433</v>
      </c>
      <c r="E145" s="108">
        <v>4.6724117647058824E-3</v>
      </c>
      <c r="F145" s="92">
        <f t="shared" si="113"/>
        <v>1.2277364537610942</v>
      </c>
      <c r="G145" s="98">
        <f t="shared" si="117"/>
        <v>1.2248782208756857</v>
      </c>
      <c r="H145" s="118">
        <v>5.4000000000000003E-3</v>
      </c>
      <c r="I145" s="92">
        <f t="shared" si="114"/>
        <v>1.2705405344073006</v>
      </c>
      <c r="J145" s="98">
        <f t="shared" si="118"/>
        <v>1.2671239060990001</v>
      </c>
      <c r="K145" s="107">
        <v>6.5558384012416315E-3</v>
      </c>
      <c r="L145" s="94">
        <f t="shared" si="115"/>
        <v>1.1688097133807738</v>
      </c>
      <c r="M145" s="94">
        <f t="shared" si="119"/>
        <v>1.1678294959172721</v>
      </c>
      <c r="N145" s="99">
        <f>(O146/O143)^(1/3)-1</f>
        <v>0</v>
      </c>
      <c r="O145" s="110">
        <v>1.95</v>
      </c>
      <c r="P145" s="110">
        <v>1.95</v>
      </c>
      <c r="Q145" s="91">
        <f t="shared" si="111"/>
        <v>1.4057468926966799E-3</v>
      </c>
      <c r="R145" s="117">
        <f t="shared" si="120"/>
        <v>2.8575637257413078E-3</v>
      </c>
      <c r="T145" s="215"/>
      <c r="U145" s="115"/>
    </row>
    <row r="146" spans="2:21">
      <c r="B146" s="88">
        <f t="shared" si="116"/>
        <v>41455</v>
      </c>
      <c r="C146" s="116">
        <v>6.179307613896512E-3</v>
      </c>
      <c r="D146" s="92">
        <f t="shared" si="112"/>
        <v>1.5198605911921979</v>
      </c>
      <c r="E146" s="108">
        <v>3.7679558823529415E-3</v>
      </c>
      <c r="F146" s="92">
        <f t="shared" si="113"/>
        <v>1.2323625105540224</v>
      </c>
      <c r="G146" s="98">
        <f t="shared" si="117"/>
        <v>1.2300473074055789</v>
      </c>
      <c r="H146" s="118">
        <v>1.5600000000000002E-3</v>
      </c>
      <c r="I146" s="92">
        <f t="shared" si="114"/>
        <v>1.2725225776409761</v>
      </c>
      <c r="J146" s="98">
        <f t="shared" si="118"/>
        <v>1.271531169826883</v>
      </c>
      <c r="K146" s="107">
        <v>6.2394726374215281E-3</v>
      </c>
      <c r="L146" s="94">
        <f t="shared" si="115"/>
        <v>1.170405461838314</v>
      </c>
      <c r="M146" s="94">
        <f t="shared" si="119"/>
        <v>1.1696075876095438</v>
      </c>
      <c r="N146" s="99">
        <f>(O146/O143)^(1/3)-1</f>
        <v>0</v>
      </c>
      <c r="O146" s="110">
        <v>1.95</v>
      </c>
      <c r="P146" s="110">
        <v>1.95</v>
      </c>
      <c r="Q146" s="91">
        <f t="shared" si="111"/>
        <v>1.4057468926966799E-3</v>
      </c>
      <c r="R146" s="117">
        <f t="shared" si="120"/>
        <v>2.8575637257413078E-3</v>
      </c>
      <c r="T146" s="215"/>
      <c r="U146" s="115"/>
    </row>
    <row r="147" spans="2:21">
      <c r="B147" s="88">
        <f t="shared" si="116"/>
        <v>41486</v>
      </c>
      <c r="C147" s="116">
        <v>7.1196212212130128E-3</v>
      </c>
      <c r="D147" s="92">
        <f t="shared" si="112"/>
        <v>1.5306814229105352</v>
      </c>
      <c r="E147" s="108">
        <v>5.5475735294117641E-4</v>
      </c>
      <c r="F147" s="92">
        <f t="shared" si="113"/>
        <v>1.2330461727182414</v>
      </c>
      <c r="G147" s="98">
        <f t="shared" si="117"/>
        <v>1.2327042942409507</v>
      </c>
      <c r="H147" s="118">
        <v>1E-3</v>
      </c>
      <c r="I147" s="92">
        <f t="shared" si="114"/>
        <v>1.273795100218617</v>
      </c>
      <c r="J147" s="98">
        <f t="shared" si="118"/>
        <v>1.2731586799439574</v>
      </c>
      <c r="K147" s="107">
        <v>7.1888683402603348E-3</v>
      </c>
      <c r="L147" s="94">
        <f t="shared" si="115"/>
        <v>1.1731091843347734</v>
      </c>
      <c r="M147" s="94">
        <f t="shared" si="119"/>
        <v>1.1717573230865437</v>
      </c>
      <c r="N147" s="99">
        <f>(O149/O146)^(1/3)-1</f>
        <v>0</v>
      </c>
      <c r="O147" s="110">
        <v>1.95</v>
      </c>
      <c r="P147" s="110">
        <v>1.95</v>
      </c>
      <c r="Q147" s="91">
        <f t="shared" si="111"/>
        <v>1.4057468926966799E-3</v>
      </c>
      <c r="R147" s="117">
        <f t="shared" si="120"/>
        <v>4.4022335091369325E-3</v>
      </c>
      <c r="T147" s="215"/>
      <c r="U147" s="115"/>
    </row>
    <row r="148" spans="2:21">
      <c r="B148" s="88">
        <f t="shared" si="116"/>
        <v>41517</v>
      </c>
      <c r="C148" s="116">
        <v>6.8060857594176571E-3</v>
      </c>
      <c r="D148" s="92">
        <f t="shared" si="112"/>
        <v>1.5410993719452117</v>
      </c>
      <c r="E148" s="108">
        <v>2.3636691176470597E-3</v>
      </c>
      <c r="F148" s="92">
        <f t="shared" si="113"/>
        <v>1.2359606858773282</v>
      </c>
      <c r="G148" s="98">
        <f t="shared" si="117"/>
        <v>1.2345025691958895</v>
      </c>
      <c r="H148" s="118">
        <v>2.5200000000000001E-3</v>
      </c>
      <c r="I148" s="92">
        <f t="shared" si="114"/>
        <v>1.2770050638711681</v>
      </c>
      <c r="J148" s="98">
        <f t="shared" si="118"/>
        <v>1.2753990721783734</v>
      </c>
      <c r="K148" s="107">
        <v>6.8723036250979419E-3</v>
      </c>
      <c r="L148" s="94">
        <f t="shared" si="115"/>
        <v>1.17544958653544</v>
      </c>
      <c r="M148" s="94">
        <f t="shared" si="119"/>
        <v>1.1742793854351068</v>
      </c>
      <c r="N148" s="99">
        <f>(O149/O146)^(1/3)-1</f>
        <v>0</v>
      </c>
      <c r="O148" s="110">
        <v>1.95</v>
      </c>
      <c r="P148" s="110">
        <v>1.95</v>
      </c>
      <c r="Q148" s="91">
        <f t="shared" si="111"/>
        <v>1.4057468926966799E-3</v>
      </c>
      <c r="R148" s="117">
        <f t="shared" si="120"/>
        <v>4.4022335091369325E-3</v>
      </c>
      <c r="T148" s="215"/>
      <c r="U148" s="115"/>
    </row>
    <row r="149" spans="2:21">
      <c r="B149" s="88">
        <f t="shared" si="116"/>
        <v>41547</v>
      </c>
      <c r="C149" s="116">
        <v>6.6863188429182596E-3</v>
      </c>
      <c r="D149" s="92">
        <f t="shared" si="112"/>
        <v>1.5514036537146585</v>
      </c>
      <c r="E149" s="108">
        <v>4.4581985294117662E-3</v>
      </c>
      <c r="F149" s="92">
        <f t="shared" si="113"/>
        <v>1.2414708439895175</v>
      </c>
      <c r="G149" s="98">
        <f t="shared" si="117"/>
        <v>1.2387127010868944</v>
      </c>
      <c r="H149" s="118">
        <v>5.4000000000000003E-3</v>
      </c>
      <c r="I149" s="92">
        <f t="shared" si="114"/>
        <v>1.2839008912160725</v>
      </c>
      <c r="J149" s="98">
        <f t="shared" si="118"/>
        <v>1.2804483353855516</v>
      </c>
      <c r="K149" s="107">
        <v>6.749375796806012E-3</v>
      </c>
      <c r="L149" s="94">
        <f t="shared" si="115"/>
        <v>1.1776508624040962</v>
      </c>
      <c r="M149" s="94">
        <f t="shared" si="119"/>
        <v>1.1765502244697681</v>
      </c>
      <c r="N149" s="99">
        <f>(O149/O146)^(1/3)-1</f>
        <v>0</v>
      </c>
      <c r="O149" s="110">
        <v>1.95</v>
      </c>
      <c r="P149" s="110">
        <v>1.95</v>
      </c>
      <c r="Q149" s="91">
        <f t="shared" si="111"/>
        <v>1.4057468926966799E-3</v>
      </c>
      <c r="R149" s="117">
        <f t="shared" si="120"/>
        <v>4.4022335091369325E-3</v>
      </c>
      <c r="T149" s="215"/>
      <c r="U149" s="115"/>
    </row>
    <row r="150" spans="2:21">
      <c r="B150" s="88">
        <f t="shared" si="116"/>
        <v>41578</v>
      </c>
      <c r="C150" s="116">
        <v>7.9565604575422277E-3</v>
      </c>
      <c r="D150" s="92">
        <f t="shared" si="112"/>
        <v>1.563747490679491</v>
      </c>
      <c r="E150" s="108">
        <v>4.2915882352941191E-3</v>
      </c>
      <c r="F150" s="92">
        <f t="shared" si="113"/>
        <v>1.2467987256580435</v>
      </c>
      <c r="G150" s="98">
        <f t="shared" si="117"/>
        <v>1.2441319328060614</v>
      </c>
      <c r="H150" s="118">
        <v>6.6000000000000017E-3</v>
      </c>
      <c r="I150" s="92">
        <f t="shared" si="114"/>
        <v>1.2923746370980986</v>
      </c>
      <c r="J150" s="98">
        <f t="shared" si="118"/>
        <v>1.2881307962917807</v>
      </c>
      <c r="K150" s="107">
        <v>8.0252374320570752E-3</v>
      </c>
      <c r="L150" s="94">
        <f t="shared" si="115"/>
        <v>1.1813515020154517</v>
      </c>
      <c r="M150" s="94">
        <f t="shared" si="119"/>
        <v>1.1795011822097741</v>
      </c>
      <c r="N150" s="99">
        <f>(O152/O149)^(1/3)-1</f>
        <v>0</v>
      </c>
      <c r="O150" s="110">
        <v>1.95</v>
      </c>
      <c r="P150" s="110">
        <v>1.95</v>
      </c>
      <c r="Q150" s="91">
        <f t="shared" si="111"/>
        <v>1.4057468926966799E-3</v>
      </c>
      <c r="R150" s="117">
        <f t="shared" si="120"/>
        <v>3.0224845410378176E-3</v>
      </c>
      <c r="T150" s="215"/>
      <c r="U150" s="115"/>
    </row>
    <row r="151" spans="2:21">
      <c r="B151" s="88">
        <f t="shared" si="116"/>
        <v>41608</v>
      </c>
      <c r="C151" s="116">
        <v>7.1156093966697753E-3</v>
      </c>
      <c r="D151" s="92">
        <f t="shared" si="112"/>
        <v>1.5748745070181889</v>
      </c>
      <c r="E151" s="108">
        <v>5.4340588235294116E-3</v>
      </c>
      <c r="F151" s="92">
        <f t="shared" si="113"/>
        <v>1.2535739032743707</v>
      </c>
      <c r="G151" s="98">
        <f t="shared" si="117"/>
        <v>1.250181724838699</v>
      </c>
      <c r="H151" s="118">
        <v>7.1600000000000006E-3</v>
      </c>
      <c r="I151" s="92">
        <f t="shared" si="114"/>
        <v>1.3016280394997211</v>
      </c>
      <c r="J151" s="98">
        <f t="shared" si="118"/>
        <v>1.2969930860205701</v>
      </c>
      <c r="K151" s="107">
        <v>7.1751290067283424E-3</v>
      </c>
      <c r="L151" s="94">
        <f t="shared" si="115"/>
        <v>1.1840643583080199</v>
      </c>
      <c r="M151" s="94">
        <f t="shared" si="119"/>
        <v>1.1827079301617358</v>
      </c>
      <c r="N151" s="99">
        <f>(O152/O149)^(1/3)-1</f>
        <v>0</v>
      </c>
      <c r="O151" s="110">
        <v>1.95</v>
      </c>
      <c r="P151" s="110">
        <v>1.95</v>
      </c>
      <c r="Q151" s="91">
        <f t="shared" si="111"/>
        <v>1.4057468926966799E-3</v>
      </c>
      <c r="R151" s="117">
        <f t="shared" si="120"/>
        <v>3.0224845410378176E-3</v>
      </c>
      <c r="T151" s="215"/>
      <c r="U151" s="115"/>
    </row>
    <row r="152" spans="2:21">
      <c r="B152" s="88">
        <f t="shared" si="116"/>
        <v>41639</v>
      </c>
      <c r="C152" s="116">
        <v>7.648575006345304E-3</v>
      </c>
      <c r="D152" s="92">
        <f t="shared" si="112"/>
        <v>1.5869200528106986</v>
      </c>
      <c r="E152" s="108">
        <v>3.8869632352941173E-3</v>
      </c>
      <c r="F152" s="92">
        <f t="shared" si="113"/>
        <v>1.2584464989491222</v>
      </c>
      <c r="G152" s="98">
        <f t="shared" si="117"/>
        <v>1.2560078382516637</v>
      </c>
      <c r="H152" s="118">
        <v>7.1999999999999998E-3</v>
      </c>
      <c r="I152" s="92">
        <f t="shared" si="114"/>
        <v>1.3109997613841191</v>
      </c>
      <c r="J152" s="98">
        <f t="shared" si="118"/>
        <v>1.3063054961206484</v>
      </c>
      <c r="K152" s="107">
        <v>7.7109729787763204E-3</v>
      </c>
      <c r="L152" s="94">
        <f t="shared" si="115"/>
        <v>1.1874148447810544</v>
      </c>
      <c r="M152" s="94">
        <f t="shared" si="119"/>
        <v>1.1857396015445372</v>
      </c>
      <c r="N152" s="99">
        <f>(O152/O149)^(1/3)-1</f>
        <v>0</v>
      </c>
      <c r="O152" s="110">
        <v>1.95</v>
      </c>
      <c r="P152" s="110">
        <v>1.95</v>
      </c>
      <c r="Q152" s="91">
        <f t="shared" si="111"/>
        <v>1.4057468926966799E-3</v>
      </c>
      <c r="R152" s="117">
        <f t="shared" si="120"/>
        <v>3.0224845410378176E-3</v>
      </c>
      <c r="T152" s="215"/>
      <c r="U152" s="115"/>
    </row>
    <row r="153" spans="2:21">
      <c r="B153" s="88">
        <f t="shared" si="116"/>
        <v>41670</v>
      </c>
      <c r="C153" s="116">
        <v>8.0174671772546002E-3</v>
      </c>
      <c r="D153" s="92">
        <f t="shared" si="112"/>
        <v>1.5996431322470355</v>
      </c>
      <c r="E153" s="91">
        <f>IF(ISERROR((1+HLOOKUP(B153,$B$5:$GB$36,7,FALSE))^(1/3)-1),E154,(1+HLOOKUP(B153,$B$5:$GB$36,7,FALSE))^(1/3)-1)</f>
        <v>3.6748094004368514E-3</v>
      </c>
      <c r="F153" s="92">
        <f t="shared" si="113"/>
        <v>1.2630710499734072</v>
      </c>
      <c r="G153" s="98">
        <f t="shared" si="117"/>
        <v>1.2607566540625619</v>
      </c>
      <c r="H153" s="91">
        <f>IF(ISERROR((1+HLOOKUP(B153,$B$5:$GB$36,8,FALSE))^(1/3)-1),H154,(1+HLOOKUP(B153,$B$5:$GB$36,8,FALSE))^(1/3)-1)</f>
        <v>3.6748094004368514E-3</v>
      </c>
      <c r="I153" s="92">
        <f t="shared" si="114"/>
        <v>1.315817435631224</v>
      </c>
      <c r="J153" s="98">
        <f t="shared" si="118"/>
        <v>1.3134063895602146</v>
      </c>
      <c r="K153" s="107">
        <v>8.0828581184040349E-3</v>
      </c>
      <c r="L153" s="94">
        <f t="shared" si="115"/>
        <v>1.1912142548793241</v>
      </c>
      <c r="M153" s="94">
        <f t="shared" si="119"/>
        <v>1.1893145498301894</v>
      </c>
      <c r="N153" s="99">
        <f>(O155/O152)^(1/3)-1</f>
        <v>2.1322026175474296E-3</v>
      </c>
      <c r="O153" s="110">
        <v>1.9541666666666666</v>
      </c>
      <c r="P153" s="110">
        <v>1.9520833333333334</v>
      </c>
      <c r="Q153" s="91">
        <f t="shared" si="111"/>
        <v>1.4057468926966799E-3</v>
      </c>
      <c r="R153" s="117">
        <f t="shared" si="120"/>
        <v>7.4027218826251406E-3</v>
      </c>
      <c r="T153" s="215"/>
      <c r="U153" s="115"/>
    </row>
    <row r="154" spans="2:21">
      <c r="B154" s="88">
        <f t="shared" si="116"/>
        <v>41698</v>
      </c>
      <c r="C154" s="116">
        <v>7.2798178252841961E-3</v>
      </c>
      <c r="D154" s="92">
        <f t="shared" si="112"/>
        <v>1.6112882428352608</v>
      </c>
      <c r="E154" s="91">
        <f t="shared" ref="E154:E217" si="121">IF(ISERROR((1+HLOOKUP(B154,$B$5:$GB$36,7,FALSE))^(1/3)-1),E155,(1+HLOOKUP(B154,$B$5:$GB$36,7,FALSE))^(1/3)-1)</f>
        <v>3.6748094004368514E-3</v>
      </c>
      <c r="F154" s="92">
        <f t="shared" si="113"/>
        <v>1.2677125953412691</v>
      </c>
      <c r="G154" s="98">
        <f t="shared" si="117"/>
        <v>1.2653896944665743</v>
      </c>
      <c r="H154" s="91">
        <f t="shared" ref="H154:H217" si="122">IF(ISERROR((1+HLOOKUP(B154,$B$5:$GB$36,8,FALSE))^(1/3)-1),H155,(1+HLOOKUP(B154,$B$5:$GB$36,8,FALSE))^(1/3)-1)</f>
        <v>3.6748094004368514E-3</v>
      </c>
      <c r="I154" s="92">
        <f t="shared" si="114"/>
        <v>1.3206528139129403</v>
      </c>
      <c r="J154" s="98">
        <f t="shared" si="118"/>
        <v>1.3182329077071644</v>
      </c>
      <c r="K154" s="107">
        <v>7.3392250196839814E-3</v>
      </c>
      <c r="L154" s="94">
        <f t="shared" si="115"/>
        <v>1.1941442866449787</v>
      </c>
      <c r="M154" s="94">
        <f t="shared" si="119"/>
        <v>1.1926792707621514</v>
      </c>
      <c r="N154" s="99">
        <f>(O155/O152)^(1/3)-1</f>
        <v>2.1322026175474296E-3</v>
      </c>
      <c r="O154" s="110">
        <v>1.9583333333333333</v>
      </c>
      <c r="P154" s="110">
        <v>1.9562499999999998</v>
      </c>
      <c r="Q154" s="91">
        <f t="shared" ref="Q154:Q217" si="123">IF(ISERROR((1+HLOOKUP(B154,$B$5:$EX$36,$A$32,FALSE))^(1/3)-1),Q155,(1+HLOOKUP(B154,$B$5:$EX$36,$A$32,FALSE))^(1/3)-1)</f>
        <v>1.4057468926966799E-3</v>
      </c>
      <c r="R154" s="117">
        <f t="shared" si="120"/>
        <v>7.4027218826251406E-3</v>
      </c>
      <c r="T154" s="215"/>
      <c r="U154" s="115"/>
    </row>
    <row r="155" spans="2:21">
      <c r="B155" s="88">
        <f t="shared" si="116"/>
        <v>41729</v>
      </c>
      <c r="C155" s="116">
        <v>6.9111955846579143E-3</v>
      </c>
      <c r="D155" s="92">
        <f t="shared" si="112"/>
        <v>1.6224241710247551</v>
      </c>
      <c r="E155" s="91">
        <f t="shared" si="121"/>
        <v>3.6748094004368514E-3</v>
      </c>
      <c r="F155" s="92">
        <f t="shared" si="113"/>
        <v>1.2723711975036813</v>
      </c>
      <c r="G155" s="98">
        <f t="shared" si="117"/>
        <v>1.2700397604110159</v>
      </c>
      <c r="H155" s="91">
        <f t="shared" si="122"/>
        <v>3.6748094004368514E-3</v>
      </c>
      <c r="I155" s="92">
        <f t="shared" si="114"/>
        <v>1.325505961288221</v>
      </c>
      <c r="J155" s="98">
        <f t="shared" si="118"/>
        <v>1.3230771623883719</v>
      </c>
      <c r="K155" s="107">
        <v>6.9676141905228306E-3</v>
      </c>
      <c r="L155" s="94">
        <f t="shared" si="115"/>
        <v>1.1966399180127034</v>
      </c>
      <c r="M155" s="94">
        <f t="shared" si="119"/>
        <v>1.195392102328841</v>
      </c>
      <c r="N155" s="99">
        <f>(O155/O152)^(1/3)-1</f>
        <v>2.1322026175474296E-3</v>
      </c>
      <c r="O155" s="110">
        <v>1.9624999999999999</v>
      </c>
      <c r="P155" s="110">
        <v>1.9604166666666667</v>
      </c>
      <c r="Q155" s="91">
        <f t="shared" si="123"/>
        <v>1.4057468926966799E-3</v>
      </c>
      <c r="R155" s="117">
        <f t="shared" si="120"/>
        <v>7.4027218826251406E-3</v>
      </c>
      <c r="T155" s="215"/>
      <c r="U155" s="115"/>
    </row>
    <row r="156" spans="2:21">
      <c r="B156" s="88">
        <f t="shared" si="116"/>
        <v>41759</v>
      </c>
      <c r="C156" s="116">
        <v>7.2798178252841961E-3</v>
      </c>
      <c r="D156" s="92">
        <f t="shared" si="112"/>
        <v>1.6342351234251531</v>
      </c>
      <c r="E156" s="91">
        <f t="shared" si="121"/>
        <v>3.6748094004368514E-3</v>
      </c>
      <c r="F156" s="92">
        <f t="shared" si="113"/>
        <v>1.2770469191411129</v>
      </c>
      <c r="G156" s="98">
        <f t="shared" si="117"/>
        <v>1.2747069144615029</v>
      </c>
      <c r="H156" s="91">
        <f t="shared" si="122"/>
        <v>3.6748094004368514E-3</v>
      </c>
      <c r="I156" s="92">
        <f t="shared" si="114"/>
        <v>1.330376943055098</v>
      </c>
      <c r="J156" s="98">
        <f t="shared" si="118"/>
        <v>1.3279392187822201</v>
      </c>
      <c r="K156" s="107">
        <v>7.3392250196839814E-3</v>
      </c>
      <c r="L156" s="94">
        <f t="shared" si="115"/>
        <v>1.1995832952913632</v>
      </c>
      <c r="M156" s="94">
        <f t="shared" si="119"/>
        <v>1.1981116066520334</v>
      </c>
      <c r="N156" s="99">
        <f>(O158/O155)^(1/3)-1</f>
        <v>2.1186504010282103E-3</v>
      </c>
      <c r="O156" s="110">
        <v>1.9666666666666666</v>
      </c>
      <c r="P156" s="110">
        <v>1.9645833333333331</v>
      </c>
      <c r="Q156" s="91">
        <f t="shared" si="123"/>
        <v>1.4057468926966799E-3</v>
      </c>
      <c r="R156" s="117">
        <f t="shared" si="120"/>
        <v>7.4027218887890989E-3</v>
      </c>
      <c r="T156" s="215"/>
      <c r="U156" s="115"/>
    </row>
    <row r="157" spans="2:21">
      <c r="B157" s="88">
        <f t="shared" si="116"/>
        <v>41790</v>
      </c>
      <c r="C157" s="116">
        <v>7.648575006345304E-3</v>
      </c>
      <c r="D157" s="92">
        <f t="shared" si="112"/>
        <v>1.6467346933446743</v>
      </c>
      <c r="E157" s="91">
        <f t="shared" si="121"/>
        <v>3.6748094004368514E-3</v>
      </c>
      <c r="F157" s="92">
        <f t="shared" si="113"/>
        <v>1.2817398231643715</v>
      </c>
      <c r="G157" s="98">
        <f t="shared" si="117"/>
        <v>1.2793912194135677</v>
      </c>
      <c r="H157" s="91">
        <f t="shared" si="122"/>
        <v>3.6748094004368514E-3</v>
      </c>
      <c r="I157" s="92">
        <f t="shared" si="114"/>
        <v>1.3352658247515614</v>
      </c>
      <c r="J157" s="98">
        <f t="shared" si="118"/>
        <v>1.3328191423066098</v>
      </c>
      <c r="K157" s="107">
        <v>7.7109729787763204E-3</v>
      </c>
      <c r="L157" s="94">
        <f t="shared" si="115"/>
        <v>1.2029776949082007</v>
      </c>
      <c r="M157" s="94">
        <f t="shared" si="119"/>
        <v>1.201280495099782</v>
      </c>
      <c r="N157" s="99">
        <f>(O158/O155)^(1/3)-1</f>
        <v>2.1186504010282103E-3</v>
      </c>
      <c r="O157" s="110">
        <v>1.9708333333333332</v>
      </c>
      <c r="P157" s="110">
        <v>1.96875</v>
      </c>
      <c r="Q157" s="91">
        <f t="shared" si="123"/>
        <v>1.4057468926966799E-3</v>
      </c>
      <c r="R157" s="117">
        <f t="shared" si="120"/>
        <v>7.4027218887890989E-3</v>
      </c>
      <c r="T157" s="215"/>
      <c r="U157" s="115"/>
    </row>
    <row r="158" spans="2:21">
      <c r="B158" s="88">
        <f t="shared" si="116"/>
        <v>41820</v>
      </c>
      <c r="C158" s="116">
        <v>7.2798178252841961E-3</v>
      </c>
      <c r="D158" s="92">
        <f t="shared" ref="D158:D221" si="124">D157*(1+C158)</f>
        <v>1.6587226219187987</v>
      </c>
      <c r="E158" s="91">
        <f t="shared" si="121"/>
        <v>3.6748094004368514E-3</v>
      </c>
      <c r="F158" s="92">
        <f t="shared" ref="F158:F221" si="125">F157*(1+E158)</f>
        <v>1.2864499727154501</v>
      </c>
      <c r="G158" s="98">
        <f t="shared" si="117"/>
        <v>1.284092738293505</v>
      </c>
      <c r="H158" s="91">
        <f t="shared" si="122"/>
        <v>3.6748094004368514E-3</v>
      </c>
      <c r="I158" s="92">
        <f t="shared" ref="I158:I221" si="126">I157*(1+H158)</f>
        <v>1.3401726721564404</v>
      </c>
      <c r="J158" s="98">
        <f t="shared" si="118"/>
        <v>1.3377169986198403</v>
      </c>
      <c r="K158" s="107">
        <v>7.3392250196839814E-3</v>
      </c>
      <c r="L158" s="94">
        <f t="shared" ref="L158:L221" si="127">L157*(IF(((1+K158)^12-1)&lt;6%,1,((1+K158)^12)/(1.06))^(1/12))</f>
        <v>1.2059366612276661</v>
      </c>
      <c r="M158" s="94">
        <f t="shared" si="119"/>
        <v>1.2044571780679334</v>
      </c>
      <c r="N158" s="99">
        <f>(O158/O155)^(1/3)-1</f>
        <v>2.1186504010282103E-3</v>
      </c>
      <c r="O158" s="110">
        <v>1.9749999999999999</v>
      </c>
      <c r="P158" s="110">
        <v>1.9729166666666664</v>
      </c>
      <c r="Q158" s="91">
        <f t="shared" si="123"/>
        <v>1.4057468926966799E-3</v>
      </c>
      <c r="R158" s="117">
        <f t="shared" si="120"/>
        <v>7.4027218887890989E-3</v>
      </c>
      <c r="T158" s="215"/>
      <c r="U158" s="115"/>
    </row>
    <row r="159" spans="2:21">
      <c r="B159" s="88">
        <f t="shared" si="116"/>
        <v>41851</v>
      </c>
      <c r="C159" s="116">
        <v>8.386494387439658E-3</v>
      </c>
      <c r="D159" s="92">
        <f t="shared" si="124"/>
        <v>1.6726334898778399</v>
      </c>
      <c r="E159" s="91">
        <f t="shared" si="121"/>
        <v>3.6748094004368514E-3</v>
      </c>
      <c r="F159" s="92">
        <f t="shared" si="125"/>
        <v>1.2911774311683766</v>
      </c>
      <c r="G159" s="98">
        <f t="shared" si="117"/>
        <v>1.2888115343592186</v>
      </c>
      <c r="H159" s="91">
        <f t="shared" si="122"/>
        <v>3.6748094004368514E-3</v>
      </c>
      <c r="I159" s="92">
        <f t="shared" si="126"/>
        <v>1.3450975512902894</v>
      </c>
      <c r="J159" s="98">
        <f t="shared" si="118"/>
        <v>1.3426328536214927</v>
      </c>
      <c r="K159" s="107">
        <v>8.4548804891892981E-3</v>
      </c>
      <c r="L159" s="94">
        <f t="shared" si="127"/>
        <v>1.210241798425749</v>
      </c>
      <c r="M159" s="94">
        <f t="shared" si="119"/>
        <v>1.2080892298267076</v>
      </c>
      <c r="N159" s="99">
        <f>(O161/O158)^(1/3)-1</f>
        <v>2.1052693719254556E-3</v>
      </c>
      <c r="O159" s="110">
        <v>1.9791666666666665</v>
      </c>
      <c r="P159" s="110">
        <v>1.9770833333333333</v>
      </c>
      <c r="Q159" s="91">
        <f t="shared" si="123"/>
        <v>1.4057468926966799E-3</v>
      </c>
      <c r="R159" s="117">
        <f t="shared" si="120"/>
        <v>8.0174671741792825E-3</v>
      </c>
      <c r="T159" s="215"/>
      <c r="U159" s="115"/>
    </row>
    <row r="160" spans="2:21">
      <c r="B160" s="88">
        <f t="shared" si="116"/>
        <v>41882</v>
      </c>
      <c r="C160" s="116">
        <v>7.648575006345304E-3</v>
      </c>
      <c r="D160" s="92">
        <f t="shared" si="124"/>
        <v>1.6854267525832956</v>
      </c>
      <c r="E160" s="91">
        <f t="shared" si="121"/>
        <v>3.6748094004368514E-3</v>
      </c>
      <c r="F160" s="92">
        <f t="shared" si="125"/>
        <v>1.2959222621300661</v>
      </c>
      <c r="G160" s="98">
        <f t="shared" si="117"/>
        <v>1.2935476711010734</v>
      </c>
      <c r="H160" s="91">
        <f t="shared" si="122"/>
        <v>3.6748094004368514E-3</v>
      </c>
      <c r="I160" s="92">
        <f t="shared" si="126"/>
        <v>1.3500405284162755</v>
      </c>
      <c r="J160" s="98">
        <f t="shared" si="118"/>
        <v>1.3475667734533161</v>
      </c>
      <c r="K160" s="107">
        <v>7.7109729787763204E-3</v>
      </c>
      <c r="L160" s="94">
        <f t="shared" si="127"/>
        <v>1.2136663578648328</v>
      </c>
      <c r="M160" s="94">
        <f t="shared" si="119"/>
        <v>1.2119540781452909</v>
      </c>
      <c r="N160" s="99">
        <f>(O161/O158)^(1/3)-1</f>
        <v>2.1052693719254556E-3</v>
      </c>
      <c r="O160" s="110">
        <v>1.9833333333333332</v>
      </c>
      <c r="P160" s="110">
        <v>1.9812499999999997</v>
      </c>
      <c r="Q160" s="91">
        <f t="shared" si="123"/>
        <v>1.4057468926966799E-3</v>
      </c>
      <c r="R160" s="117">
        <f t="shared" si="120"/>
        <v>8.0174671741792825E-3</v>
      </c>
      <c r="T160" s="215"/>
      <c r="U160" s="115"/>
    </row>
    <row r="161" spans="2:21">
      <c r="B161" s="88">
        <f t="shared" si="116"/>
        <v>41912</v>
      </c>
      <c r="C161" s="116">
        <v>8.0174671772546002E-3</v>
      </c>
      <c r="D161" s="92">
        <f t="shared" si="124"/>
        <v>1.698939606251799</v>
      </c>
      <c r="E161" s="91">
        <f t="shared" si="121"/>
        <v>3.6748094004368514E-3</v>
      </c>
      <c r="F161" s="92">
        <f t="shared" si="125"/>
        <v>1.3006845294411771</v>
      </c>
      <c r="G161" s="98">
        <f t="shared" si="117"/>
        <v>1.2983012122427489</v>
      </c>
      <c r="H161" s="91">
        <f t="shared" si="122"/>
        <v>3.6748094004368514E-3</v>
      </c>
      <c r="I161" s="92">
        <f t="shared" si="126"/>
        <v>1.3550016700410703</v>
      </c>
      <c r="J161" s="98">
        <f t="shared" si="118"/>
        <v>1.3525188245001187</v>
      </c>
      <c r="K161" s="107">
        <v>8.0828581184040349E-3</v>
      </c>
      <c r="L161" s="94">
        <f t="shared" si="127"/>
        <v>1.2175497657877412</v>
      </c>
      <c r="M161" s="94">
        <f t="shared" si="119"/>
        <v>1.215608061826287</v>
      </c>
      <c r="N161" s="99">
        <f>(O161/O158)^(1/3)-1</f>
        <v>2.1052693719254556E-3</v>
      </c>
      <c r="O161" s="110">
        <v>1.9874999999999998</v>
      </c>
      <c r="P161" s="110">
        <v>1.9854166666666666</v>
      </c>
      <c r="Q161" s="91">
        <f t="shared" si="123"/>
        <v>1.4057468926966799E-3</v>
      </c>
      <c r="R161" s="117">
        <f t="shared" si="120"/>
        <v>8.0174671741792825E-3</v>
      </c>
      <c r="T161" s="215"/>
      <c r="U161" s="115"/>
    </row>
    <row r="162" spans="2:21">
      <c r="B162" s="88">
        <f t="shared" si="116"/>
        <v>41943</v>
      </c>
      <c r="C162" s="116">
        <v>8.386494387439658E-3</v>
      </c>
      <c r="D162" s="92">
        <f t="shared" si="124"/>
        <v>1.7131877537242286</v>
      </c>
      <c r="E162" s="91">
        <f t="shared" si="121"/>
        <v>3.6748094004368514E-3</v>
      </c>
      <c r="F162" s="92">
        <f t="shared" si="125"/>
        <v>1.3054642971769703</v>
      </c>
      <c r="G162" s="98">
        <f t="shared" si="117"/>
        <v>1.3030722217420969</v>
      </c>
      <c r="H162" s="91">
        <f t="shared" si="122"/>
        <v>3.6748094004368514E-3</v>
      </c>
      <c r="I162" s="92">
        <f t="shared" si="126"/>
        <v>1.3599810429157448</v>
      </c>
      <c r="J162" s="98">
        <f t="shared" si="118"/>
        <v>1.3574890733906595</v>
      </c>
      <c r="K162" s="107">
        <v>8.4548804891892981E-3</v>
      </c>
      <c r="L162" s="94">
        <f t="shared" si="127"/>
        <v>1.2218963612232541</v>
      </c>
      <c r="M162" s="94">
        <f t="shared" si="119"/>
        <v>1.2197230635054976</v>
      </c>
      <c r="N162" s="99">
        <f>(O164/O161)^(1/3)-1</f>
        <v>2.0920563070079279E-3</v>
      </c>
      <c r="O162" s="110">
        <v>1.9916666666666665</v>
      </c>
      <c r="P162" s="110">
        <v>1.989583333333333</v>
      </c>
      <c r="Q162" s="91">
        <f t="shared" si="123"/>
        <v>1.4057468926966799E-3</v>
      </c>
      <c r="R162" s="117">
        <f t="shared" si="120"/>
        <v>7.8944881111810972E-3</v>
      </c>
      <c r="T162" s="215"/>
      <c r="U162" s="115"/>
    </row>
    <row r="163" spans="2:21">
      <c r="B163" s="88">
        <f t="shared" si="116"/>
        <v>41973</v>
      </c>
      <c r="C163" s="116">
        <v>7.2798178252841961E-3</v>
      </c>
      <c r="D163" s="92">
        <f t="shared" si="124"/>
        <v>1.7256594484718488</v>
      </c>
      <c r="E163" s="91">
        <f t="shared" si="121"/>
        <v>3.6748094004368514E-3</v>
      </c>
      <c r="F163" s="92">
        <f t="shared" si="125"/>
        <v>1.3102616296481708</v>
      </c>
      <c r="G163" s="98">
        <f t="shared" si="117"/>
        <v>1.307860763792003</v>
      </c>
      <c r="H163" s="91">
        <f t="shared" si="122"/>
        <v>3.6748094004368514E-3</v>
      </c>
      <c r="I163" s="92">
        <f t="shared" si="126"/>
        <v>1.3649787140366676</v>
      </c>
      <c r="J163" s="98">
        <f t="shared" si="118"/>
        <v>1.3624775869985457</v>
      </c>
      <c r="K163" s="107">
        <v>7.3392250196839814E-3</v>
      </c>
      <c r="L163" s="94">
        <f t="shared" si="127"/>
        <v>1.2249018618190177</v>
      </c>
      <c r="M163" s="94">
        <f t="shared" si="119"/>
        <v>1.223399111521136</v>
      </c>
      <c r="N163" s="99">
        <f>(O164/O161)^(1/3)-1</f>
        <v>2.0920563070079279E-3</v>
      </c>
      <c r="O163" s="110">
        <v>1.9958333333333331</v>
      </c>
      <c r="P163" s="110">
        <v>1.9937499999999999</v>
      </c>
      <c r="Q163" s="91">
        <f t="shared" si="123"/>
        <v>1.4057468926966799E-3</v>
      </c>
      <c r="R163" s="117">
        <f t="shared" si="120"/>
        <v>7.8944881111810972E-3</v>
      </c>
      <c r="T163" s="215"/>
      <c r="U163" s="115"/>
    </row>
    <row r="164" spans="2:21">
      <c r="B164" s="88">
        <f t="shared" si="116"/>
        <v>42004</v>
      </c>
      <c r="C164" s="116">
        <v>8.0174671772543782E-3</v>
      </c>
      <c r="D164" s="92">
        <f t="shared" si="124"/>
        <v>1.7394948664590908</v>
      </c>
      <c r="E164" s="91">
        <f t="shared" si="121"/>
        <v>3.6748094004368514E-3</v>
      </c>
      <c r="F164" s="92">
        <f t="shared" si="125"/>
        <v>1.3150765914018336</v>
      </c>
      <c r="G164" s="98">
        <f t="shared" si="117"/>
        <v>1.3126669028212483</v>
      </c>
      <c r="H164" s="91">
        <f t="shared" si="122"/>
        <v>3.6748094004368514E-3</v>
      </c>
      <c r="I164" s="92">
        <f t="shared" si="126"/>
        <v>1.3699947506464059</v>
      </c>
      <c r="J164" s="98">
        <f t="shared" si="118"/>
        <v>1.3674844324431326</v>
      </c>
      <c r="K164" s="107">
        <v>8.0828581184038129E-3</v>
      </c>
      <c r="L164" s="94">
        <f t="shared" si="127"/>
        <v>1.2288212203512432</v>
      </c>
      <c r="M164" s="94">
        <f t="shared" si="119"/>
        <v>1.2268615410851305</v>
      </c>
      <c r="N164" s="99">
        <f>(O164/O161)^(1/3)-1</f>
        <v>2.0920563070079279E-3</v>
      </c>
      <c r="O164" s="110">
        <v>2</v>
      </c>
      <c r="P164" s="110">
        <v>1.9979166666666666</v>
      </c>
      <c r="Q164" s="91">
        <f t="shared" si="123"/>
        <v>1.4057468926966799E-3</v>
      </c>
      <c r="R164" s="117">
        <f t="shared" si="120"/>
        <v>7.8944881111810972E-3</v>
      </c>
      <c r="T164" s="215"/>
      <c r="U164" s="115"/>
    </row>
    <row r="165" spans="2:21">
      <c r="B165" s="88">
        <f t="shared" si="116"/>
        <v>42035</v>
      </c>
      <c r="C165" s="116">
        <v>7.648575006345304E-3</v>
      </c>
      <c r="D165" s="92">
        <f t="shared" si="124"/>
        <v>1.7527995234183558</v>
      </c>
      <c r="E165" s="91">
        <f t="shared" si="121"/>
        <v>3.6748094004368514E-3</v>
      </c>
      <c r="F165" s="92">
        <f t="shared" si="125"/>
        <v>1.3199092472222116</v>
      </c>
      <c r="G165" s="98">
        <f t="shared" si="117"/>
        <v>1.3174907034953782</v>
      </c>
      <c r="H165" s="91">
        <f t="shared" si="122"/>
        <v>3.6748094004368514E-3</v>
      </c>
      <c r="I165" s="92">
        <f t="shared" si="126"/>
        <v>1.3750292202346304</v>
      </c>
      <c r="J165" s="98">
        <f t="shared" si="118"/>
        <v>1.3725096770904257</v>
      </c>
      <c r="K165" s="107">
        <v>7.7109729787763204E-3</v>
      </c>
      <c r="L165" s="94">
        <f t="shared" si="127"/>
        <v>1.2322983530321456</v>
      </c>
      <c r="M165" s="94">
        <f t="shared" si="119"/>
        <v>1.2305597866916944</v>
      </c>
      <c r="N165" s="99">
        <f>(O167/O164)^(1/3)-1</f>
        <v>2.0790080634573993E-3</v>
      </c>
      <c r="O165" s="110">
        <v>2.0041666666666664</v>
      </c>
      <c r="P165" s="110">
        <v>2.0020833333333332</v>
      </c>
      <c r="Q165" s="91">
        <f t="shared" si="123"/>
        <v>1.4057468926966799E-3</v>
      </c>
      <c r="R165" s="117">
        <f t="shared" si="120"/>
        <v>7.4027218764474156E-3</v>
      </c>
      <c r="T165" s="215"/>
      <c r="U165" s="115"/>
    </row>
    <row r="166" spans="2:21">
      <c r="B166" s="88">
        <f t="shared" si="116"/>
        <v>42063</v>
      </c>
      <c r="C166" s="116">
        <v>6.5427082350684174E-3</v>
      </c>
      <c r="D166" s="92">
        <f t="shared" si="124"/>
        <v>1.7642675792946489</v>
      </c>
      <c r="E166" s="91">
        <f t="shared" si="121"/>
        <v>3.6748094004368514E-3</v>
      </c>
      <c r="F166" s="92">
        <f t="shared" si="125"/>
        <v>1.3247596621316273</v>
      </c>
      <c r="G166" s="98">
        <f t="shared" si="117"/>
        <v>1.3223322307175711</v>
      </c>
      <c r="H166" s="91">
        <f t="shared" si="122"/>
        <v>3.6748094004368514E-3</v>
      </c>
      <c r="I166" s="92">
        <f t="shared" si="126"/>
        <v>1.3800821905390239</v>
      </c>
      <c r="J166" s="98">
        <f t="shared" si="118"/>
        <v>1.3775533885539881</v>
      </c>
      <c r="K166" s="107">
        <v>6.596140440706888E-3</v>
      </c>
      <c r="L166" s="94">
        <f t="shared" si="127"/>
        <v>1.2344181731569777</v>
      </c>
      <c r="M166" s="94">
        <f t="shared" si="119"/>
        <v>1.2333582630945616</v>
      </c>
      <c r="N166" s="99">
        <f>(O167/O164)^(1/3)-1</f>
        <v>2.0790080634573993E-3</v>
      </c>
      <c r="O166" s="110">
        <v>2.0083333333333329</v>
      </c>
      <c r="P166" s="110">
        <v>2.0062499999999996</v>
      </c>
      <c r="Q166" s="91">
        <f t="shared" si="123"/>
        <v>1.4057468926966799E-3</v>
      </c>
      <c r="R166" s="117">
        <f t="shared" si="120"/>
        <v>7.4027218764474156E-3</v>
      </c>
      <c r="T166" s="215"/>
      <c r="U166" s="115"/>
    </row>
    <row r="167" spans="2:21">
      <c r="B167" s="88">
        <f t="shared" si="116"/>
        <v>42094</v>
      </c>
      <c r="C167" s="116">
        <v>8.0174671772546002E-3</v>
      </c>
      <c r="D167" s="92">
        <f t="shared" si="124"/>
        <v>1.7784125367035382</v>
      </c>
      <c r="E167" s="91">
        <f t="shared" si="121"/>
        <v>3.6748094004368514E-3</v>
      </c>
      <c r="F167" s="92">
        <f t="shared" si="125"/>
        <v>1.3296279013913481</v>
      </c>
      <c r="G167" s="98">
        <f t="shared" si="117"/>
        <v>1.3271915496295128</v>
      </c>
      <c r="H167" s="91">
        <f t="shared" si="122"/>
        <v>3.6748094004368514E-3</v>
      </c>
      <c r="I167" s="92">
        <f t="shared" si="126"/>
        <v>1.3851537295461922</v>
      </c>
      <c r="J167" s="98">
        <f t="shared" si="118"/>
        <v>1.38261563469585</v>
      </c>
      <c r="K167" s="107">
        <v>8.0828581184040349E-3</v>
      </c>
      <c r="L167" s="94">
        <f t="shared" si="127"/>
        <v>1.2383679813417028</v>
      </c>
      <c r="M167" s="94">
        <f t="shared" si="119"/>
        <v>1.2363930772493403</v>
      </c>
      <c r="N167" s="99">
        <f>(O167/O164)^(1/3)-1</f>
        <v>2.0790080634573993E-3</v>
      </c>
      <c r="O167" s="110">
        <v>2.0124999999999993</v>
      </c>
      <c r="P167" s="110">
        <v>2.0104166666666661</v>
      </c>
      <c r="Q167" s="91">
        <f t="shared" si="123"/>
        <v>1.4057468926966799E-3</v>
      </c>
      <c r="R167" s="117">
        <f t="shared" si="120"/>
        <v>7.4027218764474156E-3</v>
      </c>
      <c r="T167" s="215"/>
      <c r="U167" s="115"/>
    </row>
    <row r="168" spans="2:21">
      <c r="B168" s="88">
        <f t="shared" si="116"/>
        <v>42124</v>
      </c>
      <c r="C168" s="116">
        <v>7.2798178252841961E-3</v>
      </c>
      <c r="D168" s="92">
        <f t="shared" si="124"/>
        <v>1.7913590559889414</v>
      </c>
      <c r="E168" s="91">
        <f t="shared" si="121"/>
        <v>3.6748094004368514E-3</v>
      </c>
      <c r="F168" s="92">
        <f t="shared" si="125"/>
        <v>1.3345140305024641</v>
      </c>
      <c r="G168" s="98">
        <f t="shared" si="117"/>
        <v>1.3320687256122716</v>
      </c>
      <c r="H168" s="91">
        <f t="shared" si="122"/>
        <v>3.6748094004368514E-3</v>
      </c>
      <c r="I168" s="92">
        <f t="shared" si="126"/>
        <v>1.3902439054925788</v>
      </c>
      <c r="J168" s="98">
        <f t="shared" si="118"/>
        <v>1.3876964836274213</v>
      </c>
      <c r="K168" s="107">
        <v>7.3392250196839814E-3</v>
      </c>
      <c r="L168" s="94">
        <f t="shared" si="127"/>
        <v>1.2414139972099971</v>
      </c>
      <c r="M168" s="94">
        <f t="shared" si="119"/>
        <v>1.2398909892758501</v>
      </c>
      <c r="N168" s="99">
        <f>(O170/O167)^(1/3)-1</f>
        <v>2.0661215763793095E-3</v>
      </c>
      <c r="O168" s="110">
        <v>2.0166666666666657</v>
      </c>
      <c r="P168" s="110">
        <v>2.0145833333333325</v>
      </c>
      <c r="Q168" s="91">
        <f t="shared" si="123"/>
        <v>1.4057468926966799E-3</v>
      </c>
      <c r="R168" s="117">
        <f t="shared" si="120"/>
        <v>7.4027218887890989E-3</v>
      </c>
      <c r="T168" s="215"/>
      <c r="U168" s="115"/>
    </row>
    <row r="169" spans="2:21">
      <c r="B169" s="88">
        <f t="shared" si="116"/>
        <v>42155</v>
      </c>
      <c r="C169" s="116">
        <v>7.2798178252844181E-3</v>
      </c>
      <c r="D169" s="92">
        <f t="shared" si="124"/>
        <v>1.8043998235762144</v>
      </c>
      <c r="E169" s="91">
        <f t="shared" si="121"/>
        <v>3.6748094004368514E-3</v>
      </c>
      <c r="F169" s="92">
        <f t="shared" si="125"/>
        <v>1.3394181152067695</v>
      </c>
      <c r="G169" s="98">
        <f t="shared" si="117"/>
        <v>1.3369638242871795</v>
      </c>
      <c r="H169" s="91">
        <f t="shared" si="122"/>
        <v>3.6748094004368514E-3</v>
      </c>
      <c r="I169" s="92">
        <f t="shared" si="126"/>
        <v>1.395352786865383</v>
      </c>
      <c r="J169" s="98">
        <f t="shared" si="118"/>
        <v>1.3927960037104086</v>
      </c>
      <c r="K169" s="107">
        <v>7.3392250196842035E-3</v>
      </c>
      <c r="L169" s="94">
        <f t="shared" si="127"/>
        <v>1.2444675053687979</v>
      </c>
      <c r="M169" s="94">
        <f t="shared" si="119"/>
        <v>1.2429407512893975</v>
      </c>
      <c r="N169" s="99">
        <f>(O170/O167)^(1/3)-1</f>
        <v>2.0661215763793095E-3</v>
      </c>
      <c r="O169" s="110">
        <v>2.0208333333333321</v>
      </c>
      <c r="P169" s="110">
        <v>2.0187499999999989</v>
      </c>
      <c r="Q169" s="91">
        <f t="shared" si="123"/>
        <v>1.4057468926966799E-3</v>
      </c>
      <c r="R169" s="117">
        <f t="shared" si="120"/>
        <v>7.4027218887890989E-3</v>
      </c>
      <c r="T169" s="215"/>
      <c r="U169" s="115"/>
    </row>
    <row r="170" spans="2:21">
      <c r="B170" s="88">
        <f t="shared" si="116"/>
        <v>42185</v>
      </c>
      <c r="C170" s="116">
        <v>7.648575006345304E-3</v>
      </c>
      <c r="D170" s="92">
        <f t="shared" si="124"/>
        <v>1.8182009109682733</v>
      </c>
      <c r="E170" s="91">
        <f t="shared" si="121"/>
        <v>3.6748094004368514E-3</v>
      </c>
      <c r="F170" s="92">
        <f t="shared" si="125"/>
        <v>1.3443402214876468</v>
      </c>
      <c r="G170" s="98">
        <f t="shared" si="117"/>
        <v>1.341876911516714</v>
      </c>
      <c r="H170" s="91">
        <f t="shared" si="122"/>
        <v>3.6748094004368514E-3</v>
      </c>
      <c r="I170" s="92">
        <f t="shared" si="126"/>
        <v>1.4004804424034816</v>
      </c>
      <c r="J170" s="98">
        <f t="shared" si="118"/>
        <v>1.3979142635577344</v>
      </c>
      <c r="K170" s="107">
        <v>7.7109729787763204E-3</v>
      </c>
      <c r="L170" s="94">
        <f t="shared" si="127"/>
        <v>1.2479889115437353</v>
      </c>
      <c r="M170" s="94">
        <f t="shared" si="119"/>
        <v>1.2462282084562666</v>
      </c>
      <c r="N170" s="99">
        <f>(O170/O167)^(1/3)-1</f>
        <v>2.0661215763793095E-3</v>
      </c>
      <c r="O170" s="110">
        <v>2.0249999999999986</v>
      </c>
      <c r="P170" s="110">
        <v>2.0229166666666654</v>
      </c>
      <c r="Q170" s="91">
        <f t="shared" si="123"/>
        <v>1.4057468926966799E-3</v>
      </c>
      <c r="R170" s="117">
        <f t="shared" si="120"/>
        <v>7.4027218887890989E-3</v>
      </c>
      <c r="T170" s="215"/>
      <c r="U170" s="115"/>
    </row>
    <row r="171" spans="2:21">
      <c r="B171" s="88">
        <f t="shared" si="116"/>
        <v>42216</v>
      </c>
      <c r="C171" s="116">
        <v>8.386494387439658E-3</v>
      </c>
      <c r="D171" s="92">
        <f t="shared" si="124"/>
        <v>1.8334492427033464</v>
      </c>
      <c r="E171" s="91">
        <f t="shared" si="121"/>
        <v>3.6748094004368514E-3</v>
      </c>
      <c r="F171" s="92">
        <f t="shared" si="125"/>
        <v>1.349280415570955</v>
      </c>
      <c r="G171" s="98">
        <f t="shared" si="117"/>
        <v>1.3468080534053848</v>
      </c>
      <c r="H171" s="91">
        <f t="shared" si="122"/>
        <v>3.6748094004368514E-3</v>
      </c>
      <c r="I171" s="92">
        <f t="shared" si="126"/>
        <v>1.405626941098354</v>
      </c>
      <c r="J171" s="98">
        <f t="shared" si="118"/>
        <v>1.4030513320344611</v>
      </c>
      <c r="K171" s="107">
        <v>8.4548804891892981E-3</v>
      </c>
      <c r="L171" s="94">
        <f t="shared" si="127"/>
        <v>1.2524441732988696</v>
      </c>
      <c r="M171" s="94">
        <f t="shared" si="119"/>
        <v>1.2502165424213025</v>
      </c>
      <c r="N171" s="99">
        <f>(O173/O170)^(1/3)-1</f>
        <v>2.0533938564000209E-3</v>
      </c>
      <c r="O171" s="110">
        <v>2.029166666666665</v>
      </c>
      <c r="P171" s="110">
        <v>2.0270833333333318</v>
      </c>
      <c r="Q171" s="91">
        <f t="shared" si="123"/>
        <v>1.4057468926966799E-3</v>
      </c>
      <c r="R171" s="117">
        <f t="shared" si="120"/>
        <v>7.894488114261522E-3</v>
      </c>
      <c r="T171" s="215"/>
      <c r="U171" s="115"/>
    </row>
    <row r="172" spans="2:21">
      <c r="B172" s="88">
        <f t="shared" si="116"/>
        <v>42247</v>
      </c>
      <c r="C172" s="116">
        <v>7.648575006345304E-3</v>
      </c>
      <c r="D172" s="92">
        <f t="shared" si="124"/>
        <v>1.84747251675649</v>
      </c>
      <c r="E172" s="91">
        <f t="shared" si="121"/>
        <v>3.6748094004368514E-3</v>
      </c>
      <c r="F172" s="92">
        <f t="shared" si="125"/>
        <v>1.3542387639259206</v>
      </c>
      <c r="G172" s="98">
        <f t="shared" si="117"/>
        <v>1.3517573163006231</v>
      </c>
      <c r="H172" s="91">
        <f t="shared" si="122"/>
        <v>3.6748094004368514E-3</v>
      </c>
      <c r="I172" s="92">
        <f t="shared" si="126"/>
        <v>1.4107923521950094</v>
      </c>
      <c r="J172" s="98">
        <f t="shared" si="118"/>
        <v>1.4082072782587169</v>
      </c>
      <c r="K172" s="107">
        <v>7.7109729787763204E-3</v>
      </c>
      <c r="L172" s="94">
        <f t="shared" si="127"/>
        <v>1.2559881506438721</v>
      </c>
      <c r="M172" s="94">
        <f t="shared" si="119"/>
        <v>1.254216161971371</v>
      </c>
      <c r="N172" s="99">
        <f>(O173/O170)^(1/3)-1</f>
        <v>2.0533938564000209E-3</v>
      </c>
      <c r="O172" s="110">
        <v>2.0333333333333314</v>
      </c>
      <c r="P172" s="110">
        <v>2.0312499999999982</v>
      </c>
      <c r="Q172" s="91">
        <f t="shared" si="123"/>
        <v>1.4057468926966799E-3</v>
      </c>
      <c r="R172" s="117">
        <f t="shared" si="120"/>
        <v>7.894488114261522E-3</v>
      </c>
    </row>
    <row r="173" spans="2:21">
      <c r="B173" s="88">
        <f t="shared" si="116"/>
        <v>42277</v>
      </c>
      <c r="C173" s="116">
        <v>7.648575006345304E-3</v>
      </c>
      <c r="D173" s="92">
        <f t="shared" si="124"/>
        <v>1.8616030488730635</v>
      </c>
      <c r="E173" s="91">
        <f t="shared" si="121"/>
        <v>3.6748094004368514E-3</v>
      </c>
      <c r="F173" s="92">
        <f t="shared" si="125"/>
        <v>1.3592153332660315</v>
      </c>
      <c r="G173" s="98">
        <f t="shared" si="117"/>
        <v>1.3567247667936739</v>
      </c>
      <c r="H173" s="91">
        <f t="shared" si="122"/>
        <v>3.6748094004368514E-3</v>
      </c>
      <c r="I173" s="92">
        <f t="shared" si="126"/>
        <v>1.4159767451929202</v>
      </c>
      <c r="J173" s="98">
        <f t="shared" si="118"/>
        <v>1.4133821716026256</v>
      </c>
      <c r="K173" s="107">
        <v>7.7109729787763204E-3</v>
      </c>
      <c r="L173" s="94">
        <f t="shared" si="127"/>
        <v>1.2595421562006623</v>
      </c>
      <c r="M173" s="94">
        <f t="shared" si="119"/>
        <v>1.2577651534222674</v>
      </c>
      <c r="N173" s="99">
        <f>(O173/O170)^(1/3)-1</f>
        <v>2.0533938564000209E-3</v>
      </c>
      <c r="O173" s="110">
        <v>2.0374999999999979</v>
      </c>
      <c r="P173" s="110">
        <v>2.0354166666666647</v>
      </c>
      <c r="Q173" s="91">
        <f t="shared" si="123"/>
        <v>1.4057468926966799E-3</v>
      </c>
      <c r="R173" s="117">
        <f t="shared" si="120"/>
        <v>7.894488114261522E-3</v>
      </c>
    </row>
    <row r="174" spans="2:21">
      <c r="B174" s="88">
        <f t="shared" si="116"/>
        <v>42308</v>
      </c>
      <c r="C174" s="116">
        <v>7.648575006345304E-3</v>
      </c>
      <c r="D174" s="92">
        <f t="shared" si="124"/>
        <v>1.8758416594244103</v>
      </c>
      <c r="E174" s="91">
        <f t="shared" si="121"/>
        <v>3.6748094004368514E-3</v>
      </c>
      <c r="F174" s="92">
        <f t="shared" si="125"/>
        <v>1.3642101905499355</v>
      </c>
      <c r="G174" s="98">
        <f t="shared" si="117"/>
        <v>1.3617104717204929</v>
      </c>
      <c r="H174" s="91">
        <f t="shared" si="122"/>
        <v>3.6748094004368514E-3</v>
      </c>
      <c r="I174" s="92">
        <f t="shared" si="126"/>
        <v>1.4211801898469552</v>
      </c>
      <c r="J174" s="98">
        <f t="shared" si="118"/>
        <v>1.4185760816932409</v>
      </c>
      <c r="K174" s="107">
        <v>7.7109729787763204E-3</v>
      </c>
      <c r="L174" s="94">
        <f t="shared" si="127"/>
        <v>1.263106218345559</v>
      </c>
      <c r="M174" s="94">
        <f t="shared" si="119"/>
        <v>1.2613241872731107</v>
      </c>
      <c r="N174" s="99">
        <f>(O176/O173)^(1/3)-1</f>
        <v>2.040821987357333E-3</v>
      </c>
      <c r="O174" s="110">
        <v>2.0416666666666643</v>
      </c>
      <c r="P174" s="110">
        <v>2.0395833333333311</v>
      </c>
      <c r="Q174" s="91">
        <f t="shared" si="123"/>
        <v>1.4057468926966799E-3</v>
      </c>
      <c r="R174" s="117">
        <f t="shared" si="120"/>
        <v>7.6485750032657673E-3</v>
      </c>
    </row>
    <row r="175" spans="2:21">
      <c r="B175" s="88">
        <f t="shared" si="116"/>
        <v>42338</v>
      </c>
      <c r="C175" s="116">
        <v>7.2798178252841961E-3</v>
      </c>
      <c r="D175" s="92">
        <f t="shared" si="124"/>
        <v>1.8894974449740989</v>
      </c>
      <c r="E175" s="91">
        <f t="shared" si="121"/>
        <v>3.6748094004368514E-3</v>
      </c>
      <c r="F175" s="92">
        <f t="shared" si="125"/>
        <v>1.3692234029823402</v>
      </c>
      <c r="G175" s="98">
        <f t="shared" si="117"/>
        <v>1.3667144981626447</v>
      </c>
      <c r="H175" s="91">
        <f t="shared" si="122"/>
        <v>3.6748094004368514E-3</v>
      </c>
      <c r="I175" s="92">
        <f t="shared" si="126"/>
        <v>1.4264027561683195</v>
      </c>
      <c r="J175" s="98">
        <f t="shared" si="118"/>
        <v>1.4237890784134821</v>
      </c>
      <c r="K175" s="107">
        <v>7.3392250196839814E-3</v>
      </c>
      <c r="L175" s="94">
        <f t="shared" si="127"/>
        <v>1.266213082898253</v>
      </c>
      <c r="M175" s="94">
        <f t="shared" si="119"/>
        <v>1.2646596506219061</v>
      </c>
      <c r="N175" s="99">
        <f>(O176/O173)^(1/3)-1</f>
        <v>2.040821987357333E-3</v>
      </c>
      <c r="O175" s="110">
        <v>2.0458333333333307</v>
      </c>
      <c r="P175" s="110">
        <v>2.0437499999999975</v>
      </c>
      <c r="Q175" s="91">
        <f t="shared" si="123"/>
        <v>1.4057468926966799E-3</v>
      </c>
      <c r="R175" s="117">
        <f t="shared" si="120"/>
        <v>7.6485750032657673E-3</v>
      </c>
    </row>
    <row r="176" spans="2:21">
      <c r="B176" s="88">
        <f t="shared" si="116"/>
        <v>42369</v>
      </c>
      <c r="C176" s="116">
        <v>8.0174671772543782E-3</v>
      </c>
      <c r="D176" s="92">
        <f t="shared" si="124"/>
        <v>1.9046464287206848</v>
      </c>
      <c r="E176" s="91">
        <f t="shared" si="121"/>
        <v>3.6748094004368514E-3</v>
      </c>
      <c r="F176" s="92">
        <f t="shared" si="125"/>
        <v>1.3742550380149179</v>
      </c>
      <c r="G176" s="98">
        <f t="shared" si="117"/>
        <v>1.3717369134482063</v>
      </c>
      <c r="H176" s="91">
        <f t="shared" si="122"/>
        <v>3.6748094004368514E-3</v>
      </c>
      <c r="I176" s="92">
        <f t="shared" si="126"/>
        <v>1.4316445144254959</v>
      </c>
      <c r="J176" s="98">
        <f t="shared" si="118"/>
        <v>1.4290212319030753</v>
      </c>
      <c r="K176" s="107">
        <v>8.0828581184038129E-3</v>
      </c>
      <c r="L176" s="94">
        <f t="shared" si="127"/>
        <v>1.270264626295128</v>
      </c>
      <c r="M176" s="94">
        <f t="shared" si="119"/>
        <v>1.2682388545966905</v>
      </c>
      <c r="N176" s="99">
        <f>(O176/O173)^(1/3)-1</f>
        <v>2.040821987357333E-3</v>
      </c>
      <c r="O176" s="110">
        <v>2.0499999999999998</v>
      </c>
      <c r="P176" s="110">
        <v>2.0479166666666653</v>
      </c>
      <c r="Q176" s="91">
        <f t="shared" si="123"/>
        <v>1.4057468926966799E-3</v>
      </c>
      <c r="R176" s="117">
        <f t="shared" si="120"/>
        <v>7.6485750032657673E-3</v>
      </c>
    </row>
    <row r="177" spans="2:18">
      <c r="B177" s="88">
        <f t="shared" si="116"/>
        <v>42400</v>
      </c>
      <c r="C177" s="117">
        <f>IF(ISERROR((1+HLOOKUP(B177,$B$5:$GB$36,$A$24,FALSE))^(1/3)-1),C178,(1+HLOOKUP(B177,$B$5:$GB$36,$A$24,FALSE))^(1/3)-1)</f>
        <v>7.7217997371217262E-3</v>
      </c>
      <c r="D177" s="92">
        <f t="shared" si="124"/>
        <v>1.9193537270132901</v>
      </c>
      <c r="E177" s="91">
        <f t="shared" si="121"/>
        <v>3.6748094004368514E-3</v>
      </c>
      <c r="F177" s="92">
        <f t="shared" si="125"/>
        <v>1.3793051633472129</v>
      </c>
      <c r="G177" s="98">
        <f t="shared" si="117"/>
        <v>1.3767777851526719</v>
      </c>
      <c r="H177" s="91">
        <f t="shared" si="122"/>
        <v>3.6748094004368514E-3</v>
      </c>
      <c r="I177" s="92">
        <f t="shared" si="126"/>
        <v>1.4369055351451905</v>
      </c>
      <c r="J177" s="98">
        <f t="shared" si="118"/>
        <v>1.4342726125594967</v>
      </c>
      <c r="K177" s="91">
        <f>IF(ISERROR((1+HLOOKUP(B177,$B$5:$GB$36,$A$34,FALSE))^(1/3)-1),K178,(1+HLOOKUP(B177,$B$5:$GB$36,$A$34,FALSE))^(1/3)-1)</f>
        <v>7.7469924469959484E-3</v>
      </c>
      <c r="L177" s="94">
        <f t="shared" si="127"/>
        <v>1.2739045618903004</v>
      </c>
      <c r="M177" s="94">
        <f t="shared" si="119"/>
        <v>1.2720845940927141</v>
      </c>
      <c r="N177" s="99">
        <f>(O179/O176)^(1/3)-1</f>
        <v>1.8701980953237385E-3</v>
      </c>
      <c r="O177" s="97">
        <f>IF(ISERROR(HLOOKUP(B177,$B$5:$GB$36,$A$28,FALSE)),O176*(1+N177),HLOOKUP(B177,$B$5:$GB$36,$A$28,FALSE))</f>
        <v>2.0538339060954134</v>
      </c>
      <c r="P177" s="97">
        <f>IF(ISERROR(HLOOKUP(B177,$B$5:$GB$36,$A$29,FALSE)),P176*(1+N177),HLOOKUP(B177,$B$5:$GB$36,$A$29,FALSE))</f>
        <v>2.0517466765160468</v>
      </c>
      <c r="Q177" s="91">
        <f t="shared" si="123"/>
        <v>1.8151029571962241E-3</v>
      </c>
      <c r="R177" s="117">
        <f t="shared" si="120"/>
        <v>4.0321728699181936E-3</v>
      </c>
    </row>
    <row r="178" spans="2:18">
      <c r="B178" s="88">
        <f t="shared" si="116"/>
        <v>42429</v>
      </c>
      <c r="C178" s="117">
        <f t="shared" ref="C178:C241" si="128">IF(ISERROR((1+HLOOKUP(B178,$B$5:$GB$36,$A$24,FALSE))^(1/3)-1),C179,(1+HLOOKUP(B178,$B$5:$GB$36,$A$24,FALSE))^(1/3)-1)</f>
        <v>7.7217997371217262E-3</v>
      </c>
      <c r="D178" s="92">
        <f t="shared" si="124"/>
        <v>1.9341745921179849</v>
      </c>
      <c r="E178" s="91">
        <f t="shared" si="121"/>
        <v>3.6748094004368514E-3</v>
      </c>
      <c r="F178" s="92">
        <f t="shared" si="125"/>
        <v>1.3843738469275524</v>
      </c>
      <c r="G178" s="98">
        <f t="shared" si="117"/>
        <v>1.3818371810998635</v>
      </c>
      <c r="H178" s="91">
        <f t="shared" si="122"/>
        <v>3.6748094004368514E-3</v>
      </c>
      <c r="I178" s="92">
        <f t="shared" si="126"/>
        <v>1.4421858891132817</v>
      </c>
      <c r="J178" s="98">
        <f t="shared" si="118"/>
        <v>1.4395432910389194</v>
      </c>
      <c r="K178" s="91">
        <f t="shared" ref="K178:K241" si="129">IF(ISERROR((1+HLOOKUP(B178,$B$5:$GB$36,$A$34,FALSE))^(1/3)-1),K179,(1+HLOOKUP(B178,$B$5:$GB$36,$A$34,FALSE))^(1/3)-1)</f>
        <v>7.7469924469959484E-3</v>
      </c>
      <c r="L178" s="94">
        <f t="shared" si="127"/>
        <v>1.2775549276988809</v>
      </c>
      <c r="M178" s="94">
        <f t="shared" ref="M178:M203" si="130">AVERAGE(L178,L177)</f>
        <v>1.2757297447945906</v>
      </c>
      <c r="N178" s="99">
        <f>(O179/O176)^(1/3)-1</f>
        <v>1.8701980953237385E-3</v>
      </c>
      <c r="O178" s="97">
        <f t="shared" ref="O178:O241" si="131">IF(ISERROR(HLOOKUP(B178,$B$5:$GB$36,$A$28,FALSE)),O177*(1+N178),HLOOKUP(B178,$B$5:$GB$36,$A$28,FALSE))</f>
        <v>2.0576749823547043</v>
      </c>
      <c r="P178" s="97">
        <f t="shared" ref="P178:P241" si="132">IF(ISERROR(HLOOKUP(B178,$B$5:$GB$36,$A$29,FALSE)),P177*(1+N178),HLOOKUP(B178,$B$5:$GB$36,$A$29,FALSE))</f>
        <v>2.055583849242554</v>
      </c>
      <c r="Q178" s="91">
        <f t="shared" si="123"/>
        <v>1.8151029571962241E-3</v>
      </c>
      <c r="R178" s="117">
        <f t="shared" si="120"/>
        <v>4.0321728699181936E-3</v>
      </c>
    </row>
    <row r="179" spans="2:18">
      <c r="B179" s="88">
        <f t="shared" si="116"/>
        <v>42460</v>
      </c>
      <c r="C179" s="117">
        <f t="shared" si="128"/>
        <v>7.7217997371217262E-3</v>
      </c>
      <c r="D179" s="92">
        <f t="shared" si="124"/>
        <v>1.9491099009749491</v>
      </c>
      <c r="E179" s="91">
        <f t="shared" si="121"/>
        <v>3.6748094004368514E-3</v>
      </c>
      <c r="F179" s="92">
        <f t="shared" si="125"/>
        <v>1.3894611569539608</v>
      </c>
      <c r="G179" s="98">
        <f t="shared" si="117"/>
        <v>1.3869151693628428</v>
      </c>
      <c r="H179" s="91">
        <f t="shared" si="122"/>
        <v>3.6748094004368514E-3</v>
      </c>
      <c r="I179" s="92">
        <f t="shared" si="126"/>
        <v>1.4474856473757727</v>
      </c>
      <c r="J179" s="98">
        <f t="shared" si="118"/>
        <v>1.444833338257165</v>
      </c>
      <c r="K179" s="91">
        <f t="shared" si="129"/>
        <v>7.7469924469959484E-3</v>
      </c>
      <c r="L179" s="94">
        <f t="shared" si="127"/>
        <v>1.2812157536085826</v>
      </c>
      <c r="M179" s="94">
        <f t="shared" si="130"/>
        <v>1.2793853406537319</v>
      </c>
      <c r="N179" s="99">
        <f>(O179/O176)^(1/3)-1</f>
        <v>1.8701980953237385E-3</v>
      </c>
      <c r="O179" s="97">
        <f t="shared" si="131"/>
        <v>2.0615232421874996</v>
      </c>
      <c r="P179" s="97">
        <f t="shared" si="132"/>
        <v>2.037331933593749</v>
      </c>
      <c r="Q179" s="91">
        <f t="shared" si="123"/>
        <v>1.8151029571962241E-3</v>
      </c>
      <c r="R179" s="117">
        <f t="shared" si="120"/>
        <v>4.0321728699181936E-3</v>
      </c>
    </row>
    <row r="180" spans="2:18">
      <c r="B180" s="88">
        <f t="shared" si="116"/>
        <v>42490</v>
      </c>
      <c r="C180" s="117">
        <f t="shared" si="128"/>
        <v>7.7217997371217262E-3</v>
      </c>
      <c r="D180" s="92">
        <f t="shared" si="124"/>
        <v>1.9641605372959188</v>
      </c>
      <c r="E180" s="91">
        <f t="shared" si="121"/>
        <v>3.6748094004368514E-3</v>
      </c>
      <c r="F180" s="92">
        <f t="shared" si="125"/>
        <v>1.394567161875077</v>
      </c>
      <c r="G180" s="98">
        <f t="shared" si="117"/>
        <v>1.3920118182648258</v>
      </c>
      <c r="H180" s="91">
        <f t="shared" si="122"/>
        <v>3.6748094004368514E-3</v>
      </c>
      <c r="I180" s="92">
        <f t="shared" si="126"/>
        <v>1.4528048812397465</v>
      </c>
      <c r="J180" s="98">
        <f t="shared" si="118"/>
        <v>1.450142825390657</v>
      </c>
      <c r="K180" s="91">
        <f t="shared" si="129"/>
        <v>7.7469924469959484E-3</v>
      </c>
      <c r="L180" s="94">
        <f t="shared" si="127"/>
        <v>1.2848870695927623</v>
      </c>
      <c r="M180" s="94">
        <f t="shared" si="130"/>
        <v>1.2830514116006726</v>
      </c>
      <c r="N180" s="99">
        <f>(O182/O179)^(1/3)-1</f>
        <v>2.0661215763793095E-3</v>
      </c>
      <c r="O180" s="97">
        <f t="shared" si="131"/>
        <v>2.0657825998383905</v>
      </c>
      <c r="P180" s="97">
        <f t="shared" si="132"/>
        <v>2.0415413090599936</v>
      </c>
      <c r="Q180" s="91">
        <f t="shared" si="123"/>
        <v>1.8151029571962241E-3</v>
      </c>
      <c r="R180" s="117">
        <f t="shared" si="120"/>
        <v>4.0321728699181936E-3</v>
      </c>
    </row>
    <row r="181" spans="2:18">
      <c r="B181" s="88">
        <f t="shared" si="116"/>
        <v>42521</v>
      </c>
      <c r="C181" s="117">
        <f t="shared" si="128"/>
        <v>7.7217997371217262E-3</v>
      </c>
      <c r="D181" s="92">
        <f t="shared" si="124"/>
        <v>1.9793273916164753</v>
      </c>
      <c r="E181" s="91">
        <f t="shared" si="121"/>
        <v>3.6748094004368514E-3</v>
      </c>
      <c r="F181" s="92">
        <f t="shared" si="125"/>
        <v>1.399691930391076</v>
      </c>
      <c r="G181" s="98">
        <f t="shared" si="117"/>
        <v>1.3971271963801046</v>
      </c>
      <c r="H181" s="91">
        <f t="shared" si="122"/>
        <v>3.6748094004368514E-3</v>
      </c>
      <c r="I181" s="92">
        <f t="shared" si="126"/>
        <v>1.4581436622743269</v>
      </c>
      <c r="J181" s="98">
        <f t="shared" si="118"/>
        <v>1.4554718238773785</v>
      </c>
      <c r="K181" s="91">
        <f t="shared" si="129"/>
        <v>7.7469924469959484E-3</v>
      </c>
      <c r="L181" s="94">
        <f t="shared" si="127"/>
        <v>1.2885689057106648</v>
      </c>
      <c r="M181" s="94">
        <f t="shared" si="130"/>
        <v>1.2867279876517137</v>
      </c>
      <c r="N181" s="99">
        <f>(O182/O179)^(1/3)-1</f>
        <v>2.0661215763793095E-3</v>
      </c>
      <c r="O181" s="97">
        <f t="shared" si="131"/>
        <v>2.0700507578400256</v>
      </c>
      <c r="P181" s="97">
        <f t="shared" si="132"/>
        <v>2.045759381607712</v>
      </c>
      <c r="Q181" s="91">
        <f t="shared" si="123"/>
        <v>1.8151029571962241E-3</v>
      </c>
      <c r="R181" s="117">
        <f t="shared" si="120"/>
        <v>4.0321728699181936E-3</v>
      </c>
    </row>
    <row r="182" spans="2:18">
      <c r="B182" s="88">
        <f t="shared" si="116"/>
        <v>42551</v>
      </c>
      <c r="C182" s="117">
        <f t="shared" si="128"/>
        <v>7.7217997371217262E-3</v>
      </c>
      <c r="D182" s="92">
        <f t="shared" si="124"/>
        <v>1.9946113613487373</v>
      </c>
      <c r="E182" s="91">
        <f t="shared" si="121"/>
        <v>3.6748094004368514E-3</v>
      </c>
      <c r="F182" s="92">
        <f t="shared" si="125"/>
        <v>1.4048355314545926</v>
      </c>
      <c r="G182" s="98">
        <f t="shared" si="117"/>
        <v>1.402261372534968</v>
      </c>
      <c r="H182" s="91">
        <f t="shared" si="122"/>
        <v>3.6748094004368514E-3</v>
      </c>
      <c r="I182" s="92">
        <f t="shared" si="126"/>
        <v>1.4635020623116399</v>
      </c>
      <c r="J182" s="98">
        <f t="shared" si="118"/>
        <v>1.4608204054178342</v>
      </c>
      <c r="K182" s="91">
        <f t="shared" si="129"/>
        <v>7.7469924469959484E-3</v>
      </c>
      <c r="L182" s="94">
        <f t="shared" si="127"/>
        <v>1.2922612921076695</v>
      </c>
      <c r="M182" s="94">
        <f t="shared" si="130"/>
        <v>1.2904150989091672</v>
      </c>
      <c r="N182" s="99">
        <f>(O182/O179)^(1/3)-1</f>
        <v>2.0661215763793095E-3</v>
      </c>
      <c r="O182" s="97">
        <f t="shared" si="131"/>
        <v>2.0743277343749993</v>
      </c>
      <c r="P182" s="97">
        <f t="shared" si="132"/>
        <v>2.0496638671874989</v>
      </c>
      <c r="Q182" s="91">
        <f t="shared" si="123"/>
        <v>1.8151029571962241E-3</v>
      </c>
      <c r="R182" s="117">
        <f t="shared" si="120"/>
        <v>4.0321728699181936E-3</v>
      </c>
    </row>
    <row r="183" spans="2:18">
      <c r="B183" s="88">
        <f t="shared" si="116"/>
        <v>42582</v>
      </c>
      <c r="C183" s="117">
        <f t="shared" si="128"/>
        <v>7.7217997371217262E-3</v>
      </c>
      <c r="D183" s="92">
        <f t="shared" si="124"/>
        <v>2.01001335083446</v>
      </c>
      <c r="E183" s="91">
        <f t="shared" si="121"/>
        <v>3.6748094004368514E-3</v>
      </c>
      <c r="F183" s="92">
        <f t="shared" si="125"/>
        <v>1.4099980342716496</v>
      </c>
      <c r="G183" s="98">
        <f t="shared" si="117"/>
        <v>1.4074144158086288</v>
      </c>
      <c r="H183" s="91">
        <f t="shared" si="122"/>
        <v>3.6748094004368514E-3</v>
      </c>
      <c r="I183" s="92">
        <f t="shared" si="126"/>
        <v>1.4688801534477816</v>
      </c>
      <c r="J183" s="98">
        <f t="shared" si="118"/>
        <v>1.4661886419760135</v>
      </c>
      <c r="K183" s="91">
        <f t="shared" si="129"/>
        <v>7.7469924469959484E-3</v>
      </c>
      <c r="L183" s="94">
        <f t="shared" si="127"/>
        <v>1.2959642590155374</v>
      </c>
      <c r="M183" s="94">
        <f t="shared" si="130"/>
        <v>1.2941127755616035</v>
      </c>
      <c r="N183" s="99">
        <f>(O185/O182)^(1/3)-1</f>
        <v>2.0533938564000209E-3</v>
      </c>
      <c r="O183" s="97">
        <f t="shared" si="131"/>
        <v>2.0785871462009249</v>
      </c>
      <c r="P183" s="97">
        <f t="shared" si="132"/>
        <v>2.0538726343800668</v>
      </c>
      <c r="Q183" s="91">
        <f t="shared" si="123"/>
        <v>1.8151029571962241E-3</v>
      </c>
      <c r="R183" s="117">
        <f t="shared" si="120"/>
        <v>4.0321728699181936E-3</v>
      </c>
    </row>
    <row r="184" spans="2:18">
      <c r="B184" s="88">
        <f t="shared" si="116"/>
        <v>42613</v>
      </c>
      <c r="C184" s="117">
        <f t="shared" si="128"/>
        <v>7.7217997371217262E-3</v>
      </c>
      <c r="D184" s="92">
        <f t="shared" si="124"/>
        <v>2.0255342713985445</v>
      </c>
      <c r="E184" s="91">
        <f t="shared" si="121"/>
        <v>3.6748094004368514E-3</v>
      </c>
      <c r="F184" s="92">
        <f t="shared" si="125"/>
        <v>1.4151795083025887</v>
      </c>
      <c r="G184" s="98">
        <f t="shared" si="117"/>
        <v>1.4125863955341527</v>
      </c>
      <c r="H184" s="91">
        <f t="shared" si="122"/>
        <v>3.6748094004368514E-3</v>
      </c>
      <c r="I184" s="92">
        <f t="shared" si="126"/>
        <v>1.4742780080437865</v>
      </c>
      <c r="J184" s="98">
        <f t="shared" si="118"/>
        <v>1.4715766057803608</v>
      </c>
      <c r="K184" s="91">
        <f t="shared" si="129"/>
        <v>7.7469924469959484E-3</v>
      </c>
      <c r="L184" s="94">
        <f t="shared" si="127"/>
        <v>1.2996778367526582</v>
      </c>
      <c r="M184" s="94">
        <f t="shared" si="130"/>
        <v>1.2978210478840979</v>
      </c>
      <c r="N184" s="99">
        <f>(O185/O182)^(1/3)-1</f>
        <v>2.0533938564000209E-3</v>
      </c>
      <c r="O184" s="97">
        <f t="shared" si="131"/>
        <v>2.0828553042769258</v>
      </c>
      <c r="P184" s="97">
        <f t="shared" si="132"/>
        <v>2.0580900438293308</v>
      </c>
      <c r="Q184" s="91">
        <f t="shared" si="123"/>
        <v>1.8151029571962241E-3</v>
      </c>
      <c r="R184" s="117">
        <f t="shared" si="120"/>
        <v>4.0321728699181936E-3</v>
      </c>
    </row>
    <row r="185" spans="2:18">
      <c r="B185" s="88">
        <f t="shared" si="116"/>
        <v>42643</v>
      </c>
      <c r="C185" s="117">
        <f t="shared" si="128"/>
        <v>7.7217997371217262E-3</v>
      </c>
      <c r="D185" s="92">
        <f t="shared" si="124"/>
        <v>2.041175041402961</v>
      </c>
      <c r="E185" s="91">
        <f t="shared" si="121"/>
        <v>3.6748094004368514E-3</v>
      </c>
      <c r="F185" s="92">
        <f t="shared" si="125"/>
        <v>1.4203800232630046</v>
      </c>
      <c r="G185" s="98">
        <f t="shared" si="117"/>
        <v>1.417777381299391</v>
      </c>
      <c r="H185" s="91">
        <f t="shared" si="122"/>
        <v>3.6748094004368514E-3</v>
      </c>
      <c r="I185" s="92">
        <f t="shared" si="126"/>
        <v>1.4796956987266032</v>
      </c>
      <c r="J185" s="98">
        <f t="shared" si="118"/>
        <v>1.4769843693247453</v>
      </c>
      <c r="K185" s="91">
        <f t="shared" si="129"/>
        <v>7.7469924469959484E-3</v>
      </c>
      <c r="L185" s="94">
        <f t="shared" si="127"/>
        <v>1.3034020557242991</v>
      </c>
      <c r="M185" s="94">
        <f t="shared" si="130"/>
        <v>1.3015399462384787</v>
      </c>
      <c r="N185" s="99">
        <f>(O185/O182)^(1/3)-1</f>
        <v>2.0533938564000209E-3</v>
      </c>
      <c r="O185" s="97">
        <f t="shared" si="131"/>
        <v>2.087132226562499</v>
      </c>
      <c r="P185" s="97">
        <f t="shared" si="132"/>
        <v>2.0619958007812489</v>
      </c>
      <c r="Q185" s="91">
        <f t="shared" si="123"/>
        <v>1.8151029571962241E-3</v>
      </c>
      <c r="R185" s="117">
        <f t="shared" si="120"/>
        <v>4.0321728699181936E-3</v>
      </c>
    </row>
    <row r="186" spans="2:18">
      <c r="B186" s="88">
        <f t="shared" si="116"/>
        <v>42674</v>
      </c>
      <c r="C186" s="117">
        <f t="shared" si="128"/>
        <v>7.7217997371217262E-3</v>
      </c>
      <c r="D186" s="92">
        <f t="shared" si="124"/>
        <v>2.0569365863010858</v>
      </c>
      <c r="E186" s="91">
        <f t="shared" si="121"/>
        <v>3.6748094004368514E-3</v>
      </c>
      <c r="F186" s="92">
        <f t="shared" si="125"/>
        <v>1.4255996491246843</v>
      </c>
      <c r="G186" s="98">
        <f t="shared" si="117"/>
        <v>1.4229874429479168</v>
      </c>
      <c r="H186" s="91">
        <f t="shared" si="122"/>
        <v>3.6748094004368514E-3</v>
      </c>
      <c r="I186" s="92">
        <f t="shared" si="126"/>
        <v>1.4851332983900698</v>
      </c>
      <c r="J186" s="98">
        <f t="shared" si="118"/>
        <v>1.4824120053694383</v>
      </c>
      <c r="K186" s="91">
        <f t="shared" si="129"/>
        <v>7.7469924469959484E-3</v>
      </c>
      <c r="L186" s="94">
        <f t="shared" si="127"/>
        <v>1.3071369464228528</v>
      </c>
      <c r="M186" s="94">
        <f t="shared" si="130"/>
        <v>1.305269501073576</v>
      </c>
      <c r="N186" s="99">
        <f>(O188/O185)^(1/3)-1</f>
        <v>2.0408219873568889E-3</v>
      </c>
      <c r="O186" s="97">
        <f t="shared" si="131"/>
        <v>2.0913916919009887</v>
      </c>
      <c r="P186" s="97">
        <f t="shared" si="132"/>
        <v>2.0662039671493209</v>
      </c>
      <c r="Q186" s="91">
        <f t="shared" si="123"/>
        <v>1.8151029571962241E-3</v>
      </c>
      <c r="R186" s="117">
        <f t="shared" si="120"/>
        <v>4.0321728699181936E-3</v>
      </c>
    </row>
    <row r="187" spans="2:18">
      <c r="B187" s="88">
        <f t="shared" si="116"/>
        <v>42704</v>
      </c>
      <c r="C187" s="117">
        <f t="shared" si="128"/>
        <v>7.7217997371217262E-3</v>
      </c>
      <c r="D187" s="92">
        <f t="shared" si="124"/>
        <v>2.0728198386924617</v>
      </c>
      <c r="E187" s="91">
        <f t="shared" si="121"/>
        <v>3.6748094004368514E-3</v>
      </c>
      <c r="F187" s="92">
        <f t="shared" si="125"/>
        <v>1.4308384561165473</v>
      </c>
      <c r="G187" s="98">
        <f t="shared" si="117"/>
        <v>1.4282166505799654</v>
      </c>
      <c r="H187" s="91">
        <f t="shared" si="122"/>
        <v>3.6748094004368514E-3</v>
      </c>
      <c r="I187" s="92">
        <f t="shared" si="126"/>
        <v>1.4905908801958954</v>
      </c>
      <c r="J187" s="98">
        <f t="shared" si="118"/>
        <v>1.4878595869420905</v>
      </c>
      <c r="K187" s="91">
        <f t="shared" si="129"/>
        <v>7.7469924469959484E-3</v>
      </c>
      <c r="L187" s="94">
        <f t="shared" si="127"/>
        <v>1.3108825394280885</v>
      </c>
      <c r="M187" s="94">
        <f t="shared" si="130"/>
        <v>1.3090097429254706</v>
      </c>
      <c r="N187" s="99">
        <f>(O188/O185)^(1/3)-1</f>
        <v>2.0408219873568889E-3</v>
      </c>
      <c r="O187" s="97">
        <f t="shared" si="131"/>
        <v>2.0956598500499957</v>
      </c>
      <c r="P187" s="97">
        <f t="shared" si="132"/>
        <v>2.070420721635843</v>
      </c>
      <c r="Q187" s="91">
        <f t="shared" si="123"/>
        <v>1.8151029571962241E-3</v>
      </c>
      <c r="R187" s="117">
        <f t="shared" si="120"/>
        <v>4.0321728699181936E-3</v>
      </c>
    </row>
    <row r="188" spans="2:18">
      <c r="B188" s="88">
        <f t="shared" si="116"/>
        <v>42735</v>
      </c>
      <c r="C188" s="117">
        <f t="shared" si="128"/>
        <v>7.7217997371217262E-3</v>
      </c>
      <c r="D188" s="92">
        <f t="shared" si="124"/>
        <v>2.0888257383779778</v>
      </c>
      <c r="E188" s="91">
        <f t="shared" si="121"/>
        <v>3.6748094004368514E-3</v>
      </c>
      <c r="F188" s="92">
        <f t="shared" si="125"/>
        <v>1.4360965147255909</v>
      </c>
      <c r="G188" s="98">
        <f t="shared" si="117"/>
        <v>1.4334650745533772</v>
      </c>
      <c r="H188" s="91">
        <f t="shared" si="122"/>
        <v>3.6748094004368514E-3</v>
      </c>
      <c r="I188" s="92">
        <f t="shared" si="126"/>
        <v>1.4960685175746447</v>
      </c>
      <c r="J188" s="98">
        <f t="shared" si="118"/>
        <v>1.4933271873387153</v>
      </c>
      <c r="K188" s="91">
        <f t="shared" si="129"/>
        <v>7.7469924469959484E-3</v>
      </c>
      <c r="L188" s="94">
        <f t="shared" si="127"/>
        <v>1.314638865407401</v>
      </c>
      <c r="M188" s="94">
        <f t="shared" si="130"/>
        <v>1.3127607024177448</v>
      </c>
      <c r="N188" s="99">
        <f>(O188/O185)^(1/3)-1</f>
        <v>2.0408219873568889E-3</v>
      </c>
      <c r="O188" s="97">
        <f t="shared" si="131"/>
        <v>2.0999367187499991</v>
      </c>
      <c r="P188" s="97">
        <f t="shared" si="132"/>
        <v>2.0743277343749993</v>
      </c>
      <c r="Q188" s="91">
        <f t="shared" si="123"/>
        <v>1.8151029571962241E-3</v>
      </c>
      <c r="R188" s="117">
        <f t="shared" si="120"/>
        <v>4.0321728699181936E-3</v>
      </c>
    </row>
    <row r="189" spans="2:18">
      <c r="B189" s="88">
        <f t="shared" si="116"/>
        <v>42766</v>
      </c>
      <c r="C189" s="117">
        <f t="shared" si="128"/>
        <v>7.7217997371217262E-3</v>
      </c>
      <c r="D189" s="92">
        <f t="shared" si="124"/>
        <v>2.1049552324154779</v>
      </c>
      <c r="E189" s="91">
        <f t="shared" si="121"/>
        <v>3.2737397821989145E-3</v>
      </c>
      <c r="F189" s="92">
        <f t="shared" si="125"/>
        <v>1.4407979210169253</v>
      </c>
      <c r="G189" s="98">
        <f t="shared" si="117"/>
        <v>1.4384452971163983</v>
      </c>
      <c r="H189" s="91">
        <f t="shared" si="122"/>
        <v>3.2737397821989145E-3</v>
      </c>
      <c r="I189" s="92">
        <f t="shared" si="126"/>
        <v>1.5009662565975241</v>
      </c>
      <c r="J189" s="98">
        <f t="shared" si="118"/>
        <v>1.4985153861196825</v>
      </c>
      <c r="K189" s="91">
        <f t="shared" si="129"/>
        <v>7.6850268366353003E-3</v>
      </c>
      <c r="L189" s="94">
        <f t="shared" si="127"/>
        <v>1.3183248873179705</v>
      </c>
      <c r="M189" s="94">
        <f t="shared" si="130"/>
        <v>1.3164818763626858</v>
      </c>
      <c r="N189" s="99">
        <f>(O191/O188)^(1/3)-1</f>
        <v>1.6638965793120963E-3</v>
      </c>
      <c r="O189" s="97">
        <f t="shared" si="131"/>
        <v>2.1034307962730989</v>
      </c>
      <c r="P189" s="97">
        <f t="shared" si="132"/>
        <v>2.0777792011965981</v>
      </c>
      <c r="Q189" s="91">
        <f t="shared" si="123"/>
        <v>1.8151029571962241E-3</v>
      </c>
      <c r="R189" s="117">
        <f t="shared" si="120"/>
        <v>4.4335456800537187E-3</v>
      </c>
    </row>
    <row r="190" spans="2:18">
      <c r="B190" s="88">
        <f t="shared" si="116"/>
        <v>42794</v>
      </c>
      <c r="C190" s="117">
        <f t="shared" si="128"/>
        <v>7.7217997371217262E-3</v>
      </c>
      <c r="D190" s="92">
        <f t="shared" si="124"/>
        <v>2.1212092751757967</v>
      </c>
      <c r="E190" s="91">
        <f t="shared" si="121"/>
        <v>3.2737397821989145E-3</v>
      </c>
      <c r="F190" s="92">
        <f t="shared" si="125"/>
        <v>1.445514718489068</v>
      </c>
      <c r="G190" s="98">
        <f t="shared" si="117"/>
        <v>1.4431543927100852</v>
      </c>
      <c r="H190" s="91">
        <f t="shared" si="122"/>
        <v>3.2737397821989145E-3</v>
      </c>
      <c r="I190" s="92">
        <f t="shared" si="126"/>
        <v>1.5058800295434855</v>
      </c>
      <c r="J190" s="98">
        <f t="shared" si="118"/>
        <v>1.5034211355534597</v>
      </c>
      <c r="K190" s="91">
        <f t="shared" si="129"/>
        <v>7.6850268366353003E-3</v>
      </c>
      <c r="L190" s="94">
        <f t="shared" si="127"/>
        <v>1.3220212442018033</v>
      </c>
      <c r="M190" s="94">
        <f t="shared" si="130"/>
        <v>1.3201730657598869</v>
      </c>
      <c r="N190" s="99">
        <f>(O191/O188)^(1/3)-1</f>
        <v>1.6638965793120963E-3</v>
      </c>
      <c r="O190" s="97">
        <f t="shared" si="131"/>
        <v>2.1069306875798373</v>
      </c>
      <c r="P190" s="97">
        <f t="shared" si="132"/>
        <v>2.0812364109020351</v>
      </c>
      <c r="Q190" s="91">
        <f t="shared" si="123"/>
        <v>1.8151029571962241E-3</v>
      </c>
      <c r="R190" s="117">
        <f t="shared" si="120"/>
        <v>4.4335456800537187E-3</v>
      </c>
    </row>
    <row r="191" spans="2:18">
      <c r="B191" s="88">
        <f t="shared" si="116"/>
        <v>42825</v>
      </c>
      <c r="C191" s="117">
        <f t="shared" si="128"/>
        <v>7.7217997371217262E-3</v>
      </c>
      <c r="D191" s="92">
        <f t="shared" si="124"/>
        <v>2.1375888283992293</v>
      </c>
      <c r="E191" s="91">
        <f t="shared" si="121"/>
        <v>3.2737397821989145E-3</v>
      </c>
      <c r="F191" s="92">
        <f t="shared" si="125"/>
        <v>1.4502469575287398</v>
      </c>
      <c r="G191" s="98">
        <f t="shared" si="117"/>
        <v>1.4478789046573555</v>
      </c>
      <c r="H191" s="91">
        <f t="shared" si="122"/>
        <v>3.2737397821989145E-3</v>
      </c>
      <c r="I191" s="92">
        <f t="shared" si="126"/>
        <v>1.5108098889034209</v>
      </c>
      <c r="J191" s="98">
        <f t="shared" si="118"/>
        <v>1.5083429451343198</v>
      </c>
      <c r="K191" s="91">
        <f t="shared" si="129"/>
        <v>7.6850268366353003E-3</v>
      </c>
      <c r="L191" s="94">
        <f t="shared" si="127"/>
        <v>1.3257279650363922</v>
      </c>
      <c r="M191" s="94">
        <f t="shared" si="130"/>
        <v>1.3238746046190979</v>
      </c>
      <c r="N191" s="99">
        <f>(O191/O188)^(1/3)-1</f>
        <v>1.6638965793120963E-3</v>
      </c>
      <c r="O191" s="97">
        <f t="shared" si="131"/>
        <v>2.1104364023437494</v>
      </c>
      <c r="P191" s="97">
        <f t="shared" si="132"/>
        <v>2.0859798222656245</v>
      </c>
      <c r="Q191" s="91">
        <f t="shared" si="123"/>
        <v>1.8151029571962241E-3</v>
      </c>
      <c r="R191" s="117">
        <f t="shared" si="120"/>
        <v>4.4335456800537187E-3</v>
      </c>
    </row>
    <row r="192" spans="2:18">
      <c r="B192" s="88">
        <f t="shared" si="116"/>
        <v>42855</v>
      </c>
      <c r="C192" s="117">
        <f t="shared" si="128"/>
        <v>7.7217997371217262E-3</v>
      </c>
      <c r="D192" s="92">
        <f t="shared" si="124"/>
        <v>2.1540948612524367</v>
      </c>
      <c r="E192" s="91">
        <f t="shared" si="121"/>
        <v>3.2737397821989145E-3</v>
      </c>
      <c r="F192" s="92">
        <f t="shared" si="125"/>
        <v>1.4549946886876146</v>
      </c>
      <c r="G192" s="98">
        <f t="shared" si="117"/>
        <v>1.4526188834273388</v>
      </c>
      <c r="H192" s="91">
        <f t="shared" si="122"/>
        <v>3.2737397821989145E-3</v>
      </c>
      <c r="I192" s="92">
        <f t="shared" si="126"/>
        <v>1.5157558873400636</v>
      </c>
      <c r="J192" s="98">
        <f t="shared" si="118"/>
        <v>1.513280867439005</v>
      </c>
      <c r="K192" s="91">
        <f t="shared" si="129"/>
        <v>7.6850268366353003E-3</v>
      </c>
      <c r="L192" s="94">
        <f t="shared" si="127"/>
        <v>1.3294450788804777</v>
      </c>
      <c r="M192" s="94">
        <f t="shared" si="130"/>
        <v>1.3275865219584349</v>
      </c>
      <c r="N192" s="99">
        <f>(O194/O191)^(1/3)-1</f>
        <v>1.6556321620859737E-3</v>
      </c>
      <c r="O192" s="97">
        <f t="shared" si="131"/>
        <v>2.1139305087275067</v>
      </c>
      <c r="P192" s="97">
        <f t="shared" si="132"/>
        <v>2.0894334375488297</v>
      </c>
      <c r="Q192" s="91">
        <f t="shared" si="123"/>
        <v>1.8151029571962241E-3</v>
      </c>
      <c r="R192" s="117">
        <f t="shared" si="120"/>
        <v>4.4335456800537187E-3</v>
      </c>
    </row>
    <row r="193" spans="2:18">
      <c r="B193" s="88">
        <f t="shared" si="116"/>
        <v>42886</v>
      </c>
      <c r="C193" s="117">
        <f t="shared" si="128"/>
        <v>7.7217997371217262E-3</v>
      </c>
      <c r="D193" s="92">
        <f t="shared" si="124"/>
        <v>2.170728350385791</v>
      </c>
      <c r="E193" s="91">
        <f t="shared" si="121"/>
        <v>3.2737397821989145E-3</v>
      </c>
      <c r="F193" s="92">
        <f t="shared" si="125"/>
        <v>1.4597579626828594</v>
      </c>
      <c r="G193" s="98">
        <f t="shared" si="117"/>
        <v>1.4573743796543883</v>
      </c>
      <c r="H193" s="91">
        <f t="shared" si="122"/>
        <v>3.2737397821989145E-3</v>
      </c>
      <c r="I193" s="92">
        <f t="shared" si="126"/>
        <v>1.5207180776885509</v>
      </c>
      <c r="J193" s="98">
        <f t="shared" si="118"/>
        <v>1.5182349552163805</v>
      </c>
      <c r="K193" s="91">
        <f t="shared" si="129"/>
        <v>7.6850268366353003E-3</v>
      </c>
      <c r="L193" s="94">
        <f t="shared" si="127"/>
        <v>1.333172614874276</v>
      </c>
      <c r="M193" s="94">
        <f t="shared" si="130"/>
        <v>1.3313088468773768</v>
      </c>
      <c r="N193" s="99">
        <f>(O194/O191)^(1/3)-1</f>
        <v>1.6556321620859737E-3</v>
      </c>
      <c r="O193" s="97">
        <f t="shared" si="131"/>
        <v>2.1174304000661706</v>
      </c>
      <c r="P193" s="97">
        <f t="shared" si="132"/>
        <v>2.0928927707485734</v>
      </c>
      <c r="Q193" s="91">
        <f t="shared" si="123"/>
        <v>1.8151029571962241E-3</v>
      </c>
      <c r="R193" s="117">
        <f t="shared" si="120"/>
        <v>4.4335456800537187E-3</v>
      </c>
    </row>
    <row r="194" spans="2:18">
      <c r="B194" s="88">
        <f t="shared" si="116"/>
        <v>42916</v>
      </c>
      <c r="C194" s="117">
        <f t="shared" si="128"/>
        <v>7.7217997371217262E-3</v>
      </c>
      <c r="D194" s="92">
        <f t="shared" si="124"/>
        <v>2.1874902799911626</v>
      </c>
      <c r="E194" s="91">
        <f t="shared" si="121"/>
        <v>3.2737397821989145E-3</v>
      </c>
      <c r="F194" s="92">
        <f t="shared" si="125"/>
        <v>1.464536830397676</v>
      </c>
      <c r="G194" s="98">
        <f t="shared" si="117"/>
        <v>1.4621454441386204</v>
      </c>
      <c r="H194" s="91">
        <f t="shared" si="122"/>
        <v>3.2737397821989145E-3</v>
      </c>
      <c r="I194" s="92">
        <f t="shared" si="126"/>
        <v>1.525696512956989</v>
      </c>
      <c r="J194" s="98">
        <f t="shared" si="118"/>
        <v>1.5232052613879974</v>
      </c>
      <c r="K194" s="91">
        <f t="shared" si="129"/>
        <v>7.6850268366353003E-3</v>
      </c>
      <c r="L194" s="94">
        <f t="shared" si="127"/>
        <v>1.3369106022397073</v>
      </c>
      <c r="M194" s="94">
        <f t="shared" si="130"/>
        <v>1.3350416085569916</v>
      </c>
      <c r="N194" s="99">
        <f>(O194/O191)^(1/3)-1</f>
        <v>1.6556321620859737E-3</v>
      </c>
      <c r="O194" s="97">
        <f t="shared" si="131"/>
        <v>2.1209360859374993</v>
      </c>
      <c r="P194" s="97">
        <f t="shared" si="132"/>
        <v>2.0976319101562493</v>
      </c>
      <c r="Q194" s="91">
        <f t="shared" si="123"/>
        <v>1.8151029571962241E-3</v>
      </c>
      <c r="R194" s="117">
        <f t="shared" si="120"/>
        <v>4.4335456800537187E-3</v>
      </c>
    </row>
    <row r="195" spans="2:18">
      <c r="B195" s="88">
        <f t="shared" si="116"/>
        <v>42947</v>
      </c>
      <c r="C195" s="117">
        <f t="shared" si="128"/>
        <v>7.7217997371217262E-3</v>
      </c>
      <c r="D195" s="92">
        <f t="shared" si="124"/>
        <v>2.2043816418601545</v>
      </c>
      <c r="E195" s="91">
        <f t="shared" si="121"/>
        <v>3.2737397821989145E-3</v>
      </c>
      <c r="F195" s="92">
        <f t="shared" si="125"/>
        <v>1.4693313428818444</v>
      </c>
      <c r="G195" s="98">
        <f t="shared" si="117"/>
        <v>1.466932127846458</v>
      </c>
      <c r="H195" s="91">
        <f t="shared" si="122"/>
        <v>3.2737397821989145E-3</v>
      </c>
      <c r="I195" s="92">
        <f t="shared" si="126"/>
        <v>1.5306912463270186</v>
      </c>
      <c r="J195" s="98">
        <f t="shared" si="118"/>
        <v>1.528191839048658</v>
      </c>
      <c r="K195" s="91">
        <f t="shared" si="129"/>
        <v>7.6850268366353003E-3</v>
      </c>
      <c r="L195" s="94">
        <f t="shared" si="127"/>
        <v>1.3406590702806251</v>
      </c>
      <c r="M195" s="94">
        <f t="shared" si="130"/>
        <v>1.3387848362601662</v>
      </c>
      <c r="N195" s="99">
        <f>(O197/O194)^(1/3)-1</f>
        <v>1.6474494364142611E-3</v>
      </c>
      <c r="O195" s="97">
        <f t="shared" si="131"/>
        <v>2.1244302208969477</v>
      </c>
      <c r="P195" s="97">
        <f t="shared" si="132"/>
        <v>2.1010876526644409</v>
      </c>
      <c r="Q195" s="91">
        <f t="shared" si="123"/>
        <v>1.8151029571962241E-3</v>
      </c>
      <c r="R195" s="117">
        <f t="shared" si="120"/>
        <v>4.4335456800537187E-3</v>
      </c>
    </row>
    <row r="196" spans="2:18">
      <c r="B196" s="88">
        <f t="shared" si="116"/>
        <v>42978</v>
      </c>
      <c r="C196" s="117">
        <f t="shared" si="128"/>
        <v>7.7217997371217262E-3</v>
      </c>
      <c r="D196" s="92">
        <f t="shared" si="124"/>
        <v>2.2214034354427863</v>
      </c>
      <c r="E196" s="91">
        <f t="shared" si="121"/>
        <v>3.2737397821989145E-3</v>
      </c>
      <c r="F196" s="92">
        <f t="shared" si="125"/>
        <v>1.4741415513522684</v>
      </c>
      <c r="G196" s="98">
        <f t="shared" si="117"/>
        <v>1.4717344819111746</v>
      </c>
      <c r="H196" s="91">
        <f t="shared" si="122"/>
        <v>3.2737397821989145E-3</v>
      </c>
      <c r="I196" s="92">
        <f t="shared" si="126"/>
        <v>1.5357023311543829</v>
      </c>
      <c r="J196" s="98">
        <f t="shared" si="118"/>
        <v>1.5331947414669833</v>
      </c>
      <c r="K196" s="91">
        <f t="shared" si="129"/>
        <v>7.6850268366353003E-3</v>
      </c>
      <c r="L196" s="94">
        <f t="shared" si="127"/>
        <v>1.3444180483830461</v>
      </c>
      <c r="M196" s="94">
        <f t="shared" si="130"/>
        <v>1.3425385593318357</v>
      </c>
      <c r="N196" s="99">
        <f>(O197/O194)^(1/3)-1</f>
        <v>1.6474494364142611E-3</v>
      </c>
      <c r="O196" s="97">
        <f t="shared" si="131"/>
        <v>2.127930112267066</v>
      </c>
      <c r="P196" s="97">
        <f t="shared" si="132"/>
        <v>2.1045490883336799</v>
      </c>
      <c r="Q196" s="91">
        <f t="shared" si="123"/>
        <v>1.8151029571962241E-3</v>
      </c>
      <c r="R196" s="117">
        <f t="shared" si="120"/>
        <v>4.4335456800537187E-3</v>
      </c>
    </row>
    <row r="197" spans="2:18">
      <c r="B197" s="88">
        <f t="shared" si="116"/>
        <v>43008</v>
      </c>
      <c r="C197" s="117">
        <f t="shared" si="128"/>
        <v>7.7217997371217262E-3</v>
      </c>
      <c r="D197" s="92">
        <f t="shared" si="124"/>
        <v>2.2385566679066295</v>
      </c>
      <c r="E197" s="91">
        <f t="shared" si="121"/>
        <v>3.2737397821989145E-3</v>
      </c>
      <c r="F197" s="92">
        <f t="shared" si="125"/>
        <v>1.4789675071935229</v>
      </c>
      <c r="G197" s="98">
        <f t="shared" si="117"/>
        <v>1.4765525576334413</v>
      </c>
      <c r="H197" s="91">
        <f t="shared" si="122"/>
        <v>3.2737397821989145E-3</v>
      </c>
      <c r="I197" s="92">
        <f t="shared" si="126"/>
        <v>1.5407298209694986</v>
      </c>
      <c r="J197" s="98">
        <f t="shared" si="118"/>
        <v>1.5382140220859819</v>
      </c>
      <c r="K197" s="91">
        <f t="shared" si="129"/>
        <v>7.6850268366353003E-3</v>
      </c>
      <c r="L197" s="94">
        <f t="shared" si="127"/>
        <v>1.3481875660153801</v>
      </c>
      <c r="M197" s="94">
        <f t="shared" si="130"/>
        <v>1.3463028071992131</v>
      </c>
      <c r="N197" s="99">
        <f>(O197/O194)^(1/3)-1</f>
        <v>1.6474494364142611E-3</v>
      </c>
      <c r="O197" s="97">
        <f t="shared" si="131"/>
        <v>2.1314357695312491</v>
      </c>
      <c r="P197" s="97">
        <f t="shared" si="132"/>
        <v>2.1092839980468741</v>
      </c>
      <c r="Q197" s="91">
        <f t="shared" si="123"/>
        <v>1.8151029571962241E-3</v>
      </c>
      <c r="R197" s="117">
        <f t="shared" si="120"/>
        <v>4.4335456800537187E-3</v>
      </c>
    </row>
    <row r="198" spans="2:18">
      <c r="B198" s="88">
        <f t="shared" ref="B198:B245" si="133">EOMONTH(B197,1)</f>
        <v>43039</v>
      </c>
      <c r="C198" s="117">
        <f t="shared" si="128"/>
        <v>7.7217997371217262E-3</v>
      </c>
      <c r="D198" s="92">
        <f t="shared" si="124"/>
        <v>2.2558423541964032</v>
      </c>
      <c r="E198" s="91">
        <f t="shared" si="121"/>
        <v>3.2737397821989145E-3</v>
      </c>
      <c r="F198" s="92">
        <f t="shared" si="125"/>
        <v>1.4838092619584018</v>
      </c>
      <c r="G198" s="98">
        <f t="shared" si="117"/>
        <v>1.4813864064818734</v>
      </c>
      <c r="H198" s="91">
        <f t="shared" si="122"/>
        <v>3.2737397821989145E-3</v>
      </c>
      <c r="I198" s="92">
        <f t="shared" si="126"/>
        <v>1.5457737694780267</v>
      </c>
      <c r="J198" s="98">
        <f t="shared" si="118"/>
        <v>1.5432497345236211</v>
      </c>
      <c r="K198" s="91">
        <f t="shared" si="129"/>
        <v>7.6850268366353003E-3</v>
      </c>
      <c r="L198" s="94">
        <f t="shared" si="127"/>
        <v>1.3519676527286617</v>
      </c>
      <c r="M198" s="94">
        <f t="shared" si="130"/>
        <v>1.350077609372021</v>
      </c>
      <c r="N198" s="99">
        <f>(O200/O197)^(1/3)-1</f>
        <v>1.6393471970028717E-3</v>
      </c>
      <c r="O198" s="97">
        <f t="shared" si="131"/>
        <v>2.1349299327856217</v>
      </c>
      <c r="P198" s="97">
        <f t="shared" si="132"/>
        <v>2.1127418468567551</v>
      </c>
      <c r="Q198" s="91">
        <f t="shared" si="123"/>
        <v>1.8151029571962241E-3</v>
      </c>
      <c r="R198" s="117">
        <f t="shared" si="120"/>
        <v>4.4335456800537187E-3</v>
      </c>
    </row>
    <row r="199" spans="2:18">
      <c r="B199" s="88">
        <f t="shared" si="133"/>
        <v>43069</v>
      </c>
      <c r="C199" s="117">
        <f t="shared" si="128"/>
        <v>7.7217997371217262E-3</v>
      </c>
      <c r="D199" s="92">
        <f t="shared" si="124"/>
        <v>2.2732615170940251</v>
      </c>
      <c r="E199" s="91">
        <f t="shared" si="121"/>
        <v>3.2737397821989145E-3</v>
      </c>
      <c r="F199" s="92">
        <f t="shared" si="125"/>
        <v>1.4886668673684702</v>
      </c>
      <c r="G199" s="98">
        <f t="shared" si="117"/>
        <v>1.4862360800935819</v>
      </c>
      <c r="H199" s="91">
        <f t="shared" si="122"/>
        <v>3.2737397821989145E-3</v>
      </c>
      <c r="I199" s="92">
        <f t="shared" si="126"/>
        <v>1.5508342305614464</v>
      </c>
      <c r="J199" s="98">
        <f t="shared" si="118"/>
        <v>1.5483019325733989</v>
      </c>
      <c r="K199" s="91">
        <f t="shared" si="129"/>
        <v>7.6850268366353003E-3</v>
      </c>
      <c r="L199" s="94">
        <f t="shared" si="127"/>
        <v>1.3557583381567808</v>
      </c>
      <c r="M199" s="94">
        <f t="shared" si="130"/>
        <v>1.3538629954427213</v>
      </c>
      <c r="N199" s="99">
        <f>(O200/O197)^(1/3)-1</f>
        <v>1.6393471970028717E-3</v>
      </c>
      <c r="O199" s="97">
        <f t="shared" si="131"/>
        <v>2.1384298241867312</v>
      </c>
      <c r="P199" s="97">
        <f t="shared" si="132"/>
        <v>2.1162053642813903</v>
      </c>
      <c r="Q199" s="91">
        <f t="shared" si="123"/>
        <v>1.8151029571962241E-3</v>
      </c>
      <c r="R199" s="117">
        <f t="shared" si="120"/>
        <v>4.4335456800537187E-3</v>
      </c>
    </row>
    <row r="200" spans="2:18">
      <c r="B200" s="88">
        <f t="shared" si="133"/>
        <v>43100</v>
      </c>
      <c r="C200" s="117">
        <f t="shared" si="128"/>
        <v>7.7217997371217262E-3</v>
      </c>
      <c r="D200" s="92">
        <f t="shared" si="124"/>
        <v>2.2908151872791307</v>
      </c>
      <c r="E200" s="91">
        <f t="shared" si="121"/>
        <v>3.2737397821989145E-3</v>
      </c>
      <c r="F200" s="92">
        <f t="shared" si="125"/>
        <v>1.4935403753146157</v>
      </c>
      <c r="G200" s="98">
        <f t="shared" si="117"/>
        <v>1.4911016302747235</v>
      </c>
      <c r="H200" s="91">
        <f t="shared" si="122"/>
        <v>3.2737397821989145E-3</v>
      </c>
      <c r="I200" s="92">
        <f t="shared" si="126"/>
        <v>1.5559112582776313</v>
      </c>
      <c r="J200" s="98">
        <f t="shared" si="118"/>
        <v>1.5533706702049199</v>
      </c>
      <c r="K200" s="91">
        <f t="shared" si="129"/>
        <v>7.6850268366353003E-3</v>
      </c>
      <c r="L200" s="94">
        <f t="shared" si="127"/>
        <v>1.3595596520167164</v>
      </c>
      <c r="M200" s="94">
        <f t="shared" si="130"/>
        <v>1.3576589950867486</v>
      </c>
      <c r="N200" s="99">
        <f>(O200/O197)^(1/3)-1</f>
        <v>1.6393471970028717E-3</v>
      </c>
      <c r="O200" s="97">
        <f t="shared" si="131"/>
        <v>2.141935453124999</v>
      </c>
      <c r="P200" s="97">
        <f t="shared" si="132"/>
        <v>2.1209360859374993</v>
      </c>
      <c r="Q200" s="91">
        <f t="shared" si="123"/>
        <v>1.8151029571962241E-3</v>
      </c>
      <c r="R200" s="117">
        <f t="shared" si="120"/>
        <v>4.4335456800537187E-3</v>
      </c>
    </row>
    <row r="201" spans="2:18">
      <c r="B201" s="88">
        <f t="shared" si="133"/>
        <v>43131</v>
      </c>
      <c r="C201" s="117">
        <f t="shared" si="128"/>
        <v>7.5378416867473153E-3</v>
      </c>
      <c r="D201" s="92">
        <f t="shared" si="124"/>
        <v>2.3080829894944372</v>
      </c>
      <c r="E201" s="91">
        <f t="shared" si="121"/>
        <v>3.2737397821989145E-3</v>
      </c>
      <c r="F201" s="92">
        <f t="shared" si="125"/>
        <v>1.4984298378576035</v>
      </c>
      <c r="G201" s="98">
        <f t="shared" si="117"/>
        <v>1.4959831090010554</v>
      </c>
      <c r="H201" s="91">
        <f t="shared" si="122"/>
        <v>3.2737397821989145E-3</v>
      </c>
      <c r="I201" s="92">
        <f t="shared" si="126"/>
        <v>1.561004906861426</v>
      </c>
      <c r="J201" s="98">
        <f t="shared" si="118"/>
        <v>1.5584560015644708</v>
      </c>
      <c r="K201" s="91">
        <f t="shared" si="129"/>
        <v>7.7160091655235075E-3</v>
      </c>
      <c r="L201" s="94">
        <f t="shared" si="127"/>
        <v>1.3634135423936786</v>
      </c>
      <c r="M201" s="94">
        <f t="shared" si="130"/>
        <v>1.3614865972051975</v>
      </c>
      <c r="N201" s="99">
        <f>(O203/O200)^(1/3)-1</f>
        <v>1.6638965793120963E-3</v>
      </c>
      <c r="O201" s="97">
        <f t="shared" si="131"/>
        <v>2.1454994121985611</v>
      </c>
      <c r="P201" s="97">
        <f t="shared" si="132"/>
        <v>2.1244651042358305</v>
      </c>
      <c r="Q201" s="91">
        <f t="shared" si="123"/>
        <v>1.8151029571962241E-3</v>
      </c>
      <c r="R201" s="117">
        <f t="shared" si="120"/>
        <v>4.2501878953535854E-3</v>
      </c>
    </row>
    <row r="202" spans="2:18">
      <c r="B202" s="88">
        <f t="shared" si="133"/>
        <v>43159</v>
      </c>
      <c r="C202" s="117">
        <f t="shared" si="128"/>
        <v>7.5378416867473153E-3</v>
      </c>
      <c r="D202" s="92">
        <f t="shared" si="124"/>
        <v>2.3254809536691208</v>
      </c>
      <c r="E202" s="91">
        <f t="shared" si="121"/>
        <v>3.2737397821989145E-3</v>
      </c>
      <c r="F202" s="92">
        <f t="shared" si="125"/>
        <v>1.5033353072286317</v>
      </c>
      <c r="G202" s="98">
        <f t="shared" si="117"/>
        <v>1.5008805684184898</v>
      </c>
      <c r="H202" s="91">
        <f t="shared" si="122"/>
        <v>3.2737397821989145E-3</v>
      </c>
      <c r="I202" s="92">
        <f t="shared" si="126"/>
        <v>1.566115230725226</v>
      </c>
      <c r="J202" s="98">
        <f t="shared" si="118"/>
        <v>1.5635579809755991</v>
      </c>
      <c r="K202" s="91">
        <f t="shared" si="129"/>
        <v>7.7160091655235075E-3</v>
      </c>
      <c r="L202" s="94">
        <f t="shared" si="127"/>
        <v>1.3672783572424105</v>
      </c>
      <c r="M202" s="94">
        <f t="shared" si="130"/>
        <v>1.3653459498180447</v>
      </c>
      <c r="N202" s="99">
        <f>(O203/O200)^(1/3)-1</f>
        <v>1.6638965793120963E-3</v>
      </c>
      <c r="O202" s="97">
        <f t="shared" si="131"/>
        <v>2.1490693013314344</v>
      </c>
      <c r="P202" s="97">
        <f t="shared" si="132"/>
        <v>2.1279999944556365</v>
      </c>
      <c r="Q202" s="91">
        <f t="shared" si="123"/>
        <v>1.8151029571962241E-3</v>
      </c>
      <c r="R202" s="117">
        <f t="shared" si="120"/>
        <v>4.2501878953535854E-3</v>
      </c>
    </row>
    <row r="203" spans="2:18">
      <c r="B203" s="88">
        <f t="shared" si="133"/>
        <v>43190</v>
      </c>
      <c r="C203" s="117">
        <f t="shared" si="128"/>
        <v>7.5378416867473153E-3</v>
      </c>
      <c r="D203" s="92">
        <f t="shared" si="124"/>
        <v>2.3430100609434246</v>
      </c>
      <c r="E203" s="91">
        <f t="shared" si="121"/>
        <v>3.2737397821989145E-3</v>
      </c>
      <c r="F203" s="92">
        <f t="shared" si="125"/>
        <v>1.5082568358298902</v>
      </c>
      <c r="G203" s="98">
        <f t="shared" si="117"/>
        <v>1.5057940608436506</v>
      </c>
      <c r="H203" s="91">
        <f t="shared" si="122"/>
        <v>3.2737397821989145E-3</v>
      </c>
      <c r="I203" s="92">
        <f t="shared" si="126"/>
        <v>1.5712422844595588</v>
      </c>
      <c r="J203" s="98">
        <f t="shared" si="118"/>
        <v>1.5686766629396935</v>
      </c>
      <c r="K203" s="91">
        <f t="shared" si="129"/>
        <v>7.7160091655235075E-3</v>
      </c>
      <c r="L203" s="94">
        <f t="shared" si="127"/>
        <v>1.3711541275300834</v>
      </c>
      <c r="M203" s="94">
        <f t="shared" si="130"/>
        <v>1.3692162423862468</v>
      </c>
      <c r="N203" s="99">
        <f>(O203/O200)^(1/3)-1</f>
        <v>1.6638965793120963E-3</v>
      </c>
      <c r="O203" s="97">
        <f t="shared" si="131"/>
        <v>2.1526451303906242</v>
      </c>
      <c r="P203" s="97">
        <f t="shared" si="132"/>
        <v>2.1315407663671868</v>
      </c>
      <c r="Q203" s="91">
        <f t="shared" si="123"/>
        <v>1.8151029571962241E-3</v>
      </c>
      <c r="R203" s="117">
        <f t="shared" si="120"/>
        <v>4.2501878953535854E-3</v>
      </c>
    </row>
    <row r="204" spans="2:18">
      <c r="B204" s="88">
        <f t="shared" si="133"/>
        <v>43220</v>
      </c>
      <c r="C204" s="117">
        <f t="shared" si="128"/>
        <v>7.5378416867473153E-3</v>
      </c>
      <c r="D204" s="92">
        <f t="shared" si="124"/>
        <v>2.3606712998532724</v>
      </c>
      <c r="E204" s="91">
        <f t="shared" si="121"/>
        <v>3.2737397821989145E-3</v>
      </c>
      <c r="F204" s="92">
        <f t="shared" si="125"/>
        <v>1.5131944762351199</v>
      </c>
      <c r="G204" s="98">
        <f t="shared" ref="G204:G267" si="134">+F203*(F204/F203)^(0.5)</f>
        <v>1.5107236387644334</v>
      </c>
      <c r="H204" s="91">
        <f t="shared" si="122"/>
        <v>3.2737397821989145E-3</v>
      </c>
      <c r="I204" s="92">
        <f t="shared" si="126"/>
        <v>1.5763861228336671</v>
      </c>
      <c r="J204" s="98">
        <f t="shared" ref="J204:J267" si="135">+I203*(I204/I203)^(0.5)</f>
        <v>1.5738121021365663</v>
      </c>
      <c r="K204" s="91">
        <f t="shared" si="129"/>
        <v>7.7160091655235075E-3</v>
      </c>
      <c r="L204" s="94">
        <f t="shared" si="127"/>
        <v>1.3750408843116499</v>
      </c>
      <c r="M204" s="94">
        <f t="shared" ref="M204:M267" si="136">AVERAGE(L204,L203)</f>
        <v>1.3730975059208665</v>
      </c>
      <c r="N204" s="99">
        <f>(O206/O203)^(1/3)-1</f>
        <v>1.6556321620859737E-3</v>
      </c>
      <c r="O204" s="97">
        <f t="shared" si="131"/>
        <v>2.1562091189020567</v>
      </c>
      <c r="P204" s="97">
        <f t="shared" si="132"/>
        <v>2.1350698138147819</v>
      </c>
      <c r="Q204" s="91">
        <f t="shared" si="123"/>
        <v>1.8151029571962241E-3</v>
      </c>
      <c r="R204" s="117">
        <f t="shared" si="120"/>
        <v>4.2501878953535854E-3</v>
      </c>
    </row>
    <row r="205" spans="2:18">
      <c r="B205" s="88">
        <f t="shared" si="133"/>
        <v>43251</v>
      </c>
      <c r="C205" s="117">
        <f t="shared" si="128"/>
        <v>7.5378416867473153E-3</v>
      </c>
      <c r="D205" s="92">
        <f t="shared" si="124"/>
        <v>2.3784656663860142</v>
      </c>
      <c r="E205" s="91">
        <f t="shared" si="121"/>
        <v>3.2737397821989145E-3</v>
      </c>
      <c r="F205" s="92">
        <f t="shared" si="125"/>
        <v>1.5181482811901745</v>
      </c>
      <c r="G205" s="98">
        <f t="shared" si="134"/>
        <v>1.5156693548405646</v>
      </c>
      <c r="H205" s="91">
        <f t="shared" si="122"/>
        <v>3.2737397821989145E-3</v>
      </c>
      <c r="I205" s="92">
        <f t="shared" si="126"/>
        <v>1.581546800796094</v>
      </c>
      <c r="J205" s="98">
        <f t="shared" si="135"/>
        <v>1.5789643534250368</v>
      </c>
      <c r="K205" s="91">
        <f t="shared" si="129"/>
        <v>7.7160091655235075E-3</v>
      </c>
      <c r="L205" s="94">
        <f t="shared" si="127"/>
        <v>1.3789386587300931</v>
      </c>
      <c r="M205" s="94">
        <f t="shared" si="136"/>
        <v>1.3769897715208717</v>
      </c>
      <c r="N205" s="99">
        <f>(O206/O203)^(1/3)-1</f>
        <v>1.6556321620859737E-3</v>
      </c>
      <c r="O205" s="97">
        <f t="shared" si="131"/>
        <v>2.1597790080674941</v>
      </c>
      <c r="P205" s="97">
        <f t="shared" si="132"/>
        <v>2.1386047040668323</v>
      </c>
      <c r="Q205" s="91">
        <f t="shared" si="123"/>
        <v>1.8151029571962241E-3</v>
      </c>
      <c r="R205" s="117">
        <f t="shared" ref="R205:R268" si="137">IF(ISERROR((1+HLOOKUP(B205,$B$5:$EX$36,21,FALSE))^(1/3)-1),R206,(1+HLOOKUP(B205,$B$5:$EX$36,21,FALSE))^(1/3)-1)</f>
        <v>4.2501878953535854E-3</v>
      </c>
    </row>
    <row r="206" spans="2:18">
      <c r="B206" s="88">
        <f t="shared" si="133"/>
        <v>43281</v>
      </c>
      <c r="C206" s="117">
        <f t="shared" si="128"/>
        <v>7.5378416867473153E-3</v>
      </c>
      <c r="D206" s="92">
        <f t="shared" si="124"/>
        <v>2.3963941640365958</v>
      </c>
      <c r="E206" s="91">
        <f t="shared" si="121"/>
        <v>3.2737397821989145E-3</v>
      </c>
      <c r="F206" s="92">
        <f t="shared" si="125"/>
        <v>1.5231183036135838</v>
      </c>
      <c r="G206" s="98">
        <f t="shared" si="134"/>
        <v>1.520631261904166</v>
      </c>
      <c r="H206" s="91">
        <f t="shared" si="122"/>
        <v>3.2737397821989145E-3</v>
      </c>
      <c r="I206" s="92">
        <f t="shared" si="126"/>
        <v>1.5867243734752696</v>
      </c>
      <c r="J206" s="98">
        <f t="shared" si="135"/>
        <v>1.5841334718435183</v>
      </c>
      <c r="K206" s="91">
        <f t="shared" si="129"/>
        <v>7.7160091655235075E-3</v>
      </c>
      <c r="L206" s="94">
        <f t="shared" si="127"/>
        <v>1.3828474820166756</v>
      </c>
      <c r="M206" s="94">
        <f t="shared" si="136"/>
        <v>1.3808930703733844</v>
      </c>
      <c r="N206" s="99">
        <f>(O206/O203)^(1/3)-1</f>
        <v>1.6556321620859737E-3</v>
      </c>
      <c r="O206" s="97">
        <f t="shared" si="131"/>
        <v>2.163354807656249</v>
      </c>
      <c r="P206" s="97">
        <f t="shared" si="132"/>
        <v>2.1421454467968744</v>
      </c>
      <c r="Q206" s="91">
        <f t="shared" si="123"/>
        <v>1.8151029571962241E-3</v>
      </c>
      <c r="R206" s="117">
        <f t="shared" si="137"/>
        <v>4.2501878953535854E-3</v>
      </c>
    </row>
    <row r="207" spans="2:18">
      <c r="B207" s="88">
        <f t="shared" si="133"/>
        <v>43312</v>
      </c>
      <c r="C207" s="117">
        <f t="shared" si="128"/>
        <v>7.5378416867473153E-3</v>
      </c>
      <c r="D207" s="92">
        <f t="shared" si="124"/>
        <v>2.4144578038641487</v>
      </c>
      <c r="E207" s="91">
        <f t="shared" si="121"/>
        <v>3.2737397821989145E-3</v>
      </c>
      <c r="F207" s="92">
        <f t="shared" si="125"/>
        <v>1.5281045965971189</v>
      </c>
      <c r="G207" s="98">
        <f t="shared" si="134"/>
        <v>1.525609412960317</v>
      </c>
      <c r="H207" s="91">
        <f t="shared" si="122"/>
        <v>3.2737397821989145E-3</v>
      </c>
      <c r="I207" s="92">
        <f t="shared" si="126"/>
        <v>1.5919188961801003</v>
      </c>
      <c r="J207" s="98">
        <f t="shared" si="135"/>
        <v>1.5893195126106054</v>
      </c>
      <c r="K207" s="91">
        <f t="shared" si="129"/>
        <v>7.7160091655235075E-3</v>
      </c>
      <c r="L207" s="94">
        <f t="shared" si="127"/>
        <v>1.3867673854911904</v>
      </c>
      <c r="M207" s="94">
        <f t="shared" si="136"/>
        <v>1.3848074337539331</v>
      </c>
      <c r="N207" s="99">
        <f>(O209/O206)^(1/3)-1</f>
        <v>1.6474494364142611E-3</v>
      </c>
      <c r="O207" s="97">
        <f t="shared" si="131"/>
        <v>2.1669188253148866</v>
      </c>
      <c r="P207" s="97">
        <f t="shared" si="132"/>
        <v>2.1456745231059173</v>
      </c>
      <c r="Q207" s="91">
        <f t="shared" si="123"/>
        <v>1.8151029571962241E-3</v>
      </c>
      <c r="R207" s="117">
        <f t="shared" si="137"/>
        <v>4.2501878953535854E-3</v>
      </c>
    </row>
    <row r="208" spans="2:18">
      <c r="B208" s="88">
        <f t="shared" si="133"/>
        <v>43343</v>
      </c>
      <c r="C208" s="117">
        <f t="shared" si="128"/>
        <v>7.5378416867473153E-3</v>
      </c>
      <c r="D208" s="92">
        <f t="shared" si="124"/>
        <v>2.432657604549008</v>
      </c>
      <c r="E208" s="91">
        <f t="shared" si="121"/>
        <v>3.2737397821989145E-3</v>
      </c>
      <c r="F208" s="92">
        <f t="shared" si="125"/>
        <v>1.5331072134063599</v>
      </c>
      <c r="G208" s="98">
        <f t="shared" si="134"/>
        <v>1.5306038611876225</v>
      </c>
      <c r="H208" s="91">
        <f t="shared" si="122"/>
        <v>3.2737397821989145E-3</v>
      </c>
      <c r="I208" s="92">
        <f t="shared" si="126"/>
        <v>1.5971304244005593</v>
      </c>
      <c r="J208" s="98">
        <f t="shared" si="135"/>
        <v>1.5945225311256637</v>
      </c>
      <c r="K208" s="91">
        <f t="shared" si="129"/>
        <v>7.7160091655235075E-3</v>
      </c>
      <c r="L208" s="94">
        <f t="shared" si="127"/>
        <v>1.3906984005622112</v>
      </c>
      <c r="M208" s="94">
        <f t="shared" si="136"/>
        <v>1.3887328930267007</v>
      </c>
      <c r="N208" s="99">
        <f>(O209/O206)^(1/3)-1</f>
        <v>1.6474494364142611E-3</v>
      </c>
      <c r="O208" s="97">
        <f t="shared" si="131"/>
        <v>2.1704887145124072</v>
      </c>
      <c r="P208" s="97">
        <f t="shared" si="132"/>
        <v>2.1492094133897366</v>
      </c>
      <c r="Q208" s="91">
        <f t="shared" si="123"/>
        <v>1.8151029571962241E-3</v>
      </c>
      <c r="R208" s="117">
        <f t="shared" si="137"/>
        <v>4.2501878953535854E-3</v>
      </c>
    </row>
    <row r="209" spans="2:18">
      <c r="B209" s="88">
        <f t="shared" si="133"/>
        <v>43373</v>
      </c>
      <c r="C209" s="117">
        <f t="shared" si="128"/>
        <v>7.5378416867473153E-3</v>
      </c>
      <c r="D209" s="92">
        <f t="shared" si="124"/>
        <v>2.4509945924501606</v>
      </c>
      <c r="E209" s="91">
        <f t="shared" si="121"/>
        <v>3.2737397821989145E-3</v>
      </c>
      <c r="F209" s="92">
        <f t="shared" si="125"/>
        <v>1.5381262074812645</v>
      </c>
      <c r="G209" s="98">
        <f t="shared" si="134"/>
        <v>1.5356146599387797</v>
      </c>
      <c r="H209" s="91">
        <f t="shared" si="122"/>
        <v>3.2737397821989145E-3</v>
      </c>
      <c r="I209" s="92">
        <f t="shared" si="126"/>
        <v>1.6023590138082797</v>
      </c>
      <c r="J209" s="98">
        <f t="shared" si="135"/>
        <v>1.5997425829694223</v>
      </c>
      <c r="K209" s="91">
        <f t="shared" si="129"/>
        <v>7.7160091655235075E-3</v>
      </c>
      <c r="L209" s="94">
        <f t="shared" si="127"/>
        <v>1.3946405587273443</v>
      </c>
      <c r="M209" s="94">
        <f t="shared" si="136"/>
        <v>1.3926694796447778</v>
      </c>
      <c r="N209" s="99">
        <f>(O209/O206)^(1/3)-1</f>
        <v>1.6474494364142611E-3</v>
      </c>
      <c r="O209" s="97">
        <f t="shared" si="131"/>
        <v>2.1740644849218738</v>
      </c>
      <c r="P209" s="97">
        <f t="shared" si="132"/>
        <v>2.1527501272265619</v>
      </c>
      <c r="Q209" s="91">
        <f t="shared" si="123"/>
        <v>1.8151029571962241E-3</v>
      </c>
      <c r="R209" s="117">
        <f t="shared" si="137"/>
        <v>4.2501878953535854E-3</v>
      </c>
    </row>
    <row r="210" spans="2:18">
      <c r="B210" s="88">
        <f t="shared" si="133"/>
        <v>43404</v>
      </c>
      <c r="C210" s="117">
        <f t="shared" si="128"/>
        <v>7.5378416867473153E-3</v>
      </c>
      <c r="D210" s="92">
        <f t="shared" si="124"/>
        <v>2.4694698016631236</v>
      </c>
      <c r="E210" s="91">
        <f t="shared" si="121"/>
        <v>3.2737397821989145E-3</v>
      </c>
      <c r="F210" s="92">
        <f t="shared" si="125"/>
        <v>1.5431616324367388</v>
      </c>
      <c r="G210" s="98">
        <f t="shared" si="134"/>
        <v>1.5406418627411491</v>
      </c>
      <c r="H210" s="91">
        <f t="shared" si="122"/>
        <v>3.2737397821989145E-3</v>
      </c>
      <c r="I210" s="92">
        <f t="shared" si="126"/>
        <v>1.6076047202571488</v>
      </c>
      <c r="J210" s="98">
        <f t="shared" si="135"/>
        <v>1.6049797239045671</v>
      </c>
      <c r="K210" s="91">
        <f t="shared" si="129"/>
        <v>7.7160091655235075E-3</v>
      </c>
      <c r="L210" s="94">
        <f t="shared" si="127"/>
        <v>1.3985938915734815</v>
      </c>
      <c r="M210" s="94">
        <f t="shared" si="136"/>
        <v>1.396617225150413</v>
      </c>
      <c r="N210" s="99">
        <f>(O212/O209)^(1/3)-1</f>
        <v>1.6393471970028717E-3</v>
      </c>
      <c r="O210" s="97">
        <f t="shared" si="131"/>
        <v>2.1776285314413339</v>
      </c>
      <c r="P210" s="97">
        <f t="shared" si="132"/>
        <v>2.1562792321134783</v>
      </c>
      <c r="Q210" s="91">
        <f t="shared" si="123"/>
        <v>1.8151029571962241E-3</v>
      </c>
      <c r="R210" s="117">
        <f t="shared" si="137"/>
        <v>4.2501878953535854E-3</v>
      </c>
    </row>
    <row r="211" spans="2:18">
      <c r="B211" s="88">
        <f t="shared" si="133"/>
        <v>43434</v>
      </c>
      <c r="C211" s="117">
        <f t="shared" si="128"/>
        <v>7.5378416867473153E-3</v>
      </c>
      <c r="D211" s="92">
        <f t="shared" si="124"/>
        <v>2.4880842740782634</v>
      </c>
      <c r="E211" s="91">
        <f t="shared" si="121"/>
        <v>3.2737397821989145E-3</v>
      </c>
      <c r="F211" s="92">
        <f t="shared" si="125"/>
        <v>1.5482135420632099</v>
      </c>
      <c r="G211" s="98">
        <f t="shared" si="134"/>
        <v>1.5456855232973259</v>
      </c>
      <c r="H211" s="91">
        <f t="shared" si="122"/>
        <v>3.2737397821989145E-3</v>
      </c>
      <c r="I211" s="92">
        <f t="shared" si="126"/>
        <v>1.6128675997839055</v>
      </c>
      <c r="J211" s="98">
        <f t="shared" si="135"/>
        <v>1.6102340098763359</v>
      </c>
      <c r="K211" s="91">
        <f t="shared" si="129"/>
        <v>7.7160091655235075E-3</v>
      </c>
      <c r="L211" s="94">
        <f t="shared" si="127"/>
        <v>1.402558430777052</v>
      </c>
      <c r="M211" s="94">
        <f t="shared" si="136"/>
        <v>1.4005761611752667</v>
      </c>
      <c r="N211" s="99">
        <f>(O212/O209)^(1/3)-1</f>
        <v>1.6393471970028717E-3</v>
      </c>
      <c r="O211" s="97">
        <f t="shared" si="131"/>
        <v>2.1811984206704658</v>
      </c>
      <c r="P211" s="97">
        <f t="shared" si="132"/>
        <v>2.1598141224285992</v>
      </c>
      <c r="Q211" s="91">
        <f t="shared" si="123"/>
        <v>1.8151029571962241E-3</v>
      </c>
      <c r="R211" s="117">
        <f t="shared" si="137"/>
        <v>4.2501878953535854E-3</v>
      </c>
    </row>
    <row r="212" spans="2:18">
      <c r="B212" s="88">
        <f t="shared" si="133"/>
        <v>43465</v>
      </c>
      <c r="C212" s="117">
        <f t="shared" si="128"/>
        <v>7.5378416867473153E-3</v>
      </c>
      <c r="D212" s="92">
        <f t="shared" si="124"/>
        <v>2.5068390594395509</v>
      </c>
      <c r="E212" s="91">
        <f t="shared" si="121"/>
        <v>3.2737397821989145E-3</v>
      </c>
      <c r="F212" s="92">
        <f t="shared" si="125"/>
        <v>1.5532819903272013</v>
      </c>
      <c r="G212" s="98">
        <f t="shared" si="134"/>
        <v>1.5507456954857133</v>
      </c>
      <c r="H212" s="91">
        <f t="shared" si="122"/>
        <v>3.2737397821989145E-3</v>
      </c>
      <c r="I212" s="92">
        <f t="shared" si="126"/>
        <v>1.6181477086087377</v>
      </c>
      <c r="J212" s="98">
        <f t="shared" si="135"/>
        <v>1.615505497013118</v>
      </c>
      <c r="K212" s="91">
        <f t="shared" si="129"/>
        <v>7.7160091655235075E-3</v>
      </c>
      <c r="L212" s="94">
        <f t="shared" si="127"/>
        <v>1.4065342081042775</v>
      </c>
      <c r="M212" s="94">
        <f t="shared" si="136"/>
        <v>1.4045463194406649</v>
      </c>
      <c r="N212" s="99">
        <f>(O212/O209)^(1/3)-1</f>
        <v>1.6393471970028717E-3</v>
      </c>
      <c r="O212" s="97">
        <f t="shared" si="131"/>
        <v>2.184774162187499</v>
      </c>
      <c r="P212" s="97">
        <f t="shared" si="132"/>
        <v>2.163354807656249</v>
      </c>
      <c r="Q212" s="91">
        <f t="shared" si="123"/>
        <v>1.8151029571962241E-3</v>
      </c>
      <c r="R212" s="117">
        <f t="shared" si="137"/>
        <v>4.2501878953535854E-3</v>
      </c>
    </row>
    <row r="213" spans="2:18">
      <c r="B213" s="88">
        <f t="shared" si="133"/>
        <v>43496</v>
      </c>
      <c r="C213" s="117">
        <f t="shared" si="128"/>
        <v>7.5301687448090515E-3</v>
      </c>
      <c r="D213" s="92">
        <f t="shared" si="124"/>
        <v>2.5257159805732092</v>
      </c>
      <c r="E213" s="91">
        <f t="shared" si="121"/>
        <v>3.2737397821989145E-3</v>
      </c>
      <c r="F213" s="92">
        <f t="shared" si="125"/>
        <v>1.5583670313719085</v>
      </c>
      <c r="G213" s="98">
        <f t="shared" si="134"/>
        <v>1.5558224333610986</v>
      </c>
      <c r="H213" s="91">
        <f t="shared" si="122"/>
        <v>3.2737397821989145E-3</v>
      </c>
      <c r="I213" s="92">
        <f t="shared" si="126"/>
        <v>1.6234451031358841</v>
      </c>
      <c r="J213" s="98">
        <f t="shared" si="135"/>
        <v>1.6207942416270507</v>
      </c>
      <c r="K213" s="91">
        <f t="shared" si="129"/>
        <v>7.8089618678098827E-3</v>
      </c>
      <c r="L213" s="94">
        <f t="shared" si="127"/>
        <v>1.4106513632603939</v>
      </c>
      <c r="M213" s="94">
        <f t="shared" si="136"/>
        <v>1.4085927856823357</v>
      </c>
      <c r="N213" s="99">
        <f>(O215/O212)^(1/3)-1</f>
        <v>1.6638965793120963E-3</v>
      </c>
      <c r="O213" s="97">
        <f t="shared" si="131"/>
        <v>2.1884094004425321</v>
      </c>
      <c r="P213" s="97">
        <f t="shared" si="132"/>
        <v>2.1669544063205466</v>
      </c>
      <c r="Q213" s="91">
        <f t="shared" si="123"/>
        <v>1.8151029571962241E-3</v>
      </c>
      <c r="R213" s="117">
        <f t="shared" si="137"/>
        <v>4.2425399906651506E-3</v>
      </c>
    </row>
    <row r="214" spans="2:18">
      <c r="B214" s="88">
        <f t="shared" si="133"/>
        <v>43524</v>
      </c>
      <c r="C214" s="117">
        <f t="shared" si="128"/>
        <v>7.5301687448090515E-3</v>
      </c>
      <c r="D214" s="92">
        <f t="shared" si="124"/>
        <v>2.5447350481083864</v>
      </c>
      <c r="E214" s="91">
        <f t="shared" si="121"/>
        <v>3.2737397821989145E-3</v>
      </c>
      <c r="F214" s="92">
        <f t="shared" si="125"/>
        <v>1.5634687195177779</v>
      </c>
      <c r="G214" s="98">
        <f t="shared" si="134"/>
        <v>1.5609157911552303</v>
      </c>
      <c r="H214" s="91">
        <f t="shared" si="122"/>
        <v>3.2737397821989145E-3</v>
      </c>
      <c r="I214" s="92">
        <f t="shared" si="126"/>
        <v>1.628759839954236</v>
      </c>
      <c r="J214" s="98">
        <f t="shared" si="135"/>
        <v>1.6261003002146242</v>
      </c>
      <c r="K214" s="91">
        <f t="shared" si="129"/>
        <v>7.8089618678098827E-3</v>
      </c>
      <c r="L214" s="94">
        <f t="shared" si="127"/>
        <v>1.414780570001521</v>
      </c>
      <c r="M214" s="94">
        <f t="shared" si="136"/>
        <v>1.4127159666309574</v>
      </c>
      <c r="N214" s="99">
        <f>(O215/O212)^(1/3)-1</f>
        <v>1.6638965793120963E-3</v>
      </c>
      <c r="O214" s="97">
        <f t="shared" si="131"/>
        <v>2.192050687358063</v>
      </c>
      <c r="P214" s="97">
        <f t="shared" si="132"/>
        <v>2.1705599943447487</v>
      </c>
      <c r="Q214" s="91">
        <f t="shared" si="123"/>
        <v>1.8151029571962241E-3</v>
      </c>
      <c r="R214" s="117">
        <f t="shared" si="137"/>
        <v>4.2425399906651506E-3</v>
      </c>
    </row>
    <row r="215" spans="2:18">
      <c r="B215" s="88">
        <f t="shared" si="133"/>
        <v>43555</v>
      </c>
      <c r="C215" s="117">
        <f t="shared" si="128"/>
        <v>7.5301687448090515E-3</v>
      </c>
      <c r="D215" s="92">
        <f t="shared" si="124"/>
        <v>2.5638973324314724</v>
      </c>
      <c r="E215" s="91">
        <f t="shared" si="121"/>
        <v>3.2737397821989145E-3</v>
      </c>
      <c r="F215" s="92">
        <f t="shared" si="125"/>
        <v>1.5685871092630868</v>
      </c>
      <c r="G215" s="98">
        <f t="shared" si="134"/>
        <v>1.5660258232773976</v>
      </c>
      <c r="H215" s="91">
        <f t="shared" si="122"/>
        <v>3.2737397821989145E-3</v>
      </c>
      <c r="I215" s="92">
        <f t="shared" si="126"/>
        <v>1.6340919758379422</v>
      </c>
      <c r="J215" s="98">
        <f t="shared" si="135"/>
        <v>1.6314237294572822</v>
      </c>
      <c r="K215" s="91">
        <f t="shared" si="129"/>
        <v>7.8089618678098827E-3</v>
      </c>
      <c r="L215" s="94">
        <f t="shared" si="127"/>
        <v>1.418921863604615</v>
      </c>
      <c r="M215" s="94">
        <f t="shared" si="136"/>
        <v>1.416851216803068</v>
      </c>
      <c r="N215" s="99">
        <f>(O215/O212)^(1/3)-1</f>
        <v>1.6638965793120963E-3</v>
      </c>
      <c r="O215" s="97">
        <f t="shared" si="131"/>
        <v>2.1956980329984366</v>
      </c>
      <c r="P215" s="97">
        <f t="shared" si="132"/>
        <v>2.1741715816945302</v>
      </c>
      <c r="Q215" s="91">
        <f t="shared" si="123"/>
        <v>1.8151029571962241E-3</v>
      </c>
      <c r="R215" s="117">
        <f t="shared" si="137"/>
        <v>4.2425399906651506E-3</v>
      </c>
    </row>
    <row r="216" spans="2:18">
      <c r="B216" s="88">
        <f t="shared" si="133"/>
        <v>43585</v>
      </c>
      <c r="C216" s="117">
        <f t="shared" si="128"/>
        <v>7.5301687448090515E-3</v>
      </c>
      <c r="D216" s="92">
        <f t="shared" si="124"/>
        <v>2.5832039119890471</v>
      </c>
      <c r="E216" s="91">
        <f t="shared" si="121"/>
        <v>3.2737397821989145E-3</v>
      </c>
      <c r="F216" s="92">
        <f t="shared" si="125"/>
        <v>1.5737222552845258</v>
      </c>
      <c r="G216" s="98">
        <f t="shared" si="134"/>
        <v>1.5711525843150116</v>
      </c>
      <c r="H216" s="91">
        <f t="shared" si="122"/>
        <v>3.2737397821989145E-3</v>
      </c>
      <c r="I216" s="92">
        <f t="shared" si="126"/>
        <v>1.6394415677470149</v>
      </c>
      <c r="J216" s="98">
        <f t="shared" si="135"/>
        <v>1.6367645862220299</v>
      </c>
      <c r="K216" s="91">
        <f t="shared" si="129"/>
        <v>7.8089618678098827E-3</v>
      </c>
      <c r="L216" s="94">
        <f t="shared" si="127"/>
        <v>1.4230752794498931</v>
      </c>
      <c r="M216" s="94">
        <f t="shared" si="136"/>
        <v>1.420998571527254</v>
      </c>
      <c r="N216" s="99">
        <f>(O218/O215)^(1/3)-1</f>
        <v>1.6556321620861958E-3</v>
      </c>
      <c r="O216" s="97">
        <f t="shared" si="131"/>
        <v>2.1993333012800984</v>
      </c>
      <c r="P216" s="97">
        <f t="shared" si="132"/>
        <v>2.1777712100910773</v>
      </c>
      <c r="Q216" s="91">
        <f t="shared" si="123"/>
        <v>1.8151029571962241E-3</v>
      </c>
      <c r="R216" s="117">
        <f t="shared" si="137"/>
        <v>4.2425399906651506E-3</v>
      </c>
    </row>
    <row r="217" spans="2:18">
      <c r="B217" s="88">
        <f t="shared" si="133"/>
        <v>43616</v>
      </c>
      <c r="C217" s="117">
        <f t="shared" si="128"/>
        <v>7.5301687448090515E-3</v>
      </c>
      <c r="D217" s="92">
        <f t="shared" si="124"/>
        <v>2.6026558733485756</v>
      </c>
      <c r="E217" s="91">
        <f t="shared" si="121"/>
        <v>3.2737397821989145E-3</v>
      </c>
      <c r="F217" s="92">
        <f t="shared" si="125"/>
        <v>1.5788742124377826</v>
      </c>
      <c r="G217" s="98">
        <f t="shared" si="134"/>
        <v>1.5762961290341884</v>
      </c>
      <c r="H217" s="91">
        <f t="shared" si="122"/>
        <v>3.2737397821989145E-3</v>
      </c>
      <c r="I217" s="92">
        <f t="shared" si="126"/>
        <v>1.6448086728279387</v>
      </c>
      <c r="J217" s="98">
        <f t="shared" si="135"/>
        <v>1.6421229275620393</v>
      </c>
      <c r="K217" s="91">
        <f t="shared" si="129"/>
        <v>7.8089618678098827E-3</v>
      </c>
      <c r="L217" s="94">
        <f t="shared" si="127"/>
        <v>1.4272408530211365</v>
      </c>
      <c r="M217" s="94">
        <f t="shared" si="136"/>
        <v>1.4251580662355148</v>
      </c>
      <c r="N217" s="99">
        <f>(O218/O215)^(1/3)-1</f>
        <v>1.6556321620861958E-3</v>
      </c>
      <c r="O217" s="97">
        <f t="shared" si="131"/>
        <v>2.202974588228845</v>
      </c>
      <c r="P217" s="97">
        <f t="shared" si="132"/>
        <v>2.1813767981481695</v>
      </c>
      <c r="Q217" s="91">
        <f t="shared" si="123"/>
        <v>1.8151029571962241E-3</v>
      </c>
      <c r="R217" s="117">
        <f t="shared" si="137"/>
        <v>4.2425399906651506E-3</v>
      </c>
    </row>
    <row r="218" spans="2:18">
      <c r="B218" s="88">
        <f t="shared" si="133"/>
        <v>43646</v>
      </c>
      <c r="C218" s="117">
        <f t="shared" si="128"/>
        <v>7.5301687448090515E-3</v>
      </c>
      <c r="D218" s="92">
        <f t="shared" si="124"/>
        <v>2.6222543112595589</v>
      </c>
      <c r="E218" s="91">
        <f t="shared" ref="E218:E281" si="138">IF(ISERROR((1+HLOOKUP(B218,$B$5:$GB$36,7,FALSE))^(1/3)-1),E219,(1+HLOOKUP(B218,$B$5:$GB$36,7,FALSE))^(1/3)-1)</f>
        <v>3.2737397821989145E-3</v>
      </c>
      <c r="F218" s="92">
        <f t="shared" si="125"/>
        <v>1.5840430357581281</v>
      </c>
      <c r="G218" s="98">
        <f t="shared" si="134"/>
        <v>1.5814565123803337</v>
      </c>
      <c r="H218" s="91">
        <f t="shared" ref="H218:H281" si="139">IF(ISERROR((1+HLOOKUP(B218,$B$5:$GB$36,8,FALSE))^(1/3)-1),H219,(1+HLOOKUP(B218,$B$5:$GB$36,8,FALSE))^(1/3)-1)</f>
        <v>3.2737397821989145E-3</v>
      </c>
      <c r="I218" s="92">
        <f t="shared" si="126"/>
        <v>1.6501933484142814</v>
      </c>
      <c r="J218" s="98">
        <f t="shared" si="135"/>
        <v>1.6474988107172601</v>
      </c>
      <c r="K218" s="91">
        <f t="shared" si="129"/>
        <v>7.8089618678098827E-3</v>
      </c>
      <c r="L218" s="94">
        <f t="shared" si="127"/>
        <v>1.4314186199059928</v>
      </c>
      <c r="M218" s="94">
        <f t="shared" si="136"/>
        <v>1.4293297364635646</v>
      </c>
      <c r="N218" s="99">
        <f>(O218/O215)^(1/3)-1</f>
        <v>1.6556321620861958E-3</v>
      </c>
      <c r="O218" s="97">
        <f t="shared" si="131"/>
        <v>2.2066219038093742</v>
      </c>
      <c r="P218" s="97">
        <f t="shared" si="132"/>
        <v>2.1849883557328118</v>
      </c>
      <c r="Q218" s="91">
        <f t="shared" ref="Q218:Q281" si="140">IF(ISERROR((1+HLOOKUP(B218,$B$5:$EX$36,$A$32,FALSE))^(1/3)-1),Q219,(1+HLOOKUP(B218,$B$5:$EX$36,$A$32,FALSE))^(1/3)-1)</f>
        <v>1.8151029571962241E-3</v>
      </c>
      <c r="R218" s="117">
        <f t="shared" si="137"/>
        <v>4.2425399906651506E-3</v>
      </c>
    </row>
    <row r="219" spans="2:18">
      <c r="B219" s="88">
        <f t="shared" si="133"/>
        <v>43677</v>
      </c>
      <c r="C219" s="117">
        <f t="shared" si="128"/>
        <v>7.5301687448090515E-3</v>
      </c>
      <c r="D219" s="92">
        <f t="shared" si="124"/>
        <v>2.6420003287151466</v>
      </c>
      <c r="E219" s="91">
        <f t="shared" si="138"/>
        <v>3.2737397821989145E-3</v>
      </c>
      <c r="F219" s="92">
        <f t="shared" si="125"/>
        <v>1.5892287804610046</v>
      </c>
      <c r="G219" s="98">
        <f t="shared" si="134"/>
        <v>1.5866337894787308</v>
      </c>
      <c r="H219" s="91">
        <f t="shared" si="139"/>
        <v>3.2737397821989145E-3</v>
      </c>
      <c r="I219" s="92">
        <f t="shared" si="126"/>
        <v>1.6555956520273054</v>
      </c>
      <c r="J219" s="98">
        <f t="shared" si="135"/>
        <v>1.6528922931150307</v>
      </c>
      <c r="K219" s="91">
        <f t="shared" si="129"/>
        <v>7.8089618678098827E-3</v>
      </c>
      <c r="L219" s="94">
        <f t="shared" si="127"/>
        <v>1.4356086157962813</v>
      </c>
      <c r="M219" s="94">
        <f t="shared" si="136"/>
        <v>1.433513617851137</v>
      </c>
      <c r="N219" s="99">
        <f>(O221/O218)^(1/3)-1</f>
        <v>1.6474494364142611E-3</v>
      </c>
      <c r="O219" s="97">
        <f t="shared" si="131"/>
        <v>2.2102572018211841</v>
      </c>
      <c r="P219" s="97">
        <f t="shared" si="132"/>
        <v>2.1885880135680353</v>
      </c>
      <c r="Q219" s="91">
        <f t="shared" si="140"/>
        <v>1.8151029571962241E-3</v>
      </c>
      <c r="R219" s="117">
        <f t="shared" si="137"/>
        <v>4.2425399906651506E-3</v>
      </c>
    </row>
    <row r="220" spans="2:18">
      <c r="B220" s="88">
        <f t="shared" si="133"/>
        <v>43708</v>
      </c>
      <c r="C220" s="117">
        <f t="shared" si="128"/>
        <v>7.5301687448090515E-3</v>
      </c>
      <c r="D220" s="92">
        <f t="shared" si="124"/>
        <v>2.6618950370142125</v>
      </c>
      <c r="E220" s="91">
        <f t="shared" si="138"/>
        <v>3.2737397821989145E-3</v>
      </c>
      <c r="F220" s="92">
        <f t="shared" si="125"/>
        <v>1.5944315019426152</v>
      </c>
      <c r="G220" s="98">
        <f t="shared" si="134"/>
        <v>1.5918280156351283</v>
      </c>
      <c r="H220" s="91">
        <f t="shared" si="139"/>
        <v>3.2737397821989145E-3</v>
      </c>
      <c r="I220" s="92">
        <f t="shared" si="126"/>
        <v>1.6610156413765826</v>
      </c>
      <c r="J220" s="98">
        <f t="shared" si="135"/>
        <v>1.6583034323706913</v>
      </c>
      <c r="K220" s="91">
        <f t="shared" si="129"/>
        <v>7.8089618678098827E-3</v>
      </c>
      <c r="L220" s="94">
        <f t="shared" si="127"/>
        <v>1.439810876488296</v>
      </c>
      <c r="M220" s="94">
        <f t="shared" si="136"/>
        <v>1.4377097461422887</v>
      </c>
      <c r="N220" s="99">
        <f>(O221/O218)^(1/3)-1</f>
        <v>1.6474494364142611E-3</v>
      </c>
      <c r="O220" s="97">
        <f t="shared" si="131"/>
        <v>2.2138984888026552</v>
      </c>
      <c r="P220" s="97">
        <f t="shared" si="132"/>
        <v>2.192193601657531</v>
      </c>
      <c r="Q220" s="91">
        <f t="shared" si="140"/>
        <v>1.8151029571962241E-3</v>
      </c>
      <c r="R220" s="117">
        <f t="shared" si="137"/>
        <v>4.2425399906651506E-3</v>
      </c>
    </row>
    <row r="221" spans="2:18">
      <c r="B221" s="88">
        <f t="shared" si="133"/>
        <v>43738</v>
      </c>
      <c r="C221" s="117">
        <f t="shared" si="128"/>
        <v>7.5301687448090515E-3</v>
      </c>
      <c r="D221" s="92">
        <f t="shared" si="124"/>
        <v>2.6819395558238992</v>
      </c>
      <c r="E221" s="91">
        <f t="shared" si="138"/>
        <v>3.2737397821989145E-3</v>
      </c>
      <c r="F221" s="92">
        <f t="shared" si="125"/>
        <v>1.5996512557805158</v>
      </c>
      <c r="G221" s="98">
        <f t="shared" si="134"/>
        <v>1.5970392463363317</v>
      </c>
      <c r="H221" s="91">
        <f t="shared" si="139"/>
        <v>3.2737397821989145E-3</v>
      </c>
      <c r="I221" s="92">
        <f t="shared" si="126"/>
        <v>1.6664533743606118</v>
      </c>
      <c r="J221" s="98">
        <f t="shared" si="135"/>
        <v>1.6637322862882002</v>
      </c>
      <c r="K221" s="91">
        <f t="shared" si="129"/>
        <v>7.8089618678098827E-3</v>
      </c>
      <c r="L221" s="94">
        <f t="shared" si="127"/>
        <v>1.4440254378831132</v>
      </c>
      <c r="M221" s="94">
        <f t="shared" si="136"/>
        <v>1.4419181571857047</v>
      </c>
      <c r="N221" s="99">
        <f>(O221/O218)^(1/3)-1</f>
        <v>1.6474494364142611E-3</v>
      </c>
      <c r="O221" s="97">
        <f t="shared" si="131"/>
        <v>2.2175457746203113</v>
      </c>
      <c r="P221" s="97">
        <f t="shared" si="132"/>
        <v>2.195805129771093</v>
      </c>
      <c r="Q221" s="91">
        <f t="shared" si="140"/>
        <v>1.8151029571962241E-3</v>
      </c>
      <c r="R221" s="117">
        <f t="shared" si="137"/>
        <v>4.2425399906651506E-3</v>
      </c>
    </row>
    <row r="222" spans="2:18">
      <c r="B222" s="88">
        <f t="shared" si="133"/>
        <v>43769</v>
      </c>
      <c r="C222" s="117">
        <f t="shared" si="128"/>
        <v>7.5301687448090515E-3</v>
      </c>
      <c r="D222" s="92">
        <f t="shared" ref="D222:D285" si="141">D221*(1+C222)</f>
        <v>2.7021350132426316</v>
      </c>
      <c r="E222" s="91">
        <f t="shared" si="138"/>
        <v>3.2737397821989145E-3</v>
      </c>
      <c r="F222" s="92">
        <f t="shared" ref="F222:F285" si="142">F221*(1+E222)</f>
        <v>1.604888097734209</v>
      </c>
      <c r="G222" s="98">
        <f t="shared" si="134"/>
        <v>1.6022675372507957</v>
      </c>
      <c r="H222" s="91">
        <f t="shared" si="139"/>
        <v>3.2737397821989145E-3</v>
      </c>
      <c r="I222" s="92">
        <f t="shared" ref="I222:I285" si="143">I221*(1+H222)</f>
        <v>1.6719089090674357</v>
      </c>
      <c r="J222" s="98">
        <f t="shared" si="135"/>
        <v>1.6691789128607506</v>
      </c>
      <c r="K222" s="91">
        <f t="shared" si="129"/>
        <v>7.8089618678098827E-3</v>
      </c>
      <c r="L222" s="94">
        <f t="shared" ref="L222:L285" si="144">L221*(IF(((1+K222)^12-1)&lt;6%,1,((1+K222)^12)/(1.06))^(1/12))</f>
        <v>1.4482523359868975</v>
      </c>
      <c r="M222" s="94">
        <f t="shared" si="136"/>
        <v>1.4461388869350054</v>
      </c>
      <c r="N222" s="99">
        <f>(O224/O221)^(1/3)-1</f>
        <v>1.6393471970028717E-3</v>
      </c>
      <c r="O222" s="97">
        <f t="shared" si="131"/>
        <v>2.2211811020701608</v>
      </c>
      <c r="P222" s="97">
        <f t="shared" si="132"/>
        <v>2.1994048167557478</v>
      </c>
      <c r="Q222" s="91">
        <f t="shared" si="140"/>
        <v>1.8151029571962241E-3</v>
      </c>
      <c r="R222" s="117">
        <f t="shared" si="137"/>
        <v>4.2425399906651506E-3</v>
      </c>
    </row>
    <row r="223" spans="2:18">
      <c r="B223" s="88">
        <f t="shared" si="133"/>
        <v>43799</v>
      </c>
      <c r="C223" s="117">
        <f t="shared" si="128"/>
        <v>7.5301687448090515E-3</v>
      </c>
      <c r="D223" s="92">
        <f t="shared" si="141"/>
        <v>2.7224825458636053</v>
      </c>
      <c r="E223" s="91">
        <f t="shared" si="138"/>
        <v>3.2737397821989145E-3</v>
      </c>
      <c r="F223" s="92">
        <f t="shared" si="142"/>
        <v>1.610142083745739</v>
      </c>
      <c r="G223" s="98">
        <f t="shared" si="134"/>
        <v>1.6075129442292198</v>
      </c>
      <c r="H223" s="91">
        <f t="shared" si="139"/>
        <v>3.2737397821989145E-3</v>
      </c>
      <c r="I223" s="92">
        <f t="shared" si="143"/>
        <v>1.6773823037752627</v>
      </c>
      <c r="J223" s="98">
        <f t="shared" si="135"/>
        <v>1.6746433702713903</v>
      </c>
      <c r="K223" s="91">
        <f t="shared" si="129"/>
        <v>7.8089618678098827E-3</v>
      </c>
      <c r="L223" s="94">
        <f t="shared" si="144"/>
        <v>1.452491606911209</v>
      </c>
      <c r="M223" s="94">
        <f t="shared" si="136"/>
        <v>1.4503719714490533</v>
      </c>
      <c r="N223" s="99">
        <f>(O224/O221)^(1/3)-1</f>
        <v>1.6393471970028717E-3</v>
      </c>
      <c r="O223" s="97">
        <f t="shared" si="131"/>
        <v>2.2248223890838754</v>
      </c>
      <c r="P223" s="97">
        <f t="shared" si="132"/>
        <v>2.2030104048771708</v>
      </c>
      <c r="Q223" s="91">
        <f t="shared" si="140"/>
        <v>1.8151029571962241E-3</v>
      </c>
      <c r="R223" s="117">
        <f t="shared" si="137"/>
        <v>4.2425399906651506E-3</v>
      </c>
    </row>
    <row r="224" spans="2:18">
      <c r="B224" s="88">
        <f t="shared" si="133"/>
        <v>43830</v>
      </c>
      <c r="C224" s="117">
        <f t="shared" si="128"/>
        <v>7.5301687448090515E-3</v>
      </c>
      <c r="D224" s="92">
        <f t="shared" si="141"/>
        <v>2.7429832988387557</v>
      </c>
      <c r="E224" s="91">
        <f t="shared" si="138"/>
        <v>3.2737397821989145E-3</v>
      </c>
      <c r="F224" s="92">
        <f t="shared" si="142"/>
        <v>1.6154132699402901</v>
      </c>
      <c r="G224" s="98">
        <f t="shared" si="134"/>
        <v>1.6127755233051426</v>
      </c>
      <c r="H224" s="91">
        <f t="shared" si="139"/>
        <v>3.2737397821989145E-3</v>
      </c>
      <c r="I224" s="92">
        <f t="shared" si="143"/>
        <v>1.6828736169530882</v>
      </c>
      <c r="J224" s="98">
        <f t="shared" si="135"/>
        <v>1.6801257168936437</v>
      </c>
      <c r="K224" s="91">
        <f t="shared" si="129"/>
        <v>7.8089618678098827E-3</v>
      </c>
      <c r="L224" s="94">
        <f t="shared" si="144"/>
        <v>1.4567432868733126</v>
      </c>
      <c r="M224" s="94">
        <f t="shared" si="136"/>
        <v>1.4546174468922608</v>
      </c>
      <c r="N224" s="99">
        <f>(O224/O221)^(1/3)-1</f>
        <v>1.6393471970028717E-3</v>
      </c>
      <c r="O224" s="97">
        <f t="shared" si="131"/>
        <v>2.2284696454312489</v>
      </c>
      <c r="P224" s="97">
        <f t="shared" si="132"/>
        <v>2.2066219038093742</v>
      </c>
      <c r="Q224" s="91">
        <f t="shared" si="140"/>
        <v>1.8151029571962241E-3</v>
      </c>
      <c r="R224" s="117">
        <f t="shared" si="137"/>
        <v>4.2425399906651506E-3</v>
      </c>
    </row>
    <row r="225" spans="2:18">
      <c r="B225" s="88">
        <f t="shared" si="133"/>
        <v>43861</v>
      </c>
      <c r="C225" s="117">
        <f t="shared" si="128"/>
        <v>7.5301687448090515E-3</v>
      </c>
      <c r="D225" s="92">
        <f t="shared" si="141"/>
        <v>2.7636384259432045</v>
      </c>
      <c r="E225" s="91">
        <f t="shared" si="138"/>
        <v>3.2737397821989145E-3</v>
      </c>
      <c r="F225" s="92">
        <f t="shared" si="142"/>
        <v>1.6207017126267858</v>
      </c>
      <c r="G225" s="98">
        <f t="shared" si="134"/>
        <v>1.6180553306955432</v>
      </c>
      <c r="H225" s="91">
        <f t="shared" si="139"/>
        <v>3.2737397821989145E-3</v>
      </c>
      <c r="I225" s="92">
        <f t="shared" si="143"/>
        <v>1.6883829072613206</v>
      </c>
      <c r="J225" s="98">
        <f t="shared" si="135"/>
        <v>1.6856260112921337</v>
      </c>
      <c r="K225" s="91">
        <f t="shared" si="129"/>
        <v>7.7469924469959484E-3</v>
      </c>
      <c r="L225" s="94">
        <f t="shared" si="144"/>
        <v>1.4609175759412398</v>
      </c>
      <c r="M225" s="94">
        <f t="shared" si="136"/>
        <v>1.4588304314072762</v>
      </c>
      <c r="N225" s="99">
        <f>(O227/O224)^(1/3)-1</f>
        <v>1.6638965793120963E-3</v>
      </c>
      <c r="O225" s="97">
        <f t="shared" si="131"/>
        <v>2.2321775884513828</v>
      </c>
      <c r="P225" s="97">
        <f t="shared" si="132"/>
        <v>2.2102934944469577</v>
      </c>
      <c r="Q225" s="91">
        <f t="shared" si="140"/>
        <v>3.2737397821989145E-3</v>
      </c>
      <c r="R225" s="117">
        <f t="shared" si="137"/>
        <v>4.2425399906651506E-3</v>
      </c>
    </row>
    <row r="226" spans="2:18">
      <c r="B226" s="88">
        <f t="shared" si="133"/>
        <v>43890</v>
      </c>
      <c r="C226" s="117">
        <f t="shared" si="128"/>
        <v>7.5301687448090515E-3</v>
      </c>
      <c r="D226" s="92">
        <f t="shared" si="141"/>
        <v>2.7844490896401952</v>
      </c>
      <c r="E226" s="91">
        <f t="shared" si="138"/>
        <v>3.2737397821989145E-3</v>
      </c>
      <c r="F226" s="92">
        <f t="shared" si="142"/>
        <v>1.62600746829849</v>
      </c>
      <c r="G226" s="98">
        <f t="shared" si="134"/>
        <v>1.6233524228014404</v>
      </c>
      <c r="H226" s="91">
        <f t="shared" si="139"/>
        <v>3.2737397821989145E-3</v>
      </c>
      <c r="I226" s="92">
        <f t="shared" si="143"/>
        <v>1.6939102335524066</v>
      </c>
      <c r="J226" s="98">
        <f t="shared" si="135"/>
        <v>1.6911443122232102</v>
      </c>
      <c r="K226" s="91">
        <f t="shared" si="129"/>
        <v>7.7469924469959484E-3</v>
      </c>
      <c r="L226" s="94">
        <f t="shared" si="144"/>
        <v>1.4651038264092158</v>
      </c>
      <c r="M226" s="94">
        <f t="shared" si="136"/>
        <v>1.4630107011752278</v>
      </c>
      <c r="N226" s="99">
        <f>(O227/O224)^(1/3)-1</f>
        <v>1.6638965793120963E-3</v>
      </c>
      <c r="O226" s="97">
        <f t="shared" si="131"/>
        <v>2.2358917011052242</v>
      </c>
      <c r="P226" s="97">
        <f t="shared" si="132"/>
        <v>2.2139711942316436</v>
      </c>
      <c r="Q226" s="91">
        <f t="shared" si="140"/>
        <v>3.2737397821989145E-3</v>
      </c>
      <c r="R226" s="117">
        <f t="shared" si="137"/>
        <v>4.2425399906651506E-3</v>
      </c>
    </row>
    <row r="227" spans="2:18">
      <c r="B227" s="88">
        <f t="shared" si="133"/>
        <v>43921</v>
      </c>
      <c r="C227" s="117">
        <f t="shared" si="128"/>
        <v>7.5301687448090515E-3</v>
      </c>
      <c r="D227" s="92">
        <f t="shared" si="141"/>
        <v>2.8054164611465158</v>
      </c>
      <c r="E227" s="91">
        <f t="shared" si="138"/>
        <v>3.2737397821989145E-3</v>
      </c>
      <c r="F227" s="92">
        <f t="shared" si="142"/>
        <v>1.6313305936336113</v>
      </c>
      <c r="G227" s="98">
        <f t="shared" si="134"/>
        <v>1.6286668562084945</v>
      </c>
      <c r="H227" s="91">
        <f t="shared" si="139"/>
        <v>3.2737397821989145E-3</v>
      </c>
      <c r="I227" s="92">
        <f t="shared" si="143"/>
        <v>1.699455654871461</v>
      </c>
      <c r="J227" s="98">
        <f t="shared" si="135"/>
        <v>1.6966806786355746</v>
      </c>
      <c r="K227" s="91">
        <f t="shared" si="129"/>
        <v>7.7469924469959484E-3</v>
      </c>
      <c r="L227" s="94">
        <f t="shared" si="144"/>
        <v>1.4693020725525598</v>
      </c>
      <c r="M227" s="94">
        <f t="shared" si="136"/>
        <v>1.4672029494808878</v>
      </c>
      <c r="N227" s="99">
        <f>(O227/O224)^(1/3)-1</f>
        <v>1.6638965793120963E-3</v>
      </c>
      <c r="O227" s="97">
        <f t="shared" si="131"/>
        <v>2.2396119936584054</v>
      </c>
      <c r="P227" s="97">
        <f t="shared" si="132"/>
        <v>2.2176550133284207</v>
      </c>
      <c r="Q227" s="91">
        <f t="shared" si="140"/>
        <v>3.2737397821989145E-3</v>
      </c>
      <c r="R227" s="117">
        <f t="shared" si="137"/>
        <v>4.2425399906651506E-3</v>
      </c>
    </row>
    <row r="228" spans="2:18">
      <c r="B228" s="88">
        <f t="shared" si="133"/>
        <v>43951</v>
      </c>
      <c r="C228" s="117">
        <f t="shared" si="128"/>
        <v>7.5301687448090515E-3</v>
      </c>
      <c r="D228" s="92">
        <f t="shared" si="141"/>
        <v>2.826541720498414</v>
      </c>
      <c r="E228" s="91">
        <f t="shared" si="138"/>
        <v>3.2737397821989145E-3</v>
      </c>
      <c r="F228" s="92">
        <f t="shared" si="142"/>
        <v>1.6366711454959078</v>
      </c>
      <c r="G228" s="98">
        <f t="shared" si="134"/>
        <v>1.6339986876876131</v>
      </c>
      <c r="H228" s="91">
        <f t="shared" si="139"/>
        <v>3.2737397821989145E-3</v>
      </c>
      <c r="I228" s="92">
        <f t="shared" si="143"/>
        <v>1.7050192304568965</v>
      </c>
      <c r="J228" s="98">
        <f t="shared" si="135"/>
        <v>1.7022351696709122</v>
      </c>
      <c r="K228" s="91">
        <f t="shared" si="129"/>
        <v>7.7469924469959484E-3</v>
      </c>
      <c r="L228" s="94">
        <f t="shared" si="144"/>
        <v>1.4735123487448072</v>
      </c>
      <c r="M228" s="94">
        <f t="shared" si="136"/>
        <v>1.4714072106486835</v>
      </c>
      <c r="N228" s="99">
        <f>(O230/O227)^(1/3)-1</f>
        <v>1.6556321620859737E-3</v>
      </c>
      <c r="O228" s="97">
        <f t="shared" si="131"/>
        <v>2.2433199673056996</v>
      </c>
      <c r="P228" s="97">
        <f t="shared" si="132"/>
        <v>2.2213266342928986</v>
      </c>
      <c r="Q228" s="91">
        <f t="shared" si="140"/>
        <v>3.2737397821989145E-3</v>
      </c>
      <c r="R228" s="117">
        <f t="shared" si="137"/>
        <v>4.2425399906651506E-3</v>
      </c>
    </row>
    <row r="229" spans="2:18">
      <c r="B229" s="88">
        <f t="shared" si="133"/>
        <v>43982</v>
      </c>
      <c r="C229" s="117">
        <f t="shared" si="128"/>
        <v>7.5301687448090515E-3</v>
      </c>
      <c r="D229" s="92">
        <f t="shared" si="141"/>
        <v>2.8478260566180098</v>
      </c>
      <c r="E229" s="91">
        <f t="shared" si="138"/>
        <v>3.2737397821989145E-3</v>
      </c>
      <c r="F229" s="92">
        <f t="shared" si="142"/>
        <v>1.6420291809352947</v>
      </c>
      <c r="G229" s="98">
        <f t="shared" si="134"/>
        <v>1.6393479741955568</v>
      </c>
      <c r="H229" s="91">
        <f t="shared" si="139"/>
        <v>3.2737397821989145E-3</v>
      </c>
      <c r="I229" s="92">
        <f t="shared" si="143"/>
        <v>1.7106010197410575</v>
      </c>
      <c r="J229" s="98">
        <f t="shared" si="135"/>
        <v>1.707807844664522</v>
      </c>
      <c r="K229" s="91">
        <f t="shared" si="129"/>
        <v>7.7469924469959484E-3</v>
      </c>
      <c r="L229" s="94">
        <f t="shared" si="144"/>
        <v>1.4777346894579901</v>
      </c>
      <c r="M229" s="94">
        <f t="shared" si="136"/>
        <v>1.4756235191013987</v>
      </c>
      <c r="N229" s="99">
        <f>(O230/O227)^(1/3)-1</f>
        <v>1.6556321620859737E-3</v>
      </c>
      <c r="O229" s="97">
        <f t="shared" si="131"/>
        <v>2.2470340799934205</v>
      </c>
      <c r="P229" s="97">
        <f t="shared" si="132"/>
        <v>2.2250043341111319</v>
      </c>
      <c r="Q229" s="91">
        <f t="shared" si="140"/>
        <v>3.2737397821989145E-3</v>
      </c>
      <c r="R229" s="117">
        <f t="shared" si="137"/>
        <v>4.2425399906651506E-3</v>
      </c>
    </row>
    <row r="230" spans="2:18">
      <c r="B230" s="88">
        <f t="shared" si="133"/>
        <v>44012</v>
      </c>
      <c r="C230" s="117">
        <f t="shared" si="128"/>
        <v>7.5301687448090515E-3</v>
      </c>
      <c r="D230" s="92">
        <f t="shared" si="141"/>
        <v>2.8692706673802078</v>
      </c>
      <c r="E230" s="91">
        <f t="shared" si="138"/>
        <v>3.2737397821989145E-3</v>
      </c>
      <c r="F230" s="92">
        <f t="shared" si="142"/>
        <v>1.647404757188454</v>
      </c>
      <c r="G230" s="98">
        <f t="shared" si="134"/>
        <v>1.6447147728755478</v>
      </c>
      <c r="H230" s="91">
        <f t="shared" si="139"/>
        <v>3.2737397821989145E-3</v>
      </c>
      <c r="I230" s="92">
        <f t="shared" si="143"/>
        <v>1.7162010823508538</v>
      </c>
      <c r="J230" s="98">
        <f t="shared" si="135"/>
        <v>1.7133987631459517</v>
      </c>
      <c r="K230" s="91">
        <f t="shared" si="129"/>
        <v>7.7469924469959484E-3</v>
      </c>
      <c r="L230" s="94">
        <f t="shared" si="144"/>
        <v>1.4819691292629205</v>
      </c>
      <c r="M230" s="94">
        <f t="shared" si="136"/>
        <v>1.4798519093604554</v>
      </c>
      <c r="N230" s="99">
        <f>(O230/O227)^(1/3)-1</f>
        <v>1.6556321620859737E-3</v>
      </c>
      <c r="O230" s="97">
        <f t="shared" si="131"/>
        <v>2.2507543418855613</v>
      </c>
      <c r="P230" s="97">
        <f t="shared" si="132"/>
        <v>2.2286881228474678</v>
      </c>
      <c r="Q230" s="91">
        <f t="shared" si="140"/>
        <v>3.2737397821989145E-3</v>
      </c>
      <c r="R230" s="117">
        <f t="shared" si="137"/>
        <v>4.2425399906651506E-3</v>
      </c>
    </row>
    <row r="231" spans="2:18">
      <c r="B231" s="88">
        <f t="shared" si="133"/>
        <v>44043</v>
      </c>
      <c r="C231" s="117">
        <f t="shared" si="128"/>
        <v>7.5301687448090515E-3</v>
      </c>
      <c r="D231" s="92">
        <f t="shared" si="141"/>
        <v>2.8908767596801117</v>
      </c>
      <c r="E231" s="91">
        <f t="shared" si="138"/>
        <v>3.2737397821989145E-3</v>
      </c>
      <c r="F231" s="92">
        <f t="shared" si="142"/>
        <v>1.6527979316794457</v>
      </c>
      <c r="G231" s="98">
        <f t="shared" si="134"/>
        <v>1.6500991410578807</v>
      </c>
      <c r="H231" s="91">
        <f t="shared" si="139"/>
        <v>3.2737397821989145E-3</v>
      </c>
      <c r="I231" s="92">
        <f t="shared" si="143"/>
        <v>1.7218194781083986</v>
      </c>
      <c r="J231" s="98">
        <f t="shared" si="135"/>
        <v>1.7190079848396329</v>
      </c>
      <c r="K231" s="91">
        <f t="shared" si="129"/>
        <v>7.7469924469959484E-3</v>
      </c>
      <c r="L231" s="94">
        <f t="shared" si="144"/>
        <v>1.4862157028294722</v>
      </c>
      <c r="M231" s="94">
        <f t="shared" si="136"/>
        <v>1.4840924160461963</v>
      </c>
      <c r="N231" s="99">
        <f>(O233/O230)^(1/3)-1</f>
        <v>1.6474494364142611E-3</v>
      </c>
      <c r="O231" s="97">
        <f t="shared" si="131"/>
        <v>2.2544623458576076</v>
      </c>
      <c r="P231" s="97">
        <f t="shared" si="132"/>
        <v>2.2323597738393959</v>
      </c>
      <c r="Q231" s="91">
        <f t="shared" si="140"/>
        <v>3.2737397821989145E-3</v>
      </c>
      <c r="R231" s="117">
        <f t="shared" si="137"/>
        <v>4.2425399906651506E-3</v>
      </c>
    </row>
    <row r="232" spans="2:18">
      <c r="B232" s="88">
        <f t="shared" si="133"/>
        <v>44074</v>
      </c>
      <c r="C232" s="117">
        <f t="shared" si="128"/>
        <v>7.5301687448090515E-3</v>
      </c>
      <c r="D232" s="92">
        <f t="shared" si="141"/>
        <v>2.9126455495009496</v>
      </c>
      <c r="E232" s="91">
        <f t="shared" si="138"/>
        <v>3.2737397821989145E-3</v>
      </c>
      <c r="F232" s="92">
        <f t="shared" si="142"/>
        <v>1.6582087620203207</v>
      </c>
      <c r="G232" s="98">
        <f t="shared" si="134"/>
        <v>1.6555011362605343</v>
      </c>
      <c r="H232" s="91">
        <f t="shared" si="139"/>
        <v>3.2737397821989145E-3</v>
      </c>
      <c r="I232" s="92">
        <f t="shared" si="143"/>
        <v>1.7274562670316471</v>
      </c>
      <c r="J232" s="98">
        <f t="shared" si="135"/>
        <v>1.72463556966552</v>
      </c>
      <c r="K232" s="91">
        <f t="shared" si="129"/>
        <v>7.7469924469959484E-3</v>
      </c>
      <c r="L232" s="94">
        <f t="shared" si="144"/>
        <v>1.4904744449268659</v>
      </c>
      <c r="M232" s="94">
        <f t="shared" si="136"/>
        <v>1.4883450738781692</v>
      </c>
      <c r="N232" s="99">
        <f>(O233/O230)^(1/3)-1</f>
        <v>1.6474494364142611E-3</v>
      </c>
      <c r="O232" s="97">
        <f t="shared" si="131"/>
        <v>2.2581764585787081</v>
      </c>
      <c r="P232" s="97">
        <f t="shared" si="132"/>
        <v>2.2360374736906814</v>
      </c>
      <c r="Q232" s="91">
        <f t="shared" si="140"/>
        <v>3.2737397821989145E-3</v>
      </c>
      <c r="R232" s="117">
        <f t="shared" si="137"/>
        <v>4.2425399906651506E-3</v>
      </c>
    </row>
    <row r="233" spans="2:18">
      <c r="B233" s="88">
        <f t="shared" si="133"/>
        <v>44104</v>
      </c>
      <c r="C233" s="117">
        <f t="shared" si="128"/>
        <v>7.5301687448090515E-3</v>
      </c>
      <c r="D233" s="92">
        <f t="shared" si="141"/>
        <v>2.9345782619825087</v>
      </c>
      <c r="E233" s="91">
        <f t="shared" si="138"/>
        <v>3.2737397821989145E-3</v>
      </c>
      <c r="F233" s="92">
        <f t="shared" si="142"/>
        <v>1.6636373060117375</v>
      </c>
      <c r="G233" s="98">
        <f t="shared" si="134"/>
        <v>1.6609208161897859</v>
      </c>
      <c r="H233" s="91">
        <f t="shared" si="139"/>
        <v>3.2737397821989145E-3</v>
      </c>
      <c r="I233" s="92">
        <f t="shared" si="143"/>
        <v>1.7331115093350375</v>
      </c>
      <c r="J233" s="98">
        <f t="shared" si="135"/>
        <v>1.7302815777397293</v>
      </c>
      <c r="K233" s="91">
        <f t="shared" si="129"/>
        <v>7.7469924469959484E-3</v>
      </c>
      <c r="L233" s="94">
        <f t="shared" si="144"/>
        <v>1.4947453904239527</v>
      </c>
      <c r="M233" s="94">
        <f t="shared" si="136"/>
        <v>1.4926099176754093</v>
      </c>
      <c r="N233" s="99">
        <f>(O233/O230)^(1/3)-1</f>
        <v>1.6474494364142611E-3</v>
      </c>
      <c r="O233" s="97">
        <f t="shared" si="131"/>
        <v>2.2618966901127173</v>
      </c>
      <c r="P233" s="97">
        <f t="shared" si="132"/>
        <v>2.2397212323665148</v>
      </c>
      <c r="Q233" s="91">
        <f t="shared" si="140"/>
        <v>3.2737397821989145E-3</v>
      </c>
      <c r="R233" s="117">
        <f t="shared" si="137"/>
        <v>4.2425399906651506E-3</v>
      </c>
    </row>
    <row r="234" spans="2:18">
      <c r="B234" s="88">
        <f t="shared" si="133"/>
        <v>44135</v>
      </c>
      <c r="C234" s="117">
        <f t="shared" si="128"/>
        <v>7.5301687448090515E-3</v>
      </c>
      <c r="D234" s="92">
        <f t="shared" si="141"/>
        <v>2.9566761314900853</v>
      </c>
      <c r="E234" s="91">
        <f t="shared" si="138"/>
        <v>3.2737397821989145E-3</v>
      </c>
      <c r="F234" s="92">
        <f t="shared" si="142"/>
        <v>1.6690836216435785</v>
      </c>
      <c r="G234" s="98">
        <f t="shared" si="134"/>
        <v>1.6663582387408287</v>
      </c>
      <c r="H234" s="91">
        <f t="shared" si="139"/>
        <v>3.2737397821989145E-3</v>
      </c>
      <c r="I234" s="92">
        <f t="shared" si="143"/>
        <v>1.7387852654301346</v>
      </c>
      <c r="J234" s="98">
        <f t="shared" si="135"/>
        <v>1.735946069375182</v>
      </c>
      <c r="K234" s="91">
        <f t="shared" si="129"/>
        <v>7.7469924469959484E-3</v>
      </c>
      <c r="L234" s="94">
        <f t="shared" si="144"/>
        <v>1.4990285742895009</v>
      </c>
      <c r="M234" s="94">
        <f t="shared" si="136"/>
        <v>1.4968869823567268</v>
      </c>
      <c r="N234" s="99">
        <f>(O236/O233)^(1/3)-1</f>
        <v>1.6393471970028717E-3</v>
      </c>
      <c r="O234" s="97">
        <f t="shared" si="131"/>
        <v>2.2656047241115638</v>
      </c>
      <c r="P234" s="97">
        <f t="shared" si="132"/>
        <v>2.2433929130908625</v>
      </c>
      <c r="Q234" s="91">
        <f t="shared" si="140"/>
        <v>3.2737397821989145E-3</v>
      </c>
      <c r="R234" s="117">
        <f t="shared" si="137"/>
        <v>4.2425399906651506E-3</v>
      </c>
    </row>
    <row r="235" spans="2:18">
      <c r="B235" s="88">
        <f t="shared" si="133"/>
        <v>44165</v>
      </c>
      <c r="C235" s="117">
        <f t="shared" si="128"/>
        <v>7.5301687448090515E-3</v>
      </c>
      <c r="D235" s="92">
        <f t="shared" si="141"/>
        <v>2.9789404016839551</v>
      </c>
      <c r="E235" s="91">
        <f t="shared" si="138"/>
        <v>3.2737397821989145E-3</v>
      </c>
      <c r="F235" s="92">
        <f t="shared" si="142"/>
        <v>1.6745477670955697</v>
      </c>
      <c r="G235" s="98">
        <f t="shared" si="134"/>
        <v>1.6718134619983895</v>
      </c>
      <c r="H235" s="91">
        <f t="shared" si="139"/>
        <v>3.2737397821989145E-3</v>
      </c>
      <c r="I235" s="92">
        <f t="shared" si="143"/>
        <v>1.7444775959262746</v>
      </c>
      <c r="J235" s="98">
        <f t="shared" si="135"/>
        <v>1.7416291050822474</v>
      </c>
      <c r="K235" s="91">
        <f t="shared" si="129"/>
        <v>7.7469924469959484E-3</v>
      </c>
      <c r="L235" s="94">
        <f t="shared" si="144"/>
        <v>1.503324031592481</v>
      </c>
      <c r="M235" s="94">
        <f t="shared" si="136"/>
        <v>1.501176302940991</v>
      </c>
      <c r="N235" s="99">
        <f>(O236/O233)^(1/3)-1</f>
        <v>1.6393471970028717E-3</v>
      </c>
      <c r="O235" s="97">
        <f t="shared" si="131"/>
        <v>2.2693188368655526</v>
      </c>
      <c r="P235" s="97">
        <f t="shared" si="132"/>
        <v>2.247070612974714</v>
      </c>
      <c r="Q235" s="91">
        <f t="shared" si="140"/>
        <v>3.2737397821989145E-3</v>
      </c>
      <c r="R235" s="117">
        <f t="shared" si="137"/>
        <v>4.2425399906651506E-3</v>
      </c>
    </row>
    <row r="236" spans="2:18">
      <c r="B236" s="88">
        <f t="shared" si="133"/>
        <v>44196</v>
      </c>
      <c r="C236" s="117">
        <f t="shared" si="128"/>
        <v>7.5301687448090515E-3</v>
      </c>
      <c r="D236" s="92">
        <f t="shared" si="141"/>
        <v>3.0013723255893647</v>
      </c>
      <c r="E236" s="91">
        <f t="shared" si="138"/>
        <v>3.2737397821989145E-3</v>
      </c>
      <c r="F236" s="92">
        <f t="shared" si="142"/>
        <v>1.6800298007379029</v>
      </c>
      <c r="G236" s="98">
        <f t="shared" si="134"/>
        <v>1.6772865442373495</v>
      </c>
      <c r="H236" s="91">
        <f t="shared" si="139"/>
        <v>3.2737397821989145E-3</v>
      </c>
      <c r="I236" s="92">
        <f t="shared" si="143"/>
        <v>1.7501885616312132</v>
      </c>
      <c r="J236" s="98">
        <f t="shared" si="135"/>
        <v>1.7473307455693907</v>
      </c>
      <c r="K236" s="91">
        <f t="shared" si="129"/>
        <v>7.7469924469959484E-3</v>
      </c>
      <c r="L236" s="94">
        <f t="shared" si="144"/>
        <v>1.5076317975023537</v>
      </c>
      <c r="M236" s="94">
        <f t="shared" si="136"/>
        <v>1.5054779145474173</v>
      </c>
      <c r="N236" s="99">
        <f>(O236/O233)^(1/3)-1</f>
        <v>1.6393471970028717E-3</v>
      </c>
      <c r="O236" s="97">
        <f t="shared" si="131"/>
        <v>2.2730390383398738</v>
      </c>
      <c r="P236" s="97">
        <f t="shared" si="132"/>
        <v>2.2507543418855613</v>
      </c>
      <c r="Q236" s="91">
        <f t="shared" si="140"/>
        <v>3.2737397821989145E-3</v>
      </c>
      <c r="R236" s="117">
        <f t="shared" si="137"/>
        <v>4.2425399906651506E-3</v>
      </c>
    </row>
    <row r="237" spans="2:18">
      <c r="B237" s="88">
        <f t="shared" si="133"/>
        <v>44227</v>
      </c>
      <c r="C237" s="117">
        <f t="shared" si="128"/>
        <v>7.5301687448090515E-3</v>
      </c>
      <c r="D237" s="92">
        <f t="shared" si="141"/>
        <v>3.0239731656670528</v>
      </c>
      <c r="E237" s="91">
        <f t="shared" si="138"/>
        <v>3.2737397821989145E-3</v>
      </c>
      <c r="F237" s="92">
        <f t="shared" si="142"/>
        <v>1.6855297811318584</v>
      </c>
      <c r="G237" s="98">
        <f t="shared" si="134"/>
        <v>1.6827775439233661</v>
      </c>
      <c r="H237" s="91">
        <f t="shared" si="139"/>
        <v>3.2737397821989145E-3</v>
      </c>
      <c r="I237" s="92">
        <f t="shared" si="143"/>
        <v>1.7559182235517747</v>
      </c>
      <c r="J237" s="98">
        <f t="shared" si="135"/>
        <v>1.7530510517438205</v>
      </c>
      <c r="K237" s="91">
        <f t="shared" si="129"/>
        <v>7.7192050424750303E-3</v>
      </c>
      <c r="L237" s="94">
        <f t="shared" si="144"/>
        <v>1.5119102170441086</v>
      </c>
      <c r="M237" s="94">
        <f t="shared" si="136"/>
        <v>1.5097710072732311</v>
      </c>
      <c r="N237" s="99">
        <f>(O239/O236)^(1/3)-1</f>
        <v>1.6638965793120963E-3</v>
      </c>
      <c r="O237" s="97">
        <f t="shared" si="131"/>
        <v>2.2768211402204104</v>
      </c>
      <c r="P237" s="97">
        <f t="shared" si="132"/>
        <v>2.2544993643358966</v>
      </c>
      <c r="Q237" s="91">
        <f t="shared" si="140"/>
        <v>3.2737397821989145E-3</v>
      </c>
      <c r="R237" s="117">
        <f t="shared" si="137"/>
        <v>4.2425399906651506E-3</v>
      </c>
    </row>
    <row r="238" spans="2:18">
      <c r="B238" s="88">
        <f t="shared" si="133"/>
        <v>44255</v>
      </c>
      <c r="C238" s="117">
        <f t="shared" si="128"/>
        <v>7.5301687448090515E-3</v>
      </c>
      <c r="D238" s="92">
        <f t="shared" si="141"/>
        <v>3.0467441938843001</v>
      </c>
      <c r="E238" s="91">
        <f t="shared" si="138"/>
        <v>3.2737397821989145E-3</v>
      </c>
      <c r="F238" s="92">
        <f t="shared" si="142"/>
        <v>1.6910477670304307</v>
      </c>
      <c r="G238" s="98">
        <f t="shared" si="134"/>
        <v>1.6882865197134993</v>
      </c>
      <c r="H238" s="91">
        <f t="shared" si="139"/>
        <v>3.2737397821989145E-3</v>
      </c>
      <c r="I238" s="92">
        <f t="shared" si="143"/>
        <v>1.7616666428945043</v>
      </c>
      <c r="J238" s="98">
        <f t="shared" si="135"/>
        <v>1.7587900847121398</v>
      </c>
      <c r="K238" s="91">
        <f t="shared" si="129"/>
        <v>7.7192050424750303E-3</v>
      </c>
      <c r="L238" s="94">
        <f t="shared" si="144"/>
        <v>1.5162007780608613</v>
      </c>
      <c r="M238" s="94">
        <f t="shared" si="136"/>
        <v>1.5140554975524849</v>
      </c>
      <c r="N238" s="99">
        <f>(O239/O236)^(1/3)-1</f>
        <v>1.6638965793120963E-3</v>
      </c>
      <c r="O238" s="97">
        <f t="shared" si="131"/>
        <v>2.2806095351273288</v>
      </c>
      <c r="P238" s="97">
        <f t="shared" si="132"/>
        <v>2.2582506181162763</v>
      </c>
      <c r="Q238" s="91">
        <f t="shared" si="140"/>
        <v>3.2737397821989145E-3</v>
      </c>
      <c r="R238" s="117">
        <f t="shared" si="137"/>
        <v>4.2425399906651506E-3</v>
      </c>
    </row>
    <row r="239" spans="2:18">
      <c r="B239" s="88">
        <f t="shared" si="133"/>
        <v>44286</v>
      </c>
      <c r="C239" s="117">
        <f t="shared" si="128"/>
        <v>7.5301687448090515E-3</v>
      </c>
      <c r="D239" s="92">
        <f t="shared" si="141"/>
        <v>3.069686691786516</v>
      </c>
      <c r="E239" s="91">
        <f t="shared" si="138"/>
        <v>3.2737397821989145E-3</v>
      </c>
      <c r="F239" s="92">
        <f t="shared" si="142"/>
        <v>1.6965838173789569</v>
      </c>
      <c r="G239" s="98">
        <f t="shared" si="134"/>
        <v>1.6938135304568354</v>
      </c>
      <c r="H239" s="91">
        <f t="shared" si="139"/>
        <v>3.2737397821989145E-3</v>
      </c>
      <c r="I239" s="92">
        <f t="shared" si="143"/>
        <v>1.7674338810663208</v>
      </c>
      <c r="J239" s="98">
        <f t="shared" si="135"/>
        <v>1.7645479057809992</v>
      </c>
      <c r="K239" s="91">
        <f t="shared" si="129"/>
        <v>7.7192050424750303E-3</v>
      </c>
      <c r="L239" s="94">
        <f t="shared" si="144"/>
        <v>1.5205035150081889</v>
      </c>
      <c r="M239" s="94">
        <f t="shared" si="136"/>
        <v>1.5183521465345251</v>
      </c>
      <c r="N239" s="99">
        <f>(O239/O236)^(1/3)-1</f>
        <v>1.6638965793120963E-3</v>
      </c>
      <c r="O239" s="97">
        <f t="shared" si="131"/>
        <v>2.2844042335315731</v>
      </c>
      <c r="P239" s="97">
        <f t="shared" si="132"/>
        <v>2.2620081135949892</v>
      </c>
      <c r="Q239" s="91">
        <f t="shared" si="140"/>
        <v>3.2737397821989145E-3</v>
      </c>
      <c r="R239" s="117">
        <f t="shared" si="137"/>
        <v>4.2425399906651506E-3</v>
      </c>
    </row>
    <row r="240" spans="2:18">
      <c r="B240" s="88">
        <f t="shared" si="133"/>
        <v>44316</v>
      </c>
      <c r="C240" s="117">
        <f t="shared" si="128"/>
        <v>7.5301687448090515E-3</v>
      </c>
      <c r="D240" s="92">
        <f t="shared" si="141"/>
        <v>3.0928019505693629</v>
      </c>
      <c r="E240" s="91">
        <f t="shared" si="138"/>
        <v>3.2737397821989145E-3</v>
      </c>
      <c r="F240" s="92">
        <f t="shared" si="142"/>
        <v>1.7021379913157453</v>
      </c>
      <c r="G240" s="98">
        <f t="shared" si="134"/>
        <v>1.6993586351951189</v>
      </c>
      <c r="H240" s="91">
        <f t="shared" si="139"/>
        <v>3.2737397821989145E-3</v>
      </c>
      <c r="I240" s="92">
        <f t="shared" si="143"/>
        <v>1.7732199996751739</v>
      </c>
      <c r="J240" s="98">
        <f t="shared" si="135"/>
        <v>1.7703245764577502</v>
      </c>
      <c r="K240" s="91">
        <f t="shared" si="129"/>
        <v>7.7192050424750303E-3</v>
      </c>
      <c r="L240" s="94">
        <f t="shared" si="144"/>
        <v>1.5248184624394485</v>
      </c>
      <c r="M240" s="94">
        <f t="shared" si="136"/>
        <v>1.5226609887238187</v>
      </c>
      <c r="N240" s="99">
        <f>(O242/O239)^(1/3)-1</f>
        <v>1.6556321620861958E-3</v>
      </c>
      <c r="O240" s="97">
        <f t="shared" si="131"/>
        <v>2.2881863666518139</v>
      </c>
      <c r="P240" s="97">
        <f t="shared" si="132"/>
        <v>2.2657531669787572</v>
      </c>
      <c r="Q240" s="91">
        <f t="shared" si="140"/>
        <v>3.2737397821989145E-3</v>
      </c>
      <c r="R240" s="117">
        <f t="shared" si="137"/>
        <v>4.2425399906651506E-3</v>
      </c>
    </row>
    <row r="241" spans="2:18">
      <c r="B241" s="88">
        <f t="shared" si="133"/>
        <v>44347</v>
      </c>
      <c r="C241" s="117">
        <f t="shared" si="128"/>
        <v>7.5301687448090515E-3</v>
      </c>
      <c r="D241" s="92">
        <f t="shared" si="141"/>
        <v>3.1160912711514248</v>
      </c>
      <c r="E241" s="91">
        <f t="shared" si="138"/>
        <v>3.2737397821989145E-3</v>
      </c>
      <c r="F241" s="92">
        <f t="shared" si="142"/>
        <v>1.7077103481727078</v>
      </c>
      <c r="G241" s="98">
        <f t="shared" si="134"/>
        <v>1.7049218931633803</v>
      </c>
      <c r="H241" s="91">
        <f t="shared" si="139"/>
        <v>3.2737397821989145E-3</v>
      </c>
      <c r="I241" s="92">
        <f t="shared" si="143"/>
        <v>1.7790250605307012</v>
      </c>
      <c r="J241" s="98">
        <f t="shared" si="135"/>
        <v>1.7761201584511044</v>
      </c>
      <c r="K241" s="91">
        <f t="shared" si="129"/>
        <v>7.7192050424750303E-3</v>
      </c>
      <c r="L241" s="94">
        <f t="shared" si="144"/>
        <v>1.5291456550060536</v>
      </c>
      <c r="M241" s="94">
        <f t="shared" si="136"/>
        <v>1.5269820587227509</v>
      </c>
      <c r="N241" s="99">
        <f>(O242/O239)^(1/3)-1</f>
        <v>1.6556321620861958E-3</v>
      </c>
      <c r="O241" s="97">
        <f t="shared" si="131"/>
        <v>2.2919747615932899</v>
      </c>
      <c r="P241" s="97">
        <f t="shared" si="132"/>
        <v>2.2695044207933557</v>
      </c>
      <c r="Q241" s="91">
        <f t="shared" si="140"/>
        <v>3.2737397821989145E-3</v>
      </c>
      <c r="R241" s="117">
        <f t="shared" si="137"/>
        <v>4.2425399906651506E-3</v>
      </c>
    </row>
    <row r="242" spans="2:18">
      <c r="B242" s="88">
        <f t="shared" si="133"/>
        <v>44377</v>
      </c>
      <c r="C242" s="117">
        <f t="shared" ref="C242:C305" si="145">IF(ISERROR((1+HLOOKUP(B242,$B$5:$GB$36,$A$24,FALSE))^(1/3)-1),C243,(1+HLOOKUP(B242,$B$5:$GB$36,$A$24,FALSE))^(1/3)-1)</f>
        <v>7.5301687448090515E-3</v>
      </c>
      <c r="D242" s="92">
        <f t="shared" si="141"/>
        <v>3.1395559642474216</v>
      </c>
      <c r="E242" s="91">
        <f t="shared" si="138"/>
        <v>3.2737397821989145E-3</v>
      </c>
      <c r="F242" s="92">
        <f t="shared" si="142"/>
        <v>1.7133009474759935</v>
      </c>
      <c r="G242" s="98">
        <f t="shared" si="134"/>
        <v>1.7105033637905711</v>
      </c>
      <c r="H242" s="91">
        <f t="shared" si="139"/>
        <v>3.2737397821989145E-3</v>
      </c>
      <c r="I242" s="92">
        <f t="shared" si="143"/>
        <v>1.7848491256448893</v>
      </c>
      <c r="J242" s="98">
        <f t="shared" si="135"/>
        <v>1.7819347136717911</v>
      </c>
      <c r="K242" s="91">
        <f t="shared" ref="K242:K305" si="146">IF(ISERROR((1+HLOOKUP(B242,$B$5:$GB$36,$A$34,FALSE))^(1/3)-1),K243,(1+HLOOKUP(B242,$B$5:$GB$36,$A$34,FALSE))^(1/3)-1)</f>
        <v>7.7192050424750303E-3</v>
      </c>
      <c r="L242" s="94">
        <f t="shared" si="144"/>
        <v>1.533485127457753</v>
      </c>
      <c r="M242" s="94">
        <f t="shared" si="136"/>
        <v>1.5313153912319033</v>
      </c>
      <c r="N242" s="99">
        <f>(O242/O239)^(1/3)-1</f>
        <v>1.6556321620861958E-3</v>
      </c>
      <c r="O242" s="97">
        <f t="shared" ref="O242:O305" si="147">IF(ISERROR(HLOOKUP(B242,$B$5:$GB$36,$A$28,FALSE)),O241*(1+N242),HLOOKUP(B242,$B$5:$GB$36,$A$28,FALSE))</f>
        <v>2.2957694287232728</v>
      </c>
      <c r="P242" s="97">
        <f t="shared" ref="P242:P305" si="148">IF(ISERROR(HLOOKUP(B242,$B$5:$GB$36,$A$29,FALSE)),P241*(1+N242),HLOOKUP(B242,$B$5:$GB$36,$A$29,FALSE))</f>
        <v>2.2732618853044171</v>
      </c>
      <c r="Q242" s="91">
        <f t="shared" si="140"/>
        <v>3.2737397821989145E-3</v>
      </c>
      <c r="R242" s="117">
        <f t="shared" si="137"/>
        <v>4.2425399906651506E-3</v>
      </c>
    </row>
    <row r="243" spans="2:18">
      <c r="B243" s="88">
        <f t="shared" si="133"/>
        <v>44408</v>
      </c>
      <c r="C243" s="117">
        <f t="shared" si="145"/>
        <v>7.5301687448090515E-3</v>
      </c>
      <c r="D243" s="92">
        <f t="shared" si="141"/>
        <v>3.1631973504419761</v>
      </c>
      <c r="E243" s="91">
        <f t="shared" si="138"/>
        <v>3.2737397821989145E-3</v>
      </c>
      <c r="F243" s="92">
        <f t="shared" si="142"/>
        <v>1.7189098489466248</v>
      </c>
      <c r="G243" s="98">
        <f t="shared" si="134"/>
        <v>1.7161031067001973</v>
      </c>
      <c r="H243" s="91">
        <f t="shared" si="139"/>
        <v>3.2737397821989145E-3</v>
      </c>
      <c r="I243" s="92">
        <f t="shared" si="143"/>
        <v>1.790692257232736</v>
      </c>
      <c r="J243" s="98">
        <f t="shared" si="135"/>
        <v>1.7877683042332195</v>
      </c>
      <c r="K243" s="91">
        <f t="shared" si="146"/>
        <v>7.7192050424750303E-3</v>
      </c>
      <c r="L243" s="94">
        <f t="shared" si="144"/>
        <v>1.5378369146429098</v>
      </c>
      <c r="M243" s="94">
        <f t="shared" si="136"/>
        <v>1.5356610210503314</v>
      </c>
      <c r="N243" s="99">
        <f>(O245/O242)^(1/3)-1</f>
        <v>1.6474494364142611E-3</v>
      </c>
      <c r="O243" s="97">
        <f t="shared" si="147"/>
        <v>2.2995515927747601</v>
      </c>
      <c r="P243" s="97">
        <f t="shared" si="148"/>
        <v>2.2770069693161838</v>
      </c>
      <c r="Q243" s="91">
        <f t="shared" si="140"/>
        <v>3.2737397821989145E-3</v>
      </c>
      <c r="R243" s="117">
        <f t="shared" si="137"/>
        <v>4.2425399906651506E-3</v>
      </c>
    </row>
    <row r="244" spans="2:18">
      <c r="B244" s="88">
        <f t="shared" si="133"/>
        <v>44439</v>
      </c>
      <c r="C244" s="117">
        <f t="shared" si="145"/>
        <v>7.5301687448090515E-3</v>
      </c>
      <c r="D244" s="92">
        <f t="shared" si="141"/>
        <v>3.187016760263937</v>
      </c>
      <c r="E244" s="91">
        <f t="shared" si="138"/>
        <v>3.2737397821989145E-3</v>
      </c>
      <c r="F244" s="92">
        <f t="shared" si="142"/>
        <v>1.7245371125011348</v>
      </c>
      <c r="G244" s="98">
        <f t="shared" si="134"/>
        <v>1.721721181710957</v>
      </c>
      <c r="H244" s="91">
        <f t="shared" si="139"/>
        <v>3.2737397821989145E-3</v>
      </c>
      <c r="I244" s="92">
        <f t="shared" si="143"/>
        <v>1.7965545177129143</v>
      </c>
      <c r="J244" s="98">
        <f t="shared" si="135"/>
        <v>1.7936209924521422</v>
      </c>
      <c r="K244" s="91">
        <f t="shared" si="146"/>
        <v>7.7192050424750303E-3</v>
      </c>
      <c r="L244" s="94">
        <f t="shared" si="144"/>
        <v>1.5422010515087814</v>
      </c>
      <c r="M244" s="94">
        <f t="shared" si="136"/>
        <v>1.5400189830758455</v>
      </c>
      <c r="N244" s="99">
        <f>(O245/O242)^(1/3)-1</f>
        <v>1.6474494364142611E-3</v>
      </c>
      <c r="O244" s="97">
        <f t="shared" si="147"/>
        <v>2.3033399877502823</v>
      </c>
      <c r="P244" s="97">
        <f t="shared" si="148"/>
        <v>2.2807582231644949</v>
      </c>
      <c r="Q244" s="91">
        <f t="shared" si="140"/>
        <v>3.2737397821989145E-3</v>
      </c>
      <c r="R244" s="117">
        <f t="shared" si="137"/>
        <v>4.2425399906651506E-3</v>
      </c>
    </row>
    <row r="245" spans="2:18">
      <c r="B245" s="88">
        <f t="shared" si="133"/>
        <v>44469</v>
      </c>
      <c r="C245" s="117">
        <f t="shared" si="145"/>
        <v>7.5301687448090515E-3</v>
      </c>
      <c r="D245" s="92">
        <f t="shared" si="141"/>
        <v>3.211015534261259</v>
      </c>
      <c r="E245" s="91">
        <f t="shared" si="138"/>
        <v>3.2737397821989145E-3</v>
      </c>
      <c r="F245" s="92">
        <f t="shared" si="142"/>
        <v>1.7301827982522082</v>
      </c>
      <c r="G245" s="98">
        <f t="shared" si="134"/>
        <v>1.7273576488373785</v>
      </c>
      <c r="H245" s="91">
        <f t="shared" si="139"/>
        <v>3.2737397821989145E-3</v>
      </c>
      <c r="I245" s="92">
        <f t="shared" si="143"/>
        <v>1.8024359697084402</v>
      </c>
      <c r="J245" s="98">
        <f t="shared" si="135"/>
        <v>1.7994928408493198</v>
      </c>
      <c r="K245" s="91">
        <f t="shared" si="146"/>
        <v>7.7192050424750303E-3</v>
      </c>
      <c r="L245" s="94">
        <f t="shared" si="144"/>
        <v>1.5465775731017997</v>
      </c>
      <c r="M245" s="94">
        <f t="shared" si="136"/>
        <v>1.5443893123052905</v>
      </c>
      <c r="N245" s="99">
        <f>(O245/O242)^(1/3)-1</f>
        <v>1.6474494364142611E-3</v>
      </c>
      <c r="O245" s="97">
        <f t="shared" si="147"/>
        <v>2.3071346239149721</v>
      </c>
      <c r="P245" s="97">
        <f t="shared" si="148"/>
        <v>2.284515657013845</v>
      </c>
      <c r="Q245" s="91">
        <f t="shared" si="140"/>
        <v>3.2737397821989145E-3</v>
      </c>
      <c r="R245" s="117">
        <f t="shared" si="137"/>
        <v>4.2425399906651506E-3</v>
      </c>
    </row>
    <row r="246" spans="2:18">
      <c r="B246" s="88">
        <f>EOMONTH(B245,1)</f>
        <v>44500</v>
      </c>
      <c r="C246" s="117">
        <f t="shared" si="145"/>
        <v>7.5301687448090515E-3</v>
      </c>
      <c r="D246" s="92">
        <f t="shared" si="141"/>
        <v>3.2351950230764492</v>
      </c>
      <c r="E246" s="91">
        <f t="shared" si="138"/>
        <v>3.2737397821989145E-3</v>
      </c>
      <c r="F246" s="92">
        <f t="shared" si="142"/>
        <v>1.7358469665093228</v>
      </c>
      <c r="G246" s="98">
        <f t="shared" si="134"/>
        <v>1.7330125682904631</v>
      </c>
      <c r="H246" s="91">
        <f t="shared" si="139"/>
        <v>3.2737397821989145E-3</v>
      </c>
      <c r="I246" s="92">
        <f t="shared" si="143"/>
        <v>1.8083366760473409</v>
      </c>
      <c r="J246" s="98">
        <f t="shared" si="135"/>
        <v>1.8053839121501905</v>
      </c>
      <c r="K246" s="91">
        <f t="shared" si="146"/>
        <v>7.7192050424750303E-3</v>
      </c>
      <c r="L246" s="94">
        <f t="shared" si="144"/>
        <v>1.5509665145678528</v>
      </c>
      <c r="M246" s="94">
        <f t="shared" si="136"/>
        <v>1.5487720438348263</v>
      </c>
      <c r="N246" s="99">
        <f>(O248/O245)^(1/3)-1</f>
        <v>1.6393471970028717E-3</v>
      </c>
      <c r="O246" s="97">
        <f t="shared" si="147"/>
        <v>2.3109168185937956</v>
      </c>
      <c r="P246" s="97">
        <f t="shared" si="148"/>
        <v>2.2882607713526797</v>
      </c>
      <c r="Q246" s="91">
        <f t="shared" si="140"/>
        <v>3.2737397821989145E-3</v>
      </c>
      <c r="R246" s="117">
        <f t="shared" si="137"/>
        <v>4.2425399906651506E-3</v>
      </c>
    </row>
    <row r="247" spans="2:18">
      <c r="B247" s="88">
        <f t="shared" ref="B247:B310" si="149">EOMONTH(B246,1)</f>
        <v>44530</v>
      </c>
      <c r="C247" s="117">
        <f t="shared" si="145"/>
        <v>7.5301687448090515E-3</v>
      </c>
      <c r="D247" s="92">
        <f t="shared" si="141"/>
        <v>3.2595565875225812</v>
      </c>
      <c r="E247" s="91">
        <f t="shared" si="138"/>
        <v>3.2737397821989145E-3</v>
      </c>
      <c r="F247" s="92">
        <f t="shared" si="142"/>
        <v>1.7415296777793936</v>
      </c>
      <c r="G247" s="98">
        <f t="shared" si="134"/>
        <v>1.7386860004783264</v>
      </c>
      <c r="H247" s="91">
        <f t="shared" si="139"/>
        <v>3.2737397821989145E-3</v>
      </c>
      <c r="I247" s="92">
        <f t="shared" si="143"/>
        <v>1.8142566997633265</v>
      </c>
      <c r="J247" s="98">
        <f t="shared" si="135"/>
        <v>1.8112942692855383</v>
      </c>
      <c r="K247" s="91">
        <f t="shared" si="146"/>
        <v>7.7192050424750303E-3</v>
      </c>
      <c r="L247" s="94">
        <f t="shared" si="144"/>
        <v>1.5553679111525678</v>
      </c>
      <c r="M247" s="94">
        <f t="shared" si="136"/>
        <v>1.5531672128602103</v>
      </c>
      <c r="N247" s="99">
        <f>(O248/O245)^(1/3)-1</f>
        <v>1.6393471970028717E-3</v>
      </c>
      <c r="O247" s="97">
        <f t="shared" si="147"/>
        <v>2.3147052136028643</v>
      </c>
      <c r="P247" s="97">
        <f t="shared" si="148"/>
        <v>2.2920120252342082</v>
      </c>
      <c r="Q247" s="91">
        <f t="shared" si="140"/>
        <v>3.2737397821989145E-3</v>
      </c>
      <c r="R247" s="117">
        <f t="shared" si="137"/>
        <v>4.2425399906651506E-3</v>
      </c>
    </row>
    <row r="248" spans="2:18">
      <c r="B248" s="88">
        <f t="shared" si="149"/>
        <v>44561</v>
      </c>
      <c r="C248" s="117">
        <f t="shared" si="145"/>
        <v>7.5301687448090515E-3</v>
      </c>
      <c r="D248" s="92">
        <f t="shared" si="141"/>
        <v>3.2841015986598801</v>
      </c>
      <c r="E248" s="91">
        <f t="shared" si="138"/>
        <v>3.2737397821989145E-3</v>
      </c>
      <c r="F248" s="92">
        <f t="shared" si="142"/>
        <v>1.7472309927674201</v>
      </c>
      <c r="G248" s="98">
        <f t="shared" si="134"/>
        <v>1.7443780060068446</v>
      </c>
      <c r="H248" s="91">
        <f t="shared" si="139"/>
        <v>3.2737397821989145E-3</v>
      </c>
      <c r="I248" s="92">
        <f t="shared" si="143"/>
        <v>1.8201961040964627</v>
      </c>
      <c r="J248" s="98">
        <f t="shared" si="135"/>
        <v>1.8172239753921673</v>
      </c>
      <c r="K248" s="91">
        <f t="shared" si="146"/>
        <v>7.7192050424750303E-3</v>
      </c>
      <c r="L248" s="94">
        <f t="shared" si="144"/>
        <v>1.5597817982015925</v>
      </c>
      <c r="M248" s="94">
        <f t="shared" si="136"/>
        <v>1.55757485467708</v>
      </c>
      <c r="N248" s="99">
        <f>(O248/O245)^(1/3)-1</f>
        <v>1.6393471970028717E-3</v>
      </c>
      <c r="O248" s="97">
        <f t="shared" si="147"/>
        <v>2.3184998191066715</v>
      </c>
      <c r="P248" s="97">
        <f t="shared" si="148"/>
        <v>2.2957694287232728</v>
      </c>
      <c r="Q248" s="91">
        <f t="shared" si="140"/>
        <v>3.2737397821989145E-3</v>
      </c>
      <c r="R248" s="117">
        <f t="shared" si="137"/>
        <v>4.2425399906651506E-3</v>
      </c>
    </row>
    <row r="249" spans="2:18">
      <c r="B249" s="88">
        <f t="shared" si="149"/>
        <v>44592</v>
      </c>
      <c r="C249" s="117">
        <f t="shared" si="145"/>
        <v>7.3458250304712092E-3</v>
      </c>
      <c r="D249" s="92">
        <f t="shared" si="141"/>
        <v>3.3082260343859264</v>
      </c>
      <c r="E249" s="91">
        <f t="shared" si="138"/>
        <v>3.2737397821989145E-3</v>
      </c>
      <c r="F249" s="92">
        <f t="shared" si="142"/>
        <v>1.7529509723771337</v>
      </c>
      <c r="G249" s="98">
        <f t="shared" si="134"/>
        <v>1.750088645680302</v>
      </c>
      <c r="H249" s="91">
        <f t="shared" si="139"/>
        <v>3.2737397821989145E-3</v>
      </c>
      <c r="I249" s="92">
        <f t="shared" si="143"/>
        <v>1.8261549524938467</v>
      </c>
      <c r="J249" s="98">
        <f t="shared" si="135"/>
        <v>1.8231730938135744</v>
      </c>
      <c r="K249" s="91">
        <f t="shared" si="146"/>
        <v>7.5915342905825689E-3</v>
      </c>
      <c r="L249" s="94">
        <f t="shared" si="144"/>
        <v>1.5640100372673635</v>
      </c>
      <c r="M249" s="94">
        <f t="shared" si="136"/>
        <v>1.561895917734478</v>
      </c>
      <c r="N249" s="99">
        <f>(O251/O248)^(1/3)-1</f>
        <v>1.6638965793120963E-3</v>
      </c>
      <c r="O249" s="97">
        <f t="shared" si="147"/>
        <v>2.3223575630248185</v>
      </c>
      <c r="P249" s="97">
        <f t="shared" si="148"/>
        <v>2.2995893516226147</v>
      </c>
      <c r="Q249" s="91">
        <f t="shared" si="140"/>
        <v>3.2737397821989145E-3</v>
      </c>
      <c r="R249" s="117">
        <f t="shared" si="137"/>
        <v>4.0587978004449354E-3</v>
      </c>
    </row>
    <row r="250" spans="2:18">
      <c r="B250" s="88">
        <f t="shared" si="149"/>
        <v>44620</v>
      </c>
      <c r="C250" s="117">
        <f t="shared" si="145"/>
        <v>7.3458250304712092E-3</v>
      </c>
      <c r="D250" s="92">
        <f t="shared" si="141"/>
        <v>3.3325276839957749</v>
      </c>
      <c r="E250" s="91">
        <f t="shared" si="138"/>
        <v>3.2737397821989145E-3</v>
      </c>
      <c r="F250" s="92">
        <f t="shared" si="142"/>
        <v>1.758689677711649</v>
      </c>
      <c r="G250" s="98">
        <f t="shared" si="134"/>
        <v>1.7558179805020402</v>
      </c>
      <c r="H250" s="91">
        <f t="shared" si="139"/>
        <v>3.2737397821989145E-3</v>
      </c>
      <c r="I250" s="92">
        <f t="shared" si="143"/>
        <v>1.8321333086102853</v>
      </c>
      <c r="J250" s="98">
        <f t="shared" si="135"/>
        <v>1.8291416881006266</v>
      </c>
      <c r="K250" s="91">
        <f t="shared" si="146"/>
        <v>7.5915342905825689E-3</v>
      </c>
      <c r="L250" s="94">
        <f t="shared" si="144"/>
        <v>1.5682497381963374</v>
      </c>
      <c r="M250" s="94">
        <f t="shared" si="136"/>
        <v>1.5661298877318504</v>
      </c>
      <c r="N250" s="99">
        <f>(O251/O248)^(1/3)-1</f>
        <v>1.6638965793120963E-3</v>
      </c>
      <c r="O250" s="97">
        <f t="shared" si="147"/>
        <v>2.3262217258298752</v>
      </c>
      <c r="P250" s="97">
        <f t="shared" si="148"/>
        <v>2.303415630478602</v>
      </c>
      <c r="Q250" s="91">
        <f t="shared" si="140"/>
        <v>3.2737397821989145E-3</v>
      </c>
      <c r="R250" s="117">
        <f t="shared" si="137"/>
        <v>4.0587978004449354E-3</v>
      </c>
    </row>
    <row r="251" spans="2:18">
      <c r="B251" s="88">
        <f t="shared" si="149"/>
        <v>44651</v>
      </c>
      <c r="C251" s="117">
        <f t="shared" si="145"/>
        <v>7.3458250304712092E-3</v>
      </c>
      <c r="D251" s="92">
        <f t="shared" si="141"/>
        <v>3.3570078492716093</v>
      </c>
      <c r="E251" s="91">
        <f t="shared" si="138"/>
        <v>3.2737397821989145E-3</v>
      </c>
      <c r="F251" s="92">
        <f t="shared" si="142"/>
        <v>1.7644471700741162</v>
      </c>
      <c r="G251" s="98">
        <f t="shared" si="134"/>
        <v>1.7615660716751098</v>
      </c>
      <c r="H251" s="91">
        <f t="shared" si="139"/>
        <v>3.2737397821989145E-3</v>
      </c>
      <c r="I251" s="92">
        <f t="shared" si="143"/>
        <v>1.8381312363089746</v>
      </c>
      <c r="J251" s="98">
        <f t="shared" si="135"/>
        <v>1.8351298220122401</v>
      </c>
      <c r="K251" s="91">
        <f t="shared" si="146"/>
        <v>7.5915342905825689E-3</v>
      </c>
      <c r="L251" s="94">
        <f t="shared" si="144"/>
        <v>1.5725009320592049</v>
      </c>
      <c r="M251" s="94">
        <f t="shared" si="136"/>
        <v>1.5703753351277712</v>
      </c>
      <c r="N251" s="99">
        <f>(O251/O248)^(1/3)-1</f>
        <v>1.6638965793120963E-3</v>
      </c>
      <c r="O251" s="97">
        <f t="shared" si="147"/>
        <v>2.3300923182022046</v>
      </c>
      <c r="P251" s="97">
        <f t="shared" si="148"/>
        <v>2.3072482758668893</v>
      </c>
      <c r="Q251" s="91">
        <f t="shared" si="140"/>
        <v>3.2737397821989145E-3</v>
      </c>
      <c r="R251" s="117">
        <f t="shared" si="137"/>
        <v>4.0587978004449354E-3</v>
      </c>
    </row>
    <row r="252" spans="2:18">
      <c r="B252" s="88">
        <f t="shared" si="149"/>
        <v>44681</v>
      </c>
      <c r="C252" s="117">
        <f t="shared" si="145"/>
        <v>7.3458250304712092E-3</v>
      </c>
      <c r="D252" s="92">
        <f t="shared" si="141"/>
        <v>3.381667841558277</v>
      </c>
      <c r="E252" s="91">
        <f t="shared" si="138"/>
        <v>3.2737397821989145E-3</v>
      </c>
      <c r="F252" s="92">
        <f t="shared" si="142"/>
        <v>1.7702235109683762</v>
      </c>
      <c r="G252" s="98">
        <f t="shared" si="134"/>
        <v>1.7673329806029245</v>
      </c>
      <c r="H252" s="91">
        <f t="shared" si="139"/>
        <v>3.2737397821989145E-3</v>
      </c>
      <c r="I252" s="92">
        <f t="shared" si="143"/>
        <v>1.8441487996621817</v>
      </c>
      <c r="J252" s="98">
        <f t="shared" si="135"/>
        <v>1.8411375595160611</v>
      </c>
      <c r="K252" s="91">
        <f t="shared" si="146"/>
        <v>7.5915342905825689E-3</v>
      </c>
      <c r="L252" s="94">
        <f t="shared" si="144"/>
        <v>1.5767636500108828</v>
      </c>
      <c r="M252" s="94">
        <f t="shared" si="136"/>
        <v>1.5746322910350439</v>
      </c>
      <c r="N252" s="99">
        <f>(O254/O251)^(1/3)-1</f>
        <v>1.6556321620861958E-3</v>
      </c>
      <c r="O252" s="97">
        <f t="shared" si="147"/>
        <v>2.3339500939848503</v>
      </c>
      <c r="P252" s="97">
        <f t="shared" si="148"/>
        <v>2.3110682303183325</v>
      </c>
      <c r="Q252" s="91">
        <f t="shared" si="140"/>
        <v>3.2737397821989145E-3</v>
      </c>
      <c r="R252" s="117">
        <f t="shared" si="137"/>
        <v>4.0587978004449354E-3</v>
      </c>
    </row>
    <row r="253" spans="2:18">
      <c r="B253" s="88">
        <f t="shared" si="149"/>
        <v>44712</v>
      </c>
      <c r="C253" s="117">
        <f t="shared" si="145"/>
        <v>7.3458250304712092E-3</v>
      </c>
      <c r="D253" s="92">
        <f t="shared" si="141"/>
        <v>3.4065089818335355</v>
      </c>
      <c r="E253" s="91">
        <f t="shared" si="138"/>
        <v>3.2737397821989145E-3</v>
      </c>
      <c r="F253" s="92">
        <f t="shared" si="142"/>
        <v>1.7760187620996171</v>
      </c>
      <c r="G253" s="98">
        <f t="shared" si="134"/>
        <v>1.7731187688899166</v>
      </c>
      <c r="H253" s="91">
        <f t="shared" si="139"/>
        <v>3.2737397821989145E-3</v>
      </c>
      <c r="I253" s="92">
        <f t="shared" si="143"/>
        <v>1.8501860629519302</v>
      </c>
      <c r="J253" s="98">
        <f t="shared" si="135"/>
        <v>1.8471649647891495</v>
      </c>
      <c r="K253" s="91">
        <f t="shared" si="146"/>
        <v>7.5915342905825689E-3</v>
      </c>
      <c r="L253" s="94">
        <f t="shared" si="144"/>
        <v>1.5810379232907421</v>
      </c>
      <c r="M253" s="94">
        <f t="shared" si="136"/>
        <v>1.5789007866508125</v>
      </c>
      <c r="N253" s="99">
        <f>(O254/O251)^(1/3)-1</f>
        <v>1.6556321620861958E-3</v>
      </c>
      <c r="O253" s="97">
        <f t="shared" si="147"/>
        <v>2.3378142568251556</v>
      </c>
      <c r="P253" s="97">
        <f t="shared" si="148"/>
        <v>2.314894509209223</v>
      </c>
      <c r="Q253" s="91">
        <f t="shared" si="140"/>
        <v>3.2737397821989145E-3</v>
      </c>
      <c r="R253" s="117">
        <f t="shared" si="137"/>
        <v>4.0587978004449354E-3</v>
      </c>
    </row>
    <row r="254" spans="2:18">
      <c r="B254" s="88">
        <f t="shared" si="149"/>
        <v>44742</v>
      </c>
      <c r="C254" s="117">
        <f t="shared" si="145"/>
        <v>7.3458250304712092E-3</v>
      </c>
      <c r="D254" s="92">
        <f t="shared" si="141"/>
        <v>3.4315326007788132</v>
      </c>
      <c r="E254" s="91">
        <f t="shared" si="138"/>
        <v>3.2737397821989145E-3</v>
      </c>
      <c r="F254" s="92">
        <f t="shared" si="142"/>
        <v>1.7818329853750343</v>
      </c>
      <c r="G254" s="98">
        <f t="shared" si="134"/>
        <v>1.7789234983421949</v>
      </c>
      <c r="H254" s="91">
        <f t="shared" si="139"/>
        <v>3.2737397821989145E-3</v>
      </c>
      <c r="I254" s="92">
        <f t="shared" si="143"/>
        <v>1.8562430906706859</v>
      </c>
      <c r="J254" s="98">
        <f t="shared" si="135"/>
        <v>1.8532121022186638</v>
      </c>
      <c r="K254" s="91">
        <f t="shared" si="146"/>
        <v>7.5915342905825689E-3</v>
      </c>
      <c r="L254" s="94">
        <f t="shared" si="144"/>
        <v>1.5853237832228373</v>
      </c>
      <c r="M254" s="94">
        <f t="shared" si="136"/>
        <v>1.5831808532567897</v>
      </c>
      <c r="N254" s="99">
        <f>(O254/O251)^(1/3)-1</f>
        <v>1.6556321620861958E-3</v>
      </c>
      <c r="O254" s="97">
        <f t="shared" si="147"/>
        <v>2.3416848172977383</v>
      </c>
      <c r="P254" s="97">
        <f t="shared" si="148"/>
        <v>2.3187271230105058</v>
      </c>
      <c r="Q254" s="91">
        <f t="shared" si="140"/>
        <v>3.2737397821989145E-3</v>
      </c>
      <c r="R254" s="117">
        <f t="shared" si="137"/>
        <v>4.0587978004449354E-3</v>
      </c>
    </row>
    <row r="255" spans="2:18">
      <c r="B255" s="88">
        <f t="shared" si="149"/>
        <v>44773</v>
      </c>
      <c r="C255" s="117">
        <f t="shared" si="145"/>
        <v>7.3458250304712092E-3</v>
      </c>
      <c r="D255" s="92">
        <f t="shared" si="141"/>
        <v>3.4567400388504921</v>
      </c>
      <c r="E255" s="91">
        <f t="shared" si="138"/>
        <v>3.2737397821989145E-3</v>
      </c>
      <c r="F255" s="92">
        <f t="shared" si="142"/>
        <v>1.7876662429044907</v>
      </c>
      <c r="G255" s="98">
        <f t="shared" si="134"/>
        <v>1.7847472309682062</v>
      </c>
      <c r="H255" s="91">
        <f t="shared" si="139"/>
        <v>3.2737397821989145E-3</v>
      </c>
      <c r="I255" s="92">
        <f t="shared" si="143"/>
        <v>1.8623199475220464</v>
      </c>
      <c r="J255" s="98">
        <f t="shared" si="135"/>
        <v>1.8592790364025495</v>
      </c>
      <c r="K255" s="91">
        <f t="shared" si="146"/>
        <v>7.5915342905825689E-3</v>
      </c>
      <c r="L255" s="94">
        <f t="shared" si="144"/>
        <v>1.5896212612161358</v>
      </c>
      <c r="M255" s="94">
        <f t="shared" si="136"/>
        <v>1.5874725222194865</v>
      </c>
      <c r="N255" s="99">
        <f>(O257/O254)^(1/3)-1</f>
        <v>1.6474494364142611E-3</v>
      </c>
      <c r="O255" s="97">
        <f t="shared" si="147"/>
        <v>2.3455426246302551</v>
      </c>
      <c r="P255" s="97">
        <f t="shared" si="148"/>
        <v>2.322547108702508</v>
      </c>
      <c r="Q255" s="91">
        <f t="shared" si="140"/>
        <v>3.2737397821989145E-3</v>
      </c>
      <c r="R255" s="117">
        <f t="shared" si="137"/>
        <v>4.0587978004449354E-3</v>
      </c>
    </row>
    <row r="256" spans="2:18">
      <c r="B256" s="88">
        <f t="shared" si="149"/>
        <v>44804</v>
      </c>
      <c r="C256" s="117">
        <f t="shared" si="145"/>
        <v>7.3458250304712092E-3</v>
      </c>
      <c r="D256" s="92">
        <f t="shared" si="141"/>
        <v>3.4821326463517122</v>
      </c>
      <c r="E256" s="91">
        <f t="shared" si="138"/>
        <v>3.2737397821989145E-3</v>
      </c>
      <c r="F256" s="92">
        <f t="shared" si="142"/>
        <v>1.7935185970011813</v>
      </c>
      <c r="G256" s="98">
        <f t="shared" si="134"/>
        <v>1.7905900289793961</v>
      </c>
      <c r="H256" s="91">
        <f t="shared" si="139"/>
        <v>3.2737397821989145E-3</v>
      </c>
      <c r="I256" s="92">
        <f t="shared" si="143"/>
        <v>1.8684166984214319</v>
      </c>
      <c r="J256" s="98">
        <f t="shared" si="135"/>
        <v>1.8653658321502289</v>
      </c>
      <c r="K256" s="91">
        <f t="shared" si="146"/>
        <v>7.5915342905825689E-3</v>
      </c>
      <c r="L256" s="94">
        <f t="shared" si="144"/>
        <v>1.593930388764748</v>
      </c>
      <c r="M256" s="94">
        <f t="shared" si="136"/>
        <v>1.5917758249904419</v>
      </c>
      <c r="N256" s="99">
        <f>(O257/O254)^(1/3)-1</f>
        <v>1.6474494364142611E-3</v>
      </c>
      <c r="O256" s="97">
        <f t="shared" si="147"/>
        <v>2.3494067875052878</v>
      </c>
      <c r="P256" s="97">
        <f t="shared" si="148"/>
        <v>2.3263733876277857</v>
      </c>
      <c r="Q256" s="91">
        <f t="shared" si="140"/>
        <v>3.2737397821989145E-3</v>
      </c>
      <c r="R256" s="117">
        <f t="shared" si="137"/>
        <v>4.0587978004449354E-3</v>
      </c>
    </row>
    <row r="257" spans="2:18">
      <c r="B257" s="88">
        <f t="shared" si="149"/>
        <v>44834</v>
      </c>
      <c r="C257" s="117">
        <f t="shared" si="145"/>
        <v>7.3458250304712092E-3</v>
      </c>
      <c r="D257" s="92">
        <f t="shared" si="141"/>
        <v>3.5077117835047034</v>
      </c>
      <c r="E257" s="91">
        <f t="shared" si="138"/>
        <v>3.2737397821989145E-3</v>
      </c>
      <c r="F257" s="92">
        <f t="shared" si="142"/>
        <v>1.7993901101822978</v>
      </c>
      <c r="G257" s="98">
        <f t="shared" si="134"/>
        <v>1.7964519547908748</v>
      </c>
      <c r="H257" s="91">
        <f t="shared" si="139"/>
        <v>3.2737397821989145E-3</v>
      </c>
      <c r="I257" s="92">
        <f t="shared" si="143"/>
        <v>1.8745334084967789</v>
      </c>
      <c r="J257" s="98">
        <f t="shared" si="135"/>
        <v>1.8714725544832937</v>
      </c>
      <c r="K257" s="91">
        <f t="shared" si="146"/>
        <v>7.5915342905825689E-3</v>
      </c>
      <c r="L257" s="94">
        <f t="shared" si="144"/>
        <v>1.5982511974481584</v>
      </c>
      <c r="M257" s="94">
        <f t="shared" si="136"/>
        <v>1.5960907931064532</v>
      </c>
      <c r="N257" s="99">
        <f>(O257/O254)^(1/3)-1</f>
        <v>1.6474494364142611E-3</v>
      </c>
      <c r="O257" s="97">
        <f t="shared" si="147"/>
        <v>2.3532773163932719</v>
      </c>
      <c r="P257" s="97">
        <f t="shared" si="148"/>
        <v>2.3302059701541218</v>
      </c>
      <c r="Q257" s="91">
        <f t="shared" si="140"/>
        <v>3.2737397821989145E-3</v>
      </c>
      <c r="R257" s="117">
        <f t="shared" si="137"/>
        <v>4.0587978004449354E-3</v>
      </c>
    </row>
    <row r="258" spans="2:18">
      <c r="B258" s="88">
        <f t="shared" si="149"/>
        <v>44865</v>
      </c>
      <c r="C258" s="117">
        <f t="shared" si="145"/>
        <v>7.3458250304712092E-3</v>
      </c>
      <c r="D258" s="92">
        <f t="shared" si="141"/>
        <v>3.5334788205236509</v>
      </c>
      <c r="E258" s="91">
        <f t="shared" si="138"/>
        <v>3.2737397821989145E-3</v>
      </c>
      <c r="F258" s="92">
        <f t="shared" si="142"/>
        <v>1.8052808451696969</v>
      </c>
      <c r="G258" s="98">
        <f t="shared" si="134"/>
        <v>1.8023330710220828</v>
      </c>
      <c r="H258" s="91">
        <f t="shared" si="139"/>
        <v>3.2737397821989145E-3</v>
      </c>
      <c r="I258" s="92">
        <f t="shared" si="143"/>
        <v>1.8806701430892356</v>
      </c>
      <c r="J258" s="98">
        <f t="shared" si="135"/>
        <v>1.8775992686361991</v>
      </c>
      <c r="K258" s="91">
        <f t="shared" si="146"/>
        <v>7.5915342905825689E-3</v>
      </c>
      <c r="L258" s="94">
        <f t="shared" si="144"/>
        <v>1.6025837189314565</v>
      </c>
      <c r="M258" s="94">
        <f t="shared" si="136"/>
        <v>1.6004174581898074</v>
      </c>
      <c r="N258" s="99">
        <f>(O260/O257)^(1/3)-1</f>
        <v>1.6393471970028717E-3</v>
      </c>
      <c r="O258" s="97">
        <f t="shared" si="147"/>
        <v>2.3571351549656718</v>
      </c>
      <c r="P258" s="97">
        <f t="shared" si="148"/>
        <v>2.3340259867797335</v>
      </c>
      <c r="Q258" s="91">
        <f t="shared" si="140"/>
        <v>3.2737397821989145E-3</v>
      </c>
      <c r="R258" s="117">
        <f t="shared" si="137"/>
        <v>4.0587978004449354E-3</v>
      </c>
    </row>
    <row r="259" spans="2:18">
      <c r="B259" s="88">
        <f t="shared" si="149"/>
        <v>44895</v>
      </c>
      <c r="C259" s="117">
        <f t="shared" si="145"/>
        <v>7.3458250304712092E-3</v>
      </c>
      <c r="D259" s="92">
        <f t="shared" si="141"/>
        <v>3.5594351376880935</v>
      </c>
      <c r="E259" s="91">
        <f t="shared" si="138"/>
        <v>3.2737397821989145E-3</v>
      </c>
      <c r="F259" s="92">
        <f t="shared" si="142"/>
        <v>1.8111908648905706</v>
      </c>
      <c r="G259" s="98">
        <f t="shared" si="134"/>
        <v>1.8082334404974605</v>
      </c>
      <c r="H259" s="91">
        <f t="shared" si="139"/>
        <v>3.2737397821989145E-3</v>
      </c>
      <c r="I259" s="92">
        <f t="shared" si="143"/>
        <v>1.8868269677538605</v>
      </c>
      <c r="J259" s="98">
        <f t="shared" si="135"/>
        <v>1.8837460400569608</v>
      </c>
      <c r="K259" s="91">
        <f t="shared" si="146"/>
        <v>7.5915342905825689E-3</v>
      </c>
      <c r="L259" s="94">
        <f t="shared" si="144"/>
        <v>1.6069279849655693</v>
      </c>
      <c r="M259" s="94">
        <f t="shared" si="136"/>
        <v>1.604755851948513</v>
      </c>
      <c r="N259" s="99">
        <f>(O260/O257)^(1/3)-1</f>
        <v>1.6393471970028717E-3</v>
      </c>
      <c r="O259" s="97">
        <f t="shared" si="147"/>
        <v>2.3609993178749216</v>
      </c>
      <c r="P259" s="97">
        <f t="shared" si="148"/>
        <v>2.3378522657388929</v>
      </c>
      <c r="Q259" s="91">
        <f t="shared" si="140"/>
        <v>3.2737397821989145E-3</v>
      </c>
      <c r="R259" s="117">
        <f t="shared" si="137"/>
        <v>4.0587978004449354E-3</v>
      </c>
    </row>
    <row r="260" spans="2:18">
      <c r="B260" s="88">
        <f t="shared" si="149"/>
        <v>44926</v>
      </c>
      <c r="C260" s="117">
        <f t="shared" si="145"/>
        <v>7.3458250304712092E-3</v>
      </c>
      <c r="D260" s="92">
        <f t="shared" si="141"/>
        <v>3.5855821254168614</v>
      </c>
      <c r="E260" s="91">
        <f t="shared" si="138"/>
        <v>3.2737397821989145E-3</v>
      </c>
      <c r="F260" s="92">
        <f t="shared" si="142"/>
        <v>1.8171202324781182</v>
      </c>
      <c r="G260" s="98">
        <f t="shared" si="134"/>
        <v>1.8141531262471196</v>
      </c>
      <c r="H260" s="91">
        <f t="shared" si="139"/>
        <v>3.2737397821989145E-3</v>
      </c>
      <c r="I260" s="92">
        <f t="shared" si="143"/>
        <v>1.893003948260322</v>
      </c>
      <c r="J260" s="98">
        <f t="shared" si="135"/>
        <v>1.8899129344078549</v>
      </c>
      <c r="K260" s="91">
        <f t="shared" si="146"/>
        <v>7.5915342905825689E-3</v>
      </c>
      <c r="L260" s="94">
        <f t="shared" si="144"/>
        <v>1.611284027387494</v>
      </c>
      <c r="M260" s="94">
        <f t="shared" si="136"/>
        <v>1.6091060061765317</v>
      </c>
      <c r="N260" s="99">
        <f>(O260/O257)^(1/3)-1</f>
        <v>1.6393471970028717E-3</v>
      </c>
      <c r="O260" s="97">
        <f t="shared" si="147"/>
        <v>2.364869815488805</v>
      </c>
      <c r="P260" s="97">
        <f t="shared" si="148"/>
        <v>2.3416848172977383</v>
      </c>
      <c r="Q260" s="91">
        <f t="shared" si="140"/>
        <v>3.2737397821989145E-3</v>
      </c>
      <c r="R260" s="117">
        <f t="shared" si="137"/>
        <v>4.0587978004449354E-3</v>
      </c>
    </row>
    <row r="261" spans="2:18">
      <c r="B261" s="88">
        <f t="shared" si="149"/>
        <v>44957</v>
      </c>
      <c r="C261" s="117">
        <f t="shared" si="145"/>
        <v>7.3458250304712092E-3</v>
      </c>
      <c r="D261" s="92">
        <f t="shared" si="141"/>
        <v>3.6119211843425587</v>
      </c>
      <c r="E261" s="91">
        <f t="shared" si="138"/>
        <v>3.2737397821989145E-3</v>
      </c>
      <c r="F261" s="92">
        <f t="shared" si="142"/>
        <v>1.8230690112722203</v>
      </c>
      <c r="G261" s="98">
        <f t="shared" si="134"/>
        <v>1.8200921915075152</v>
      </c>
      <c r="H261" s="91">
        <f t="shared" si="139"/>
        <v>3.2737397821989145E-3</v>
      </c>
      <c r="I261" s="92">
        <f t="shared" si="143"/>
        <v>1.8992011505936015</v>
      </c>
      <c r="J261" s="98">
        <f t="shared" si="135"/>
        <v>1.8961000175661182</v>
      </c>
      <c r="K261" s="91">
        <f t="shared" si="146"/>
        <v>7.5915342905825689E-3</v>
      </c>
      <c r="L261" s="94">
        <f t="shared" si="144"/>
        <v>1.6156518781205311</v>
      </c>
      <c r="M261" s="94">
        <f t="shared" si="136"/>
        <v>1.6134679527540126</v>
      </c>
      <c r="N261" s="99">
        <f>(O263/O260)^(1/3)-1</f>
        <v>1.6638965793120963E-3</v>
      </c>
      <c r="O261" s="97">
        <f t="shared" si="147"/>
        <v>2.3688047142853152</v>
      </c>
      <c r="P261" s="97">
        <f t="shared" si="148"/>
        <v>2.3455811386550671</v>
      </c>
      <c r="Q261" s="91">
        <f t="shared" si="140"/>
        <v>3.2737397821989145E-3</v>
      </c>
      <c r="R261" s="117">
        <f t="shared" si="137"/>
        <v>4.0587978004449354E-3</v>
      </c>
    </row>
    <row r="262" spans="2:18">
      <c r="B262" s="88">
        <f t="shared" si="149"/>
        <v>44985</v>
      </c>
      <c r="C262" s="117">
        <f t="shared" si="145"/>
        <v>7.3458250304712092E-3</v>
      </c>
      <c r="D262" s="92">
        <f t="shared" si="141"/>
        <v>3.6384537253865914</v>
      </c>
      <c r="E262" s="91">
        <f t="shared" si="138"/>
        <v>3.2737397821989145E-3</v>
      </c>
      <c r="F262" s="92">
        <f t="shared" si="142"/>
        <v>1.8290372648201163</v>
      </c>
      <c r="G262" s="98">
        <f t="shared" si="134"/>
        <v>1.8260506997221231</v>
      </c>
      <c r="H262" s="91">
        <f t="shared" si="139"/>
        <v>3.2737397821989145E-3</v>
      </c>
      <c r="I262" s="92">
        <f t="shared" si="143"/>
        <v>1.9054186409546978</v>
      </c>
      <c r="J262" s="98">
        <f t="shared" si="135"/>
        <v>1.9023073556246526</v>
      </c>
      <c r="K262" s="91">
        <f t="shared" si="146"/>
        <v>7.5915342905825689E-3</v>
      </c>
      <c r="L262" s="94">
        <f t="shared" si="144"/>
        <v>1.6200315691745184</v>
      </c>
      <c r="M262" s="94">
        <f t="shared" si="136"/>
        <v>1.6178417236475249</v>
      </c>
      <c r="N262" s="99">
        <f>(O263/O260)^(1/3)-1</f>
        <v>1.6638965793120963E-3</v>
      </c>
      <c r="O262" s="97">
        <f t="shared" si="147"/>
        <v>2.3727461603464728</v>
      </c>
      <c r="P262" s="97">
        <f t="shared" si="148"/>
        <v>2.3494839430881744</v>
      </c>
      <c r="Q262" s="91">
        <f t="shared" si="140"/>
        <v>3.2737397821989145E-3</v>
      </c>
      <c r="R262" s="117">
        <f t="shared" si="137"/>
        <v>4.0587978004449354E-3</v>
      </c>
    </row>
    <row r="263" spans="2:18">
      <c r="B263" s="88">
        <f t="shared" si="149"/>
        <v>45016</v>
      </c>
      <c r="C263" s="117">
        <f t="shared" si="145"/>
        <v>7.3458250304712092E-3</v>
      </c>
      <c r="D263" s="92">
        <f t="shared" si="141"/>
        <v>3.6651811698347476</v>
      </c>
      <c r="E263" s="91">
        <f t="shared" si="138"/>
        <v>3.2737397821989145E-3</v>
      </c>
      <c r="F263" s="92">
        <f t="shared" si="142"/>
        <v>1.8350250568770823</v>
      </c>
      <c r="G263" s="98">
        <f t="shared" si="134"/>
        <v>1.8320287145421157</v>
      </c>
      <c r="H263" s="91">
        <f t="shared" si="139"/>
        <v>3.2737397821989145E-3</v>
      </c>
      <c r="I263" s="92">
        <f t="shared" si="143"/>
        <v>1.9116564857613345</v>
      </c>
      <c r="J263" s="98">
        <f t="shared" si="135"/>
        <v>1.9085350148927307</v>
      </c>
      <c r="K263" s="91">
        <f t="shared" si="146"/>
        <v>7.5915342905825689E-3</v>
      </c>
      <c r="L263" s="94">
        <f t="shared" si="144"/>
        <v>1.6244231326460654</v>
      </c>
      <c r="M263" s="94">
        <f t="shared" si="136"/>
        <v>1.622227350910292</v>
      </c>
      <c r="N263" s="99">
        <f>(O263/O260)^(1/3)-1</f>
        <v>1.6638965793120963E-3</v>
      </c>
      <c r="O263" s="97">
        <f t="shared" si="147"/>
        <v>2.3766941645662492</v>
      </c>
      <c r="P263" s="97">
        <f t="shared" si="148"/>
        <v>2.3533932413842269</v>
      </c>
      <c r="Q263" s="91">
        <f t="shared" si="140"/>
        <v>3.2737397821989145E-3</v>
      </c>
      <c r="R263" s="117">
        <f t="shared" si="137"/>
        <v>4.0587978004449354E-3</v>
      </c>
    </row>
    <row r="264" spans="2:18">
      <c r="B264" s="88">
        <f t="shared" si="149"/>
        <v>45046</v>
      </c>
      <c r="C264" s="117">
        <f t="shared" si="145"/>
        <v>7.3458250304712092E-3</v>
      </c>
      <c r="D264" s="92">
        <f t="shared" si="141"/>
        <v>3.6921049494133316</v>
      </c>
      <c r="E264" s="91">
        <f t="shared" si="138"/>
        <v>3.2737397821989145E-3</v>
      </c>
      <c r="F264" s="92">
        <f t="shared" si="142"/>
        <v>1.8410324514071126</v>
      </c>
      <c r="G264" s="98">
        <f t="shared" si="134"/>
        <v>1.8380262998270429</v>
      </c>
      <c r="H264" s="91">
        <f t="shared" si="139"/>
        <v>3.2737397821989145E-3</v>
      </c>
      <c r="I264" s="92">
        <f t="shared" si="143"/>
        <v>1.9179147516486699</v>
      </c>
      <c r="J264" s="98">
        <f t="shared" si="135"/>
        <v>1.9147830618967046</v>
      </c>
      <c r="K264" s="91">
        <f t="shared" si="146"/>
        <v>7.5915342905825689E-3</v>
      </c>
      <c r="L264" s="94">
        <f t="shared" si="144"/>
        <v>1.628826600718789</v>
      </c>
      <c r="M264" s="94">
        <f t="shared" si="136"/>
        <v>1.6266248666824272</v>
      </c>
      <c r="N264" s="99">
        <f>(O266/O263)^(1/3)-1</f>
        <v>1.6556321620861958E-3</v>
      </c>
      <c r="O264" s="97">
        <f t="shared" si="147"/>
        <v>2.3806290958645477</v>
      </c>
      <c r="P264" s="97">
        <f t="shared" si="148"/>
        <v>2.357289594924699</v>
      </c>
      <c r="Q264" s="91">
        <f t="shared" si="140"/>
        <v>3.2737397821989145E-3</v>
      </c>
      <c r="R264" s="117">
        <f t="shared" si="137"/>
        <v>4.0587978004449354E-3</v>
      </c>
    </row>
    <row r="265" spans="2:18">
      <c r="B265" s="88">
        <f t="shared" si="149"/>
        <v>45077</v>
      </c>
      <c r="C265" s="117">
        <f t="shared" si="145"/>
        <v>7.3458250304712092E-3</v>
      </c>
      <c r="D265" s="92">
        <f t="shared" si="141"/>
        <v>3.7192265063658585</v>
      </c>
      <c r="E265" s="91">
        <f t="shared" si="138"/>
        <v>3.2737397821989145E-3</v>
      </c>
      <c r="F265" s="92">
        <f t="shared" si="142"/>
        <v>1.8470595125836031</v>
      </c>
      <c r="G265" s="98">
        <f t="shared" si="134"/>
        <v>1.8440435196455145</v>
      </c>
      <c r="H265" s="91">
        <f t="shared" si="139"/>
        <v>3.2737397821989145E-3</v>
      </c>
      <c r="I265" s="92">
        <f t="shared" si="143"/>
        <v>1.9241935054700083</v>
      </c>
      <c r="J265" s="98">
        <f t="shared" si="135"/>
        <v>1.9210515633807161</v>
      </c>
      <c r="K265" s="91">
        <f t="shared" si="146"/>
        <v>7.5915342905825689E-3</v>
      </c>
      <c r="L265" s="94">
        <f t="shared" si="144"/>
        <v>1.6332420056635493</v>
      </c>
      <c r="M265" s="94">
        <f t="shared" si="136"/>
        <v>1.6310343031911692</v>
      </c>
      <c r="N265" s="99">
        <f>(O266/O263)^(1/3)-1</f>
        <v>1.6556321620861958E-3</v>
      </c>
      <c r="O265" s="97">
        <f t="shared" si="147"/>
        <v>2.3845705419616592</v>
      </c>
      <c r="P265" s="97">
        <f t="shared" si="148"/>
        <v>2.3611923993934076</v>
      </c>
      <c r="Q265" s="91">
        <f t="shared" si="140"/>
        <v>3.2737397821989145E-3</v>
      </c>
      <c r="R265" s="117">
        <f t="shared" si="137"/>
        <v>4.0587978004449354E-3</v>
      </c>
    </row>
    <row r="266" spans="2:18">
      <c r="B266" s="88">
        <f t="shared" si="149"/>
        <v>45107</v>
      </c>
      <c r="C266" s="117">
        <f t="shared" si="145"/>
        <v>7.3458250304712092E-3</v>
      </c>
      <c r="D266" s="92">
        <f t="shared" si="141"/>
        <v>3.746547293530313</v>
      </c>
      <c r="E266" s="91">
        <f t="shared" si="138"/>
        <v>3.2737397821989145E-3</v>
      </c>
      <c r="F266" s="92">
        <f t="shared" si="142"/>
        <v>1.8531063047900369</v>
      </c>
      <c r="G266" s="98">
        <f t="shared" si="134"/>
        <v>1.850080438275884</v>
      </c>
      <c r="H266" s="91">
        <f t="shared" si="139"/>
        <v>3.2737397821989145E-3</v>
      </c>
      <c r="I266" s="92">
        <f t="shared" si="143"/>
        <v>1.9304928142975142</v>
      </c>
      <c r="J266" s="98">
        <f t="shared" si="135"/>
        <v>1.9273405863074111</v>
      </c>
      <c r="K266" s="91">
        <f t="shared" si="146"/>
        <v>7.5915342905825689E-3</v>
      </c>
      <c r="L266" s="94">
        <f t="shared" si="144"/>
        <v>1.6376693798386852</v>
      </c>
      <c r="M266" s="94">
        <f t="shared" si="136"/>
        <v>1.6354556927511172</v>
      </c>
      <c r="N266" s="99">
        <f>(O266/O263)^(1/3)-1</f>
        <v>1.6556321620861958E-3</v>
      </c>
      <c r="O266" s="97">
        <f t="shared" si="147"/>
        <v>2.3885185136436933</v>
      </c>
      <c r="P266" s="97">
        <f t="shared" si="148"/>
        <v>2.365101665470716</v>
      </c>
      <c r="Q266" s="91">
        <f t="shared" si="140"/>
        <v>3.2737397821989145E-3</v>
      </c>
      <c r="R266" s="117">
        <f t="shared" si="137"/>
        <v>4.0587978004449354E-3</v>
      </c>
    </row>
    <row r="267" spans="2:18">
      <c r="B267" s="88">
        <f t="shared" si="149"/>
        <v>45138</v>
      </c>
      <c r="C267" s="117">
        <f t="shared" si="145"/>
        <v>7.3458250304712092E-3</v>
      </c>
      <c r="D267" s="92">
        <f t="shared" si="141"/>
        <v>3.7740687744169721</v>
      </c>
      <c r="E267" s="91">
        <f t="shared" si="138"/>
        <v>3.2737397821989145E-3</v>
      </c>
      <c r="F267" s="92">
        <f t="shared" si="142"/>
        <v>1.8591728926206716</v>
      </c>
      <c r="G267" s="98">
        <f t="shared" si="134"/>
        <v>1.8561371202069357</v>
      </c>
      <c r="H267" s="91">
        <f t="shared" si="139"/>
        <v>3.2737397821989145E-3</v>
      </c>
      <c r="I267" s="92">
        <f t="shared" si="143"/>
        <v>1.9368127454229291</v>
      </c>
      <c r="J267" s="98">
        <f t="shared" si="135"/>
        <v>1.9336501978586522</v>
      </c>
      <c r="K267" s="91">
        <f t="shared" si="146"/>
        <v>7.5915342905825689E-3</v>
      </c>
      <c r="L267" s="94">
        <f t="shared" si="144"/>
        <v>1.6421087556902529</v>
      </c>
      <c r="M267" s="94">
        <f t="shared" si="136"/>
        <v>1.6398890677644691</v>
      </c>
      <c r="N267" s="99">
        <f>(O269/O266)^(1/3)-1</f>
        <v>1.6474494364142611E-3</v>
      </c>
      <c r="O267" s="97">
        <f t="shared" si="147"/>
        <v>2.3924534771228605</v>
      </c>
      <c r="P267" s="97">
        <f t="shared" si="148"/>
        <v>2.368998050876558</v>
      </c>
      <c r="Q267" s="91">
        <f t="shared" si="140"/>
        <v>3.2737397821989145E-3</v>
      </c>
      <c r="R267" s="117">
        <f t="shared" si="137"/>
        <v>4.0587978004449354E-3</v>
      </c>
    </row>
    <row r="268" spans="2:18">
      <c r="B268" s="88">
        <f t="shared" si="149"/>
        <v>45169</v>
      </c>
      <c r="C268" s="117">
        <f t="shared" si="145"/>
        <v>7.3458250304712092E-3</v>
      </c>
      <c r="D268" s="92">
        <f t="shared" si="141"/>
        <v>3.8017924232868041</v>
      </c>
      <c r="E268" s="91">
        <f t="shared" si="138"/>
        <v>3.2737397821989145E-3</v>
      </c>
      <c r="F268" s="92">
        <f t="shared" si="142"/>
        <v>1.8652593408812297</v>
      </c>
      <c r="G268" s="98">
        <f t="shared" ref="G268:G331" si="150">+F267*(F268/F267)^(0.5)</f>
        <v>1.8622136301385732</v>
      </c>
      <c r="H268" s="91">
        <f t="shared" si="139"/>
        <v>3.2737397821989145E-3</v>
      </c>
      <c r="I268" s="92">
        <f t="shared" si="143"/>
        <v>1.9431533663582901</v>
      </c>
      <c r="J268" s="98">
        <f t="shared" ref="J268:J331" si="151">+I267*(I268/I267)^(0.5)</f>
        <v>1.9399804654362389</v>
      </c>
      <c r="K268" s="91">
        <f t="shared" si="146"/>
        <v>7.5915342905825689E-3</v>
      </c>
      <c r="L268" s="94">
        <f t="shared" si="144"/>
        <v>1.6465601657522626</v>
      </c>
      <c r="M268" s="94">
        <f t="shared" ref="M268:M331" si="152">AVERAGE(L268,L267)</f>
        <v>1.6443344607212578</v>
      </c>
      <c r="N268" s="99">
        <f>(O269/O266)^(1/3)-1</f>
        <v>1.6474494364142611E-3</v>
      </c>
      <c r="O268" s="97">
        <f t="shared" si="147"/>
        <v>2.3963949232553938</v>
      </c>
      <c r="P268" s="97">
        <f t="shared" si="148"/>
        <v>2.3729008553803412</v>
      </c>
      <c r="Q268" s="91">
        <f t="shared" si="140"/>
        <v>3.2737397821989145E-3</v>
      </c>
      <c r="R268" s="117">
        <f t="shared" si="137"/>
        <v>4.0587978004449354E-3</v>
      </c>
    </row>
    <row r="269" spans="2:18">
      <c r="B269" s="88">
        <f t="shared" si="149"/>
        <v>45199</v>
      </c>
      <c r="C269" s="117">
        <f t="shared" si="145"/>
        <v>7.3458250304712092E-3</v>
      </c>
      <c r="D269" s="92">
        <f t="shared" si="141"/>
        <v>3.82971972523044</v>
      </c>
      <c r="E269" s="91">
        <f t="shared" si="138"/>
        <v>3.2737397821989145E-3</v>
      </c>
      <c r="F269" s="92">
        <f t="shared" si="142"/>
        <v>1.8713657145895908</v>
      </c>
      <c r="G269" s="98">
        <f t="shared" si="150"/>
        <v>1.8683100329825109</v>
      </c>
      <c r="H269" s="91">
        <f t="shared" si="139"/>
        <v>3.2737397821989145E-3</v>
      </c>
      <c r="I269" s="92">
        <f t="shared" si="143"/>
        <v>1.949514744836651</v>
      </c>
      <c r="J269" s="98">
        <f t="shared" si="151"/>
        <v>1.9463314566626264</v>
      </c>
      <c r="K269" s="91">
        <f t="shared" si="146"/>
        <v>7.5915342905825689E-3</v>
      </c>
      <c r="L269" s="94">
        <f t="shared" si="144"/>
        <v>1.6510236426469176</v>
      </c>
      <c r="M269" s="94">
        <f t="shared" si="152"/>
        <v>1.64879190419959</v>
      </c>
      <c r="N269" s="99">
        <f>(O269/O266)^(1/3)-1</f>
        <v>1.6474494364142611E-3</v>
      </c>
      <c r="O269" s="97">
        <f t="shared" si="147"/>
        <v>2.4003428627211374</v>
      </c>
      <c r="P269" s="97">
        <f t="shared" si="148"/>
        <v>2.3768100895572046</v>
      </c>
      <c r="Q269" s="91">
        <f t="shared" si="140"/>
        <v>3.2737397821989145E-3</v>
      </c>
      <c r="R269" s="117">
        <f t="shared" ref="R269:R332" si="153">IF(ISERROR((1+HLOOKUP(B269,$B$5:$EX$36,21,FALSE))^(1/3)-1),R270,(1+HLOOKUP(B269,$B$5:$EX$36,21,FALSE))^(1/3)-1)</f>
        <v>4.0587978004449354E-3</v>
      </c>
    </row>
    <row r="270" spans="2:18">
      <c r="B270" s="88">
        <f t="shared" si="149"/>
        <v>45230</v>
      </c>
      <c r="C270" s="117">
        <f t="shared" si="145"/>
        <v>7.3458250304712092E-3</v>
      </c>
      <c r="D270" s="92">
        <f t="shared" si="141"/>
        <v>3.8578521762477269</v>
      </c>
      <c r="E270" s="91">
        <f t="shared" si="138"/>
        <v>3.2737397821989145E-3</v>
      </c>
      <c r="F270" s="92">
        <f t="shared" si="142"/>
        <v>1.8774920789764857</v>
      </c>
      <c r="G270" s="98">
        <f t="shared" si="150"/>
        <v>1.8744263938629673</v>
      </c>
      <c r="H270" s="91">
        <f t="shared" si="139"/>
        <v>3.2737397821989145E-3</v>
      </c>
      <c r="I270" s="92">
        <f t="shared" si="143"/>
        <v>1.9558969488128062</v>
      </c>
      <c r="J270" s="98">
        <f t="shared" si="151"/>
        <v>1.9527032393816479</v>
      </c>
      <c r="K270" s="91">
        <f t="shared" si="146"/>
        <v>7.5915342905825689E-3</v>
      </c>
      <c r="L270" s="94">
        <f t="shared" si="144"/>
        <v>1.6554992190848528</v>
      </c>
      <c r="M270" s="94">
        <f t="shared" si="152"/>
        <v>1.6532614308658853</v>
      </c>
      <c r="N270" s="99">
        <f>(O272/O269)^(1/3)-1</f>
        <v>1.6393471970028717E-3</v>
      </c>
      <c r="O270" s="97">
        <f t="shared" si="147"/>
        <v>2.4042778580649853</v>
      </c>
      <c r="P270" s="97">
        <f t="shared" si="148"/>
        <v>2.3807065065153283</v>
      </c>
      <c r="Q270" s="91">
        <f t="shared" si="140"/>
        <v>3.2737397821989145E-3</v>
      </c>
      <c r="R270" s="117">
        <f t="shared" si="153"/>
        <v>4.0587978004449354E-3</v>
      </c>
    </row>
    <row r="271" spans="2:18">
      <c r="B271" s="88">
        <f t="shared" si="149"/>
        <v>45260</v>
      </c>
      <c r="C271" s="117">
        <f t="shared" si="145"/>
        <v>7.3458250304712092E-3</v>
      </c>
      <c r="D271" s="92">
        <f t="shared" si="141"/>
        <v>3.8861912833278653</v>
      </c>
      <c r="E271" s="91">
        <f t="shared" si="138"/>
        <v>3.2737397821989145E-3</v>
      </c>
      <c r="F271" s="92">
        <f t="shared" si="142"/>
        <v>1.8836384994861943</v>
      </c>
      <c r="G271" s="98">
        <f t="shared" si="150"/>
        <v>1.8805627781173599</v>
      </c>
      <c r="H271" s="91">
        <f t="shared" si="139"/>
        <v>3.2737397821989145E-3</v>
      </c>
      <c r="I271" s="92">
        <f t="shared" si="143"/>
        <v>1.9623000464640161</v>
      </c>
      <c r="J271" s="98">
        <f t="shared" si="151"/>
        <v>1.9590958816592405</v>
      </c>
      <c r="K271" s="91">
        <f t="shared" si="146"/>
        <v>7.5915342905825689E-3</v>
      </c>
      <c r="L271" s="94">
        <f t="shared" si="144"/>
        <v>1.6599869278653749</v>
      </c>
      <c r="M271" s="94">
        <f t="shared" si="152"/>
        <v>1.657743073475114</v>
      </c>
      <c r="N271" s="99">
        <f>(O272/O269)^(1/3)-1</f>
        <v>1.6393471970028717E-3</v>
      </c>
      <c r="O271" s="97">
        <f t="shared" si="147"/>
        <v>2.40821930423242</v>
      </c>
      <c r="P271" s="97">
        <f t="shared" si="148"/>
        <v>2.3846093110536706</v>
      </c>
      <c r="Q271" s="91">
        <f t="shared" si="140"/>
        <v>3.2737397821989145E-3</v>
      </c>
      <c r="R271" s="117">
        <f t="shared" si="153"/>
        <v>4.0587978004449354E-3</v>
      </c>
    </row>
    <row r="272" spans="2:18">
      <c r="B272" s="88">
        <f t="shared" si="149"/>
        <v>45291</v>
      </c>
      <c r="C272" s="117">
        <f t="shared" si="145"/>
        <v>7.3458250304712092E-3</v>
      </c>
      <c r="D272" s="92">
        <f t="shared" si="141"/>
        <v>3.914738564530134</v>
      </c>
      <c r="E272" s="91">
        <f t="shared" si="138"/>
        <v>3.2737397821989145E-3</v>
      </c>
      <c r="F272" s="92">
        <f t="shared" si="142"/>
        <v>1.8898050417772438</v>
      </c>
      <c r="G272" s="98">
        <f t="shared" si="150"/>
        <v>1.8867192512970052</v>
      </c>
      <c r="H272" s="91">
        <f t="shared" si="139"/>
        <v>3.2737397821989145E-3</v>
      </c>
      <c r="I272" s="92">
        <f t="shared" si="143"/>
        <v>1.9687241061907361</v>
      </c>
      <c r="J272" s="98">
        <f t="shared" si="151"/>
        <v>1.9655094517841702</v>
      </c>
      <c r="K272" s="91">
        <f t="shared" si="146"/>
        <v>7.5915342905825689E-3</v>
      </c>
      <c r="L272" s="94">
        <f t="shared" si="144"/>
        <v>1.6644868018767029</v>
      </c>
      <c r="M272" s="94">
        <f t="shared" si="152"/>
        <v>1.6622368648710388</v>
      </c>
      <c r="N272" s="99">
        <f>(O272/O269)^(1/3)-1</f>
        <v>1.6393471970028717E-3</v>
      </c>
      <c r="O272" s="97">
        <f t="shared" si="147"/>
        <v>2.4121672117985811</v>
      </c>
      <c r="P272" s="97">
        <f t="shared" si="148"/>
        <v>2.3885185136436933</v>
      </c>
      <c r="Q272" s="91">
        <f t="shared" si="140"/>
        <v>3.2737397821989145E-3</v>
      </c>
      <c r="R272" s="117">
        <f t="shared" si="153"/>
        <v>4.0587978004449354E-3</v>
      </c>
    </row>
    <row r="273" spans="2:18">
      <c r="B273" s="88">
        <f t="shared" si="149"/>
        <v>45322</v>
      </c>
      <c r="C273" s="117">
        <f t="shared" si="145"/>
        <v>7.3458250304712092E-3</v>
      </c>
      <c r="D273" s="92">
        <f t="shared" si="141"/>
        <v>3.9434955490652106</v>
      </c>
      <c r="E273" s="91">
        <f t="shared" si="138"/>
        <v>3.2737397821989145E-3</v>
      </c>
      <c r="F273" s="92">
        <f t="shared" si="142"/>
        <v>1.8959917717231101</v>
      </c>
      <c r="G273" s="98">
        <f t="shared" si="150"/>
        <v>1.8928958791678168</v>
      </c>
      <c r="H273" s="91">
        <f t="shared" si="139"/>
        <v>3.2737397821989145E-3</v>
      </c>
      <c r="I273" s="92">
        <f t="shared" si="143"/>
        <v>1.9751691966173468</v>
      </c>
      <c r="J273" s="98">
        <f t="shared" si="151"/>
        <v>1.9719440182687642</v>
      </c>
      <c r="K273" s="91">
        <f t="shared" si="146"/>
        <v>7.5915342905825689E-3</v>
      </c>
      <c r="L273" s="94">
        <f t="shared" si="144"/>
        <v>1.6689988740962083</v>
      </c>
      <c r="M273" s="94">
        <f t="shared" si="152"/>
        <v>1.6667428379864555</v>
      </c>
      <c r="N273" s="99">
        <f>(O275/O272)^(1/3)-1</f>
        <v>1.6638965793120963E-3</v>
      </c>
      <c r="O273" s="97">
        <f t="shared" si="147"/>
        <v>2.4161808085710215</v>
      </c>
      <c r="P273" s="97">
        <f t="shared" si="148"/>
        <v>2.3924927614281688</v>
      </c>
      <c r="Q273" s="91">
        <f t="shared" si="140"/>
        <v>3.2737397821989145E-3</v>
      </c>
      <c r="R273" s="117">
        <f t="shared" si="153"/>
        <v>4.0587978004449354E-3</v>
      </c>
    </row>
    <row r="274" spans="2:18">
      <c r="B274" s="88">
        <f t="shared" si="149"/>
        <v>45351</v>
      </c>
      <c r="C274" s="117">
        <f t="shared" si="145"/>
        <v>7.3458250304712092E-3</v>
      </c>
      <c r="D274" s="92">
        <f t="shared" si="141"/>
        <v>3.9724637773770857</v>
      </c>
      <c r="E274" s="91">
        <f t="shared" si="138"/>
        <v>3.2737397821989145E-3</v>
      </c>
      <c r="F274" s="92">
        <f t="shared" si="142"/>
        <v>1.9021987554129218</v>
      </c>
      <c r="G274" s="98">
        <f t="shared" si="150"/>
        <v>1.899092727711009</v>
      </c>
      <c r="H274" s="91">
        <f t="shared" si="139"/>
        <v>3.2737397821989145E-3</v>
      </c>
      <c r="I274" s="92">
        <f t="shared" si="143"/>
        <v>1.9816353865928868</v>
      </c>
      <c r="J274" s="98">
        <f t="shared" si="151"/>
        <v>1.9783996498496399</v>
      </c>
      <c r="K274" s="91">
        <f t="shared" si="146"/>
        <v>7.5915342905825689E-3</v>
      </c>
      <c r="L274" s="94">
        <f t="shared" si="144"/>
        <v>1.6735231775906574</v>
      </c>
      <c r="M274" s="94">
        <f t="shared" si="152"/>
        <v>1.6712610258434328</v>
      </c>
      <c r="N274" s="99">
        <f>(O275/O272)^(1/3)-1</f>
        <v>1.6638965793120963E-3</v>
      </c>
      <c r="O274" s="97">
        <f t="shared" si="147"/>
        <v>2.4202010835534025</v>
      </c>
      <c r="P274" s="97">
        <f t="shared" si="148"/>
        <v>2.3964736219499381</v>
      </c>
      <c r="Q274" s="91">
        <f t="shared" si="140"/>
        <v>3.2737397821989145E-3</v>
      </c>
      <c r="R274" s="117">
        <f t="shared" si="153"/>
        <v>4.0587978004449354E-3</v>
      </c>
    </row>
    <row r="275" spans="2:18">
      <c r="B275" s="88">
        <f t="shared" si="149"/>
        <v>45382</v>
      </c>
      <c r="C275" s="117">
        <f t="shared" si="145"/>
        <v>7.3458250304712092E-3</v>
      </c>
      <c r="D275" s="92">
        <f t="shared" si="141"/>
        <v>4.0016448012255825</v>
      </c>
      <c r="E275" s="91">
        <f t="shared" si="138"/>
        <v>3.2737397821989145E-3</v>
      </c>
      <c r="F275" s="92">
        <f t="shared" si="142"/>
        <v>1.9084260591521665</v>
      </c>
      <c r="G275" s="98">
        <f t="shared" si="150"/>
        <v>1.905309863123801</v>
      </c>
      <c r="H275" s="91">
        <f t="shared" si="139"/>
        <v>3.2737397821989145E-3</v>
      </c>
      <c r="I275" s="92">
        <f t="shared" si="143"/>
        <v>1.9881227451917891</v>
      </c>
      <c r="J275" s="98">
        <f t="shared" si="151"/>
        <v>1.9848764154884411</v>
      </c>
      <c r="K275" s="91">
        <f t="shared" si="146"/>
        <v>7.5915342905825689E-3</v>
      </c>
      <c r="L275" s="94">
        <f t="shared" si="144"/>
        <v>1.6780597455164536</v>
      </c>
      <c r="M275" s="94">
        <f t="shared" si="152"/>
        <v>1.6757914615535556</v>
      </c>
      <c r="N275" s="99">
        <f>(O275/O272)^(1/3)-1</f>
        <v>1.6638965793120963E-3</v>
      </c>
      <c r="O275" s="97">
        <f t="shared" si="147"/>
        <v>2.4242280478575742</v>
      </c>
      <c r="P275" s="97">
        <f t="shared" si="148"/>
        <v>2.4004611062119117</v>
      </c>
      <c r="Q275" s="91">
        <f t="shared" si="140"/>
        <v>3.2737397821989145E-3</v>
      </c>
      <c r="R275" s="117">
        <f t="shared" si="153"/>
        <v>4.0587978004449354E-3</v>
      </c>
    </row>
    <row r="276" spans="2:18">
      <c r="B276" s="88">
        <f t="shared" si="149"/>
        <v>45412</v>
      </c>
      <c r="C276" s="117">
        <f t="shared" si="145"/>
        <v>7.3458250304712092E-3</v>
      </c>
      <c r="D276" s="92">
        <f t="shared" si="141"/>
        <v>4.0310401837694805</v>
      </c>
      <c r="E276" s="91">
        <f t="shared" si="138"/>
        <v>3.2737397821989145E-3</v>
      </c>
      <c r="F276" s="92">
        <f t="shared" si="142"/>
        <v>1.9146737494633981</v>
      </c>
      <c r="G276" s="98">
        <f t="shared" si="150"/>
        <v>1.9115473518201256</v>
      </c>
      <c r="H276" s="91">
        <f t="shared" si="139"/>
        <v>3.2737397821989145E-3</v>
      </c>
      <c r="I276" s="92">
        <f t="shared" si="143"/>
        <v>1.994631341714618</v>
      </c>
      <c r="J276" s="98">
        <f t="shared" si="151"/>
        <v>1.991374384372574</v>
      </c>
      <c r="K276" s="91">
        <f t="shared" si="146"/>
        <v>7.5915342905825689E-3</v>
      </c>
      <c r="L276" s="94">
        <f t="shared" si="144"/>
        <v>1.6826086111198806</v>
      </c>
      <c r="M276" s="94">
        <f t="shared" si="152"/>
        <v>1.6803341783181671</v>
      </c>
      <c r="N276" s="99">
        <f>(O278/O275)^(1/3)-1</f>
        <v>1.6556321620859737E-3</v>
      </c>
      <c r="O276" s="97">
        <f t="shared" si="147"/>
        <v>2.4282416777818381</v>
      </c>
      <c r="P276" s="97">
        <f t="shared" si="148"/>
        <v>2.4044353868231925</v>
      </c>
      <c r="Q276" s="91">
        <f t="shared" si="140"/>
        <v>3.2737397821989145E-3</v>
      </c>
      <c r="R276" s="117">
        <f t="shared" si="153"/>
        <v>4.0587978004449354E-3</v>
      </c>
    </row>
    <row r="277" spans="2:18">
      <c r="B277" s="88">
        <f t="shared" si="149"/>
        <v>45443</v>
      </c>
      <c r="C277" s="117">
        <f t="shared" si="145"/>
        <v>7.3458250304712092E-3</v>
      </c>
      <c r="D277" s="92">
        <f t="shared" si="141"/>
        <v>4.0606514996502492</v>
      </c>
      <c r="E277" s="91">
        <f t="shared" si="138"/>
        <v>3.2737397821989145E-3</v>
      </c>
      <c r="F277" s="92">
        <f t="shared" si="142"/>
        <v>1.9209418930869484</v>
      </c>
      <c r="G277" s="98">
        <f t="shared" si="150"/>
        <v>1.9178052604313363</v>
      </c>
      <c r="H277" s="91">
        <f t="shared" si="139"/>
        <v>3.2737397821989145E-3</v>
      </c>
      <c r="I277" s="92">
        <f t="shared" si="143"/>
        <v>2.0011612456888099</v>
      </c>
      <c r="J277" s="98">
        <f t="shared" si="151"/>
        <v>1.9978936259159463</v>
      </c>
      <c r="K277" s="91">
        <f t="shared" si="146"/>
        <v>7.5915342905825689E-3</v>
      </c>
      <c r="L277" s="94">
        <f t="shared" si="144"/>
        <v>1.6871698077373452</v>
      </c>
      <c r="M277" s="94">
        <f t="shared" si="152"/>
        <v>1.6848892094286128</v>
      </c>
      <c r="N277" s="99">
        <f>(O278/O275)^(1/3)-1</f>
        <v>1.6556321620859737E-3</v>
      </c>
      <c r="O277" s="97">
        <f t="shared" si="147"/>
        <v>2.4322619528008911</v>
      </c>
      <c r="P277" s="97">
        <f t="shared" si="148"/>
        <v>2.4084162473812745</v>
      </c>
      <c r="Q277" s="91">
        <f t="shared" si="140"/>
        <v>3.2737397821989145E-3</v>
      </c>
      <c r="R277" s="117">
        <f t="shared" si="153"/>
        <v>4.0587978004449354E-3</v>
      </c>
    </row>
    <row r="278" spans="2:18">
      <c r="B278" s="88">
        <f t="shared" si="149"/>
        <v>45473</v>
      </c>
      <c r="C278" s="117">
        <f t="shared" si="145"/>
        <v>7.3458250304712092E-3</v>
      </c>
      <c r="D278" s="92">
        <f t="shared" si="141"/>
        <v>4.0904803350764007</v>
      </c>
      <c r="E278" s="91">
        <f t="shared" si="138"/>
        <v>3.2737397821989145E-3</v>
      </c>
      <c r="F278" s="92">
        <f t="shared" si="142"/>
        <v>1.9272305569816397</v>
      </c>
      <c r="G278" s="98">
        <f t="shared" si="150"/>
        <v>1.9240836558069205</v>
      </c>
      <c r="H278" s="91">
        <f t="shared" si="139"/>
        <v>3.2737397821989145E-3</v>
      </c>
      <c r="I278" s="92">
        <f t="shared" si="143"/>
        <v>2.0077125268694163</v>
      </c>
      <c r="J278" s="98">
        <f t="shared" si="151"/>
        <v>2.004434209759709</v>
      </c>
      <c r="K278" s="91">
        <f t="shared" si="146"/>
        <v>7.5915342905825689E-3</v>
      </c>
      <c r="L278" s="94">
        <f t="shared" si="144"/>
        <v>1.6917433687956225</v>
      </c>
      <c r="M278" s="94">
        <f t="shared" si="152"/>
        <v>1.6894565882664838</v>
      </c>
      <c r="N278" s="99">
        <f>(O278/O275)^(1/3)-1</f>
        <v>1.6556321620859737E-3</v>
      </c>
      <c r="O278" s="97">
        <f t="shared" si="147"/>
        <v>2.4362888839165668</v>
      </c>
      <c r="P278" s="97">
        <f t="shared" si="148"/>
        <v>2.4124036987801301</v>
      </c>
      <c r="Q278" s="91">
        <f t="shared" si="140"/>
        <v>3.2737397821989145E-3</v>
      </c>
      <c r="R278" s="117">
        <f t="shared" si="153"/>
        <v>4.0587978004449354E-3</v>
      </c>
    </row>
    <row r="279" spans="2:18">
      <c r="B279" s="88">
        <f t="shared" si="149"/>
        <v>45504</v>
      </c>
      <c r="C279" s="117">
        <f t="shared" si="145"/>
        <v>7.3458250304712092E-3</v>
      </c>
      <c r="D279" s="92">
        <f t="shared" si="141"/>
        <v>4.1205282879084555</v>
      </c>
      <c r="E279" s="91">
        <f t="shared" si="138"/>
        <v>3.2737397821989145E-3</v>
      </c>
      <c r="F279" s="92">
        <f t="shared" si="142"/>
        <v>1.9335398083254998</v>
      </c>
      <c r="G279" s="98">
        <f t="shared" si="150"/>
        <v>1.9303826050152144</v>
      </c>
      <c r="H279" s="91">
        <f t="shared" si="139"/>
        <v>3.2737397821989145E-3</v>
      </c>
      <c r="I279" s="92">
        <f t="shared" si="143"/>
        <v>2.0142852552398476</v>
      </c>
      <c r="J279" s="98">
        <f t="shared" si="151"/>
        <v>2.010996205773</v>
      </c>
      <c r="K279" s="91">
        <f t="shared" si="146"/>
        <v>7.5915342905825689E-3</v>
      </c>
      <c r="L279" s="94">
        <f t="shared" si="144"/>
        <v>1.6963293278121006</v>
      </c>
      <c r="M279" s="94">
        <f t="shared" si="152"/>
        <v>1.6940363483038614</v>
      </c>
      <c r="N279" s="99">
        <f>(O281/O278)^(1/3)-1</f>
        <v>1.6474494364142611E-3</v>
      </c>
      <c r="O279" s="97">
        <f t="shared" si="147"/>
        <v>2.4403025466653174</v>
      </c>
      <c r="P279" s="97">
        <f t="shared" si="148"/>
        <v>2.4163780118940892</v>
      </c>
      <c r="Q279" s="91">
        <f t="shared" si="140"/>
        <v>3.2737397821989145E-3</v>
      </c>
      <c r="R279" s="117">
        <f t="shared" si="153"/>
        <v>4.0587978004449354E-3</v>
      </c>
    </row>
    <row r="280" spans="2:18">
      <c r="B280" s="88">
        <f t="shared" si="149"/>
        <v>45535</v>
      </c>
      <c r="C280" s="117">
        <f t="shared" si="145"/>
        <v>7.3458250304712092E-3</v>
      </c>
      <c r="D280" s="92">
        <f t="shared" si="141"/>
        <v>4.1507969677445384</v>
      </c>
      <c r="E280" s="91">
        <f t="shared" si="138"/>
        <v>3.2737397821989145E-3</v>
      </c>
      <c r="F280" s="92">
        <f t="shared" si="142"/>
        <v>1.9398697145164803</v>
      </c>
      <c r="G280" s="98">
        <f t="shared" si="150"/>
        <v>1.9367021753441176</v>
      </c>
      <c r="H280" s="91">
        <f t="shared" si="139"/>
        <v>3.2737397821989145E-3</v>
      </c>
      <c r="I280" s="92">
        <f t="shared" si="143"/>
        <v>2.0208795010126228</v>
      </c>
      <c r="J280" s="98">
        <f t="shared" si="151"/>
        <v>2.0175796840536897</v>
      </c>
      <c r="K280" s="91">
        <f t="shared" si="146"/>
        <v>7.5915342905825689E-3</v>
      </c>
      <c r="L280" s="94">
        <f t="shared" si="144"/>
        <v>1.7009277183950258</v>
      </c>
      <c r="M280" s="94">
        <f t="shared" si="152"/>
        <v>1.6986285231035632</v>
      </c>
      <c r="N280" s="99">
        <f>(O281/O278)^(1/3)-1</f>
        <v>1.6474494364142611E-3</v>
      </c>
      <c r="O280" s="97">
        <f t="shared" si="147"/>
        <v>2.4443228217205015</v>
      </c>
      <c r="P280" s="97">
        <f t="shared" si="148"/>
        <v>2.4203588724879479</v>
      </c>
      <c r="Q280" s="91">
        <f t="shared" si="140"/>
        <v>3.2737397821989145E-3</v>
      </c>
      <c r="R280" s="117">
        <f t="shared" si="153"/>
        <v>4.0587978004449354E-3</v>
      </c>
    </row>
    <row r="281" spans="2:18">
      <c r="B281" s="88">
        <f t="shared" si="149"/>
        <v>45565</v>
      </c>
      <c r="C281" s="117">
        <f t="shared" si="145"/>
        <v>7.3458250304712092E-3</v>
      </c>
      <c r="D281" s="92">
        <f t="shared" si="141"/>
        <v>4.1812879960066001</v>
      </c>
      <c r="E281" s="91">
        <f t="shared" si="138"/>
        <v>3.2737397821989145E-3</v>
      </c>
      <c r="F281" s="92">
        <f t="shared" si="142"/>
        <v>1.9462203431731757</v>
      </c>
      <c r="G281" s="98">
        <f t="shared" si="150"/>
        <v>1.9430424343018127</v>
      </c>
      <c r="H281" s="91">
        <f t="shared" si="139"/>
        <v>3.2737397821989145E-3</v>
      </c>
      <c r="I281" s="92">
        <f t="shared" si="143"/>
        <v>2.0274953346301183</v>
      </c>
      <c r="J281" s="98">
        <f t="shared" si="151"/>
        <v>2.0241847149291323</v>
      </c>
      <c r="K281" s="91">
        <f t="shared" si="146"/>
        <v>7.5915342905825689E-3</v>
      </c>
      <c r="L281" s="94">
        <f t="shared" si="144"/>
        <v>1.7055385742437497</v>
      </c>
      <c r="M281" s="94">
        <f t="shared" si="152"/>
        <v>1.7032331463193877</v>
      </c>
      <c r="N281" s="99">
        <f>(O281/O278)^(1/3)-1</f>
        <v>1.6474494364142611E-3</v>
      </c>
      <c r="O281" s="97">
        <f t="shared" si="147"/>
        <v>2.4483497199755595</v>
      </c>
      <c r="P281" s="97">
        <f t="shared" si="148"/>
        <v>2.4243462913483484</v>
      </c>
      <c r="Q281" s="91">
        <f t="shared" si="140"/>
        <v>3.2737397821989145E-3</v>
      </c>
      <c r="R281" s="117">
        <f t="shared" si="153"/>
        <v>4.0587978004449354E-3</v>
      </c>
    </row>
    <row r="282" spans="2:18">
      <c r="B282" s="88">
        <f t="shared" si="149"/>
        <v>45596</v>
      </c>
      <c r="C282" s="117">
        <f t="shared" si="145"/>
        <v>7.3458250304712092E-3</v>
      </c>
      <c r="D282" s="92">
        <f t="shared" si="141"/>
        <v>4.212003006027274</v>
      </c>
      <c r="E282" s="91">
        <f t="shared" ref="E282:E345" si="154">IF(ISERROR((1+HLOOKUP(B282,$B$5:$GB$36,7,FALSE))^(1/3)-1),E283,(1+HLOOKUP(B282,$B$5:$GB$36,7,FALSE))^(1/3)-1)</f>
        <v>3.2737397821989145E-3</v>
      </c>
      <c r="F282" s="92">
        <f t="shared" si="142"/>
        <v>1.9525917621355466</v>
      </c>
      <c r="G282" s="98">
        <f t="shared" si="150"/>
        <v>1.9494034496174872</v>
      </c>
      <c r="H282" s="91">
        <f t="shared" ref="H282:H345" si="155">IF(ISERROR((1+HLOOKUP(B282,$B$5:$GB$36,8,FALSE))^(1/3)-1),H283,(1+HLOOKUP(B282,$B$5:$GB$36,8,FALSE))^(1/3)-1)</f>
        <v>3.2737397821989145E-3</v>
      </c>
      <c r="I282" s="92">
        <f t="shared" si="143"/>
        <v>2.0341328267653198</v>
      </c>
      <c r="J282" s="98">
        <f t="shared" si="151"/>
        <v>2.0308113689569152</v>
      </c>
      <c r="K282" s="91">
        <f t="shared" si="146"/>
        <v>7.5915342905825689E-3</v>
      </c>
      <c r="L282" s="94">
        <f t="shared" si="144"/>
        <v>1.7101619291489754</v>
      </c>
      <c r="M282" s="94">
        <f t="shared" si="152"/>
        <v>1.7078502516963625</v>
      </c>
      <c r="N282" s="99">
        <f>(O284/O281)^(1/3)-1</f>
        <v>1.6393471970028717E-3</v>
      </c>
      <c r="O282" s="97">
        <f t="shared" si="147"/>
        <v>2.4523634152262841</v>
      </c>
      <c r="P282" s="97">
        <f t="shared" si="148"/>
        <v>2.4283206366456347</v>
      </c>
      <c r="Q282" s="91">
        <f t="shared" ref="Q282:Q345" si="156">IF(ISERROR((1+HLOOKUP(B282,$B$5:$EX$36,$A$32,FALSE))^(1/3)-1),Q283,(1+HLOOKUP(B282,$B$5:$EX$36,$A$32,FALSE))^(1/3)-1)</f>
        <v>3.2737397821989145E-3</v>
      </c>
      <c r="R282" s="117">
        <f t="shared" si="153"/>
        <v>4.0587978004449354E-3</v>
      </c>
    </row>
    <row r="283" spans="2:18">
      <c r="B283" s="88">
        <f t="shared" si="149"/>
        <v>45626</v>
      </c>
      <c r="C283" s="117">
        <f t="shared" si="145"/>
        <v>7.3458250304712092E-3</v>
      </c>
      <c r="D283" s="92">
        <f t="shared" si="141"/>
        <v>4.2429436431373695</v>
      </c>
      <c r="E283" s="91">
        <f t="shared" si="154"/>
        <v>3.2737397821989145E-3</v>
      </c>
      <c r="F283" s="92">
        <f t="shared" si="142"/>
        <v>1.9589840394656437</v>
      </c>
      <c r="G283" s="98">
        <f t="shared" si="150"/>
        <v>1.9557852892420557</v>
      </c>
      <c r="H283" s="91">
        <f t="shared" si="155"/>
        <v>3.2737397821989145E-3</v>
      </c>
      <c r="I283" s="92">
        <f t="shared" si="143"/>
        <v>2.0407920483225781</v>
      </c>
      <c r="J283" s="98">
        <f t="shared" si="151"/>
        <v>2.0374597169256115</v>
      </c>
      <c r="K283" s="91">
        <f t="shared" si="146"/>
        <v>7.5915342905825689E-3</v>
      </c>
      <c r="L283" s="94">
        <f t="shared" si="144"/>
        <v>1.7147978169930054</v>
      </c>
      <c r="M283" s="94">
        <f t="shared" si="152"/>
        <v>1.7124798730709903</v>
      </c>
      <c r="N283" s="99">
        <f>(O284/O281)^(1/3)-1</f>
        <v>1.6393471970028717E-3</v>
      </c>
      <c r="O283" s="97">
        <f t="shared" si="147"/>
        <v>2.4563836903170677</v>
      </c>
      <c r="P283" s="97">
        <f t="shared" si="148"/>
        <v>2.4323014972747439</v>
      </c>
      <c r="Q283" s="91">
        <f t="shared" si="156"/>
        <v>3.2737397821989145E-3</v>
      </c>
      <c r="R283" s="117">
        <f t="shared" si="153"/>
        <v>4.0587978004449354E-3</v>
      </c>
    </row>
    <row r="284" spans="2:18">
      <c r="B284" s="88">
        <f t="shared" si="149"/>
        <v>45657</v>
      </c>
      <c r="C284" s="117">
        <f t="shared" si="145"/>
        <v>7.3458250304712092E-3</v>
      </c>
      <c r="D284" s="92">
        <f t="shared" si="141"/>
        <v>4.2741115647540067</v>
      </c>
      <c r="E284" s="91">
        <f t="shared" si="154"/>
        <v>3.2737397821989145E-3</v>
      </c>
      <c r="F284" s="92">
        <f t="shared" si="142"/>
        <v>1.9653972434483351</v>
      </c>
      <c r="G284" s="98">
        <f t="shared" si="150"/>
        <v>1.9621880213488869</v>
      </c>
      <c r="H284" s="91">
        <f t="shared" si="155"/>
        <v>3.2737397821989145E-3</v>
      </c>
      <c r="I284" s="92">
        <f t="shared" si="143"/>
        <v>2.0474730704383668</v>
      </c>
      <c r="J284" s="98">
        <f t="shared" si="151"/>
        <v>2.0441298298555384</v>
      </c>
      <c r="K284" s="91">
        <f t="shared" si="146"/>
        <v>7.5915342905825689E-3</v>
      </c>
      <c r="L284" s="94">
        <f t="shared" si="144"/>
        <v>1.7194462717499903</v>
      </c>
      <c r="M284" s="94">
        <f t="shared" si="152"/>
        <v>1.7171220443714978</v>
      </c>
      <c r="N284" s="99">
        <f>(O284/O281)^(1/3)-1</f>
        <v>1.6393471970028717E-3</v>
      </c>
      <c r="O284" s="97">
        <f t="shared" si="147"/>
        <v>2.4604105560345526</v>
      </c>
      <c r="P284" s="97">
        <f t="shared" si="148"/>
        <v>2.4362888839165668</v>
      </c>
      <c r="Q284" s="91">
        <f t="shared" si="156"/>
        <v>3.2737397821989145E-3</v>
      </c>
      <c r="R284" s="117">
        <f t="shared" si="153"/>
        <v>4.0587978004449354E-3</v>
      </c>
    </row>
    <row r="285" spans="2:18">
      <c r="B285" s="88">
        <f t="shared" si="149"/>
        <v>45688</v>
      </c>
      <c r="C285" s="117">
        <f t="shared" si="145"/>
        <v>7.3458250304712092E-3</v>
      </c>
      <c r="D285" s="92">
        <f t="shared" si="141"/>
        <v>4.3055084404694028</v>
      </c>
      <c r="E285" s="91">
        <f t="shared" si="154"/>
        <v>2.8708987190766422E-3</v>
      </c>
      <c r="F285" s="92">
        <f t="shared" si="142"/>
        <v>1.9710396998770277</v>
      </c>
      <c r="G285" s="98">
        <f t="shared" si="150"/>
        <v>1.9682164496989512</v>
      </c>
      <c r="H285" s="91">
        <f t="shared" si="155"/>
        <v>2.8708987190766422E-3</v>
      </c>
      <c r="I285" s="92">
        <f t="shared" si="143"/>
        <v>2.0533511582536321</v>
      </c>
      <c r="J285" s="98">
        <f t="shared" si="151"/>
        <v>2.0504100079442016</v>
      </c>
      <c r="K285" s="91">
        <f t="shared" si="146"/>
        <v>7.5915342905825689E-3</v>
      </c>
      <c r="L285" s="94">
        <f t="shared" si="144"/>
        <v>1.7241073274861773</v>
      </c>
      <c r="M285" s="94">
        <f t="shared" si="152"/>
        <v>1.7217767996180839</v>
      </c>
      <c r="N285" s="99">
        <f>(O287/O284)^(1/3)-1</f>
        <v>1.2484407470927383E-3</v>
      </c>
      <c r="O285" s="97">
        <f t="shared" si="147"/>
        <v>2.4634822328272832</v>
      </c>
      <c r="P285" s="97">
        <f t="shared" si="148"/>
        <v>2.4393304462309375</v>
      </c>
      <c r="Q285" s="91">
        <f t="shared" si="156"/>
        <v>3.2737397821989145E-3</v>
      </c>
      <c r="R285" s="117">
        <f t="shared" si="153"/>
        <v>4.4621160282047878E-3</v>
      </c>
    </row>
    <row r="286" spans="2:18">
      <c r="B286" s="88">
        <f t="shared" si="149"/>
        <v>45716</v>
      </c>
      <c r="C286" s="117">
        <f t="shared" si="145"/>
        <v>7.3458250304712092E-3</v>
      </c>
      <c r="D286" s="92">
        <f t="shared" ref="D286:D349" si="157">D285*(1+C286)</f>
        <v>4.3371359521403079</v>
      </c>
      <c r="E286" s="91">
        <f t="shared" si="154"/>
        <v>2.8708987190766422E-3</v>
      </c>
      <c r="F286" s="92">
        <f t="shared" ref="F286:F349" si="158">F285*(1+E286)</f>
        <v>1.9766983552266537</v>
      </c>
      <c r="G286" s="98">
        <f t="shared" si="150"/>
        <v>1.9738669997832574</v>
      </c>
      <c r="H286" s="91">
        <f t="shared" si="155"/>
        <v>2.8708987190766422E-3</v>
      </c>
      <c r="I286" s="92">
        <f t="shared" ref="I286:I349" si="159">I285*(1+H286)</f>
        <v>2.0592461214636768</v>
      </c>
      <c r="J286" s="98">
        <f t="shared" si="151"/>
        <v>2.0562965274095903</v>
      </c>
      <c r="K286" s="91">
        <f t="shared" si="146"/>
        <v>7.5915342905825689E-3</v>
      </c>
      <c r="L286" s="94">
        <f t="shared" ref="L286:L349" si="160">L285*(IF(((1+K286)^12-1)&lt;6%,1,((1+K286)^12)/(1.06))^(1/12))</f>
        <v>1.7287810183601602</v>
      </c>
      <c r="M286" s="94">
        <f t="shared" si="152"/>
        <v>1.7264441729231688</v>
      </c>
      <c r="N286" s="99">
        <f>(O287/O284)^(1/3)-1</f>
        <v>1.2484407470927383E-3</v>
      </c>
      <c r="O286" s="97">
        <f t="shared" si="147"/>
        <v>2.4665577444264839</v>
      </c>
      <c r="P286" s="97">
        <f t="shared" si="148"/>
        <v>2.4423758057556362</v>
      </c>
      <c r="Q286" s="91">
        <f t="shared" si="156"/>
        <v>3.2737397821989145E-3</v>
      </c>
      <c r="R286" s="117">
        <f t="shared" si="153"/>
        <v>4.4621160282047878E-3</v>
      </c>
    </row>
    <row r="287" spans="2:18">
      <c r="B287" s="88">
        <f t="shared" si="149"/>
        <v>45747</v>
      </c>
      <c r="C287" s="117">
        <f t="shared" si="145"/>
        <v>7.3458250304712092E-3</v>
      </c>
      <c r="D287" s="92">
        <f t="shared" si="157"/>
        <v>4.3689957939780966</v>
      </c>
      <c r="E287" s="91">
        <f t="shared" si="154"/>
        <v>2.8708987190766422E-3</v>
      </c>
      <c r="F287" s="92">
        <f t="shared" si="158"/>
        <v>1.9823732560026748</v>
      </c>
      <c r="G287" s="98">
        <f t="shared" si="150"/>
        <v>1.9795337720245627</v>
      </c>
      <c r="H287" s="91">
        <f t="shared" si="155"/>
        <v>2.8708987190766422E-3</v>
      </c>
      <c r="I287" s="92">
        <f t="shared" si="159"/>
        <v>2.0651580085160504</v>
      </c>
      <c r="J287" s="98">
        <f t="shared" si="151"/>
        <v>2.0621999464761722</v>
      </c>
      <c r="K287" s="91">
        <f t="shared" si="146"/>
        <v>7.5915342905825689E-3</v>
      </c>
      <c r="L287" s="94">
        <f t="shared" si="160"/>
        <v>1.7334673786231289</v>
      </c>
      <c r="M287" s="94">
        <f t="shared" si="152"/>
        <v>1.7311241984916446</v>
      </c>
      <c r="N287" s="99">
        <f>(O287/O284)^(1/3)-1</f>
        <v>1.2484407470927383E-3</v>
      </c>
      <c r="O287" s="97">
        <f t="shared" si="147"/>
        <v>2.4696370956196825</v>
      </c>
      <c r="P287" s="97">
        <f t="shared" si="148"/>
        <v>2.4469325717386283</v>
      </c>
      <c r="Q287" s="91">
        <f t="shared" si="156"/>
        <v>3.2737397821989145E-3</v>
      </c>
      <c r="R287" s="117">
        <f t="shared" si="153"/>
        <v>4.4621160282047878E-3</v>
      </c>
    </row>
    <row r="288" spans="2:18">
      <c r="B288" s="88">
        <f t="shared" si="149"/>
        <v>45777</v>
      </c>
      <c r="C288" s="117">
        <f t="shared" si="145"/>
        <v>7.3458250304712092E-3</v>
      </c>
      <c r="D288" s="92">
        <f t="shared" si="157"/>
        <v>4.4010896726395243</v>
      </c>
      <c r="E288" s="91">
        <f t="shared" si="154"/>
        <v>2.8708987190766422E-3</v>
      </c>
      <c r="F288" s="92">
        <f t="shared" si="158"/>
        <v>1.9880644488440646</v>
      </c>
      <c r="G288" s="98">
        <f t="shared" si="150"/>
        <v>1.9852168129950369</v>
      </c>
      <c r="H288" s="91">
        <f t="shared" si="155"/>
        <v>2.8708987190766422E-3</v>
      </c>
      <c r="I288" s="92">
        <f t="shared" si="159"/>
        <v>2.0710868679973902</v>
      </c>
      <c r="J288" s="98">
        <f t="shared" si="151"/>
        <v>2.0681203136609905</v>
      </c>
      <c r="K288" s="91">
        <f t="shared" si="146"/>
        <v>7.5915342905825689E-3</v>
      </c>
      <c r="L288" s="94">
        <f t="shared" si="160"/>
        <v>1.7381664426191219</v>
      </c>
      <c r="M288" s="94">
        <f t="shared" si="152"/>
        <v>1.7358169106211254</v>
      </c>
      <c r="N288" s="99">
        <f>(O290/O287)^(1/3)-1</f>
        <v>1.2437823764783751E-3</v>
      </c>
      <c r="O288" s="97">
        <f t="shared" si="147"/>
        <v>2.4727087867155113</v>
      </c>
      <c r="P288" s="97">
        <f t="shared" si="148"/>
        <v>2.4499760233477876</v>
      </c>
      <c r="Q288" s="91">
        <f t="shared" si="156"/>
        <v>3.2737397821989145E-3</v>
      </c>
      <c r="R288" s="117">
        <f t="shared" si="153"/>
        <v>4.4621160282047878E-3</v>
      </c>
    </row>
    <row r="289" spans="2:18">
      <c r="B289" s="88">
        <f t="shared" si="149"/>
        <v>45808</v>
      </c>
      <c r="C289" s="117">
        <f t="shared" si="145"/>
        <v>7.3458250304712092E-3</v>
      </c>
      <c r="D289" s="92">
        <f t="shared" si="157"/>
        <v>4.4334193073181485</v>
      </c>
      <c r="E289" s="91">
        <f t="shared" si="154"/>
        <v>2.8708987190766422E-3</v>
      </c>
      <c r="F289" s="92">
        <f t="shared" si="158"/>
        <v>1.9937719805236929</v>
      </c>
      <c r="G289" s="98">
        <f t="shared" si="150"/>
        <v>1.9909161694005537</v>
      </c>
      <c r="H289" s="91">
        <f t="shared" si="155"/>
        <v>2.8708987190766422E-3</v>
      </c>
      <c r="I289" s="92">
        <f t="shared" si="159"/>
        <v>2.0770327486338203</v>
      </c>
      <c r="J289" s="98">
        <f t="shared" si="151"/>
        <v>2.0740576776203765</v>
      </c>
      <c r="K289" s="91">
        <f t="shared" si="146"/>
        <v>7.5915342905825689E-3</v>
      </c>
      <c r="L289" s="94">
        <f t="shared" si="160"/>
        <v>1.7428782447852764</v>
      </c>
      <c r="M289" s="94">
        <f t="shared" si="152"/>
        <v>1.740522343702199</v>
      </c>
      <c r="N289" s="99">
        <f>(O290/O287)^(1/3)-1</f>
        <v>1.2437823764783751E-3</v>
      </c>
      <c r="O289" s="97">
        <f t="shared" si="147"/>
        <v>2.4757842983265914</v>
      </c>
      <c r="P289" s="97">
        <f t="shared" si="148"/>
        <v>2.4530232603484223</v>
      </c>
      <c r="Q289" s="91">
        <f t="shared" si="156"/>
        <v>3.2737397821989145E-3</v>
      </c>
      <c r="R289" s="117">
        <f t="shared" si="153"/>
        <v>4.4621160282047878E-3</v>
      </c>
    </row>
    <row r="290" spans="2:18">
      <c r="B290" s="88">
        <f t="shared" si="149"/>
        <v>45838</v>
      </c>
      <c r="C290" s="117">
        <f t="shared" si="145"/>
        <v>7.3458250304712092E-3</v>
      </c>
      <c r="D290" s="92">
        <f t="shared" si="157"/>
        <v>4.4659864298364207</v>
      </c>
      <c r="E290" s="91">
        <f t="shared" si="154"/>
        <v>2.8708987190766422E-3</v>
      </c>
      <c r="F290" s="92">
        <f t="shared" si="158"/>
        <v>1.9994958979487092</v>
      </c>
      <c r="G290" s="98">
        <f t="shared" si="150"/>
        <v>1.9966318880810747</v>
      </c>
      <c r="H290" s="91">
        <f t="shared" si="155"/>
        <v>2.8708987190766422E-3</v>
      </c>
      <c r="I290" s="92">
        <f t="shared" si="159"/>
        <v>2.0829956992913532</v>
      </c>
      <c r="J290" s="98">
        <f t="shared" si="151"/>
        <v>2.0800120871503478</v>
      </c>
      <c r="K290" s="91">
        <f t="shared" si="146"/>
        <v>7.5915342905825689E-3</v>
      </c>
      <c r="L290" s="94">
        <f t="shared" si="160"/>
        <v>1.7476028196520816</v>
      </c>
      <c r="M290" s="94">
        <f t="shared" si="152"/>
        <v>1.745240532218679</v>
      </c>
      <c r="N290" s="99">
        <f>(O290/O287)^(1/3)-1</f>
        <v>1.2437823764783751E-3</v>
      </c>
      <c r="O290" s="97">
        <f t="shared" si="147"/>
        <v>2.4788636352048119</v>
      </c>
      <c r="P290" s="97">
        <f t="shared" si="148"/>
        <v>2.4575762595606894</v>
      </c>
      <c r="Q290" s="91">
        <f t="shared" si="156"/>
        <v>3.2737397821989145E-3</v>
      </c>
      <c r="R290" s="117">
        <f t="shared" si="153"/>
        <v>4.4621160282047878E-3</v>
      </c>
    </row>
    <row r="291" spans="2:18">
      <c r="B291" s="88">
        <f t="shared" si="149"/>
        <v>45869</v>
      </c>
      <c r="C291" s="117">
        <f t="shared" si="145"/>
        <v>7.3458250304712092E-3</v>
      </c>
      <c r="D291" s="92">
        <f t="shared" si="157"/>
        <v>4.4987927847384581</v>
      </c>
      <c r="E291" s="91">
        <f t="shared" si="154"/>
        <v>2.8708987190766422E-3</v>
      </c>
      <c r="F291" s="92">
        <f t="shared" si="158"/>
        <v>2.0052362481609292</v>
      </c>
      <c r="G291" s="98">
        <f t="shared" si="150"/>
        <v>2.0023640160110343</v>
      </c>
      <c r="H291" s="91">
        <f t="shared" si="155"/>
        <v>2.8708987190766422E-3</v>
      </c>
      <c r="I291" s="92">
        <f t="shared" si="159"/>
        <v>2.0889757689762911</v>
      </c>
      <c r="J291" s="98">
        <f t="shared" si="151"/>
        <v>2.0859835911870115</v>
      </c>
      <c r="K291" s="91">
        <f t="shared" si="146"/>
        <v>7.5915342905825689E-3</v>
      </c>
      <c r="L291" s="94">
        <f t="shared" si="160"/>
        <v>1.752340201843632</v>
      </c>
      <c r="M291" s="94">
        <f t="shared" si="152"/>
        <v>1.7499715107478568</v>
      </c>
      <c r="N291" s="99">
        <f>(O293/O290)^(1/3)-1</f>
        <v>1.2391586406965693E-3</v>
      </c>
      <c r="O291" s="97">
        <f t="shared" si="147"/>
        <v>2.4819353404974844</v>
      </c>
      <c r="P291" s="97">
        <f t="shared" si="148"/>
        <v>2.4606215864178949</v>
      </c>
      <c r="Q291" s="91">
        <f t="shared" si="156"/>
        <v>3.2737397821989145E-3</v>
      </c>
      <c r="R291" s="117">
        <f t="shared" si="153"/>
        <v>4.4621160282047878E-3</v>
      </c>
    </row>
    <row r="292" spans="2:18">
      <c r="B292" s="88">
        <f t="shared" si="149"/>
        <v>45900</v>
      </c>
      <c r="C292" s="117">
        <f t="shared" si="145"/>
        <v>7.3458250304712092E-3</v>
      </c>
      <c r="D292" s="92">
        <f t="shared" si="157"/>
        <v>4.5318401293834931</v>
      </c>
      <c r="E292" s="91">
        <f t="shared" si="154"/>
        <v>2.8708987190766422E-3</v>
      </c>
      <c r="F292" s="92">
        <f t="shared" si="158"/>
        <v>2.0109930783372203</v>
      </c>
      <c r="G292" s="98">
        <f t="shared" si="150"/>
        <v>2.0081126002997256</v>
      </c>
      <c r="H292" s="91">
        <f t="shared" si="155"/>
        <v>2.8708987190766422E-3</v>
      </c>
      <c r="I292" s="92">
        <f t="shared" si="159"/>
        <v>2.0949730068356271</v>
      </c>
      <c r="J292" s="98">
        <f t="shared" si="151"/>
        <v>2.0919722388069655</v>
      </c>
      <c r="K292" s="91">
        <f t="shared" si="146"/>
        <v>7.5915342905825689E-3</v>
      </c>
      <c r="L292" s="94">
        <f t="shared" si="160"/>
        <v>1.7570904260778801</v>
      </c>
      <c r="M292" s="94">
        <f t="shared" si="152"/>
        <v>1.7547153139607561</v>
      </c>
      <c r="N292" s="99">
        <f>(O293/O290)^(1/3)-1</f>
        <v>1.2391586406965693E-3</v>
      </c>
      <c r="O292" s="97">
        <f t="shared" si="147"/>
        <v>2.485010852120312</v>
      </c>
      <c r="P292" s="97">
        <f t="shared" si="148"/>
        <v>2.463670686918189</v>
      </c>
      <c r="Q292" s="91">
        <f t="shared" si="156"/>
        <v>3.2737397821989145E-3</v>
      </c>
      <c r="R292" s="117">
        <f t="shared" si="153"/>
        <v>4.4621160282047878E-3</v>
      </c>
    </row>
    <row r="293" spans="2:18">
      <c r="B293" s="88">
        <f t="shared" si="149"/>
        <v>45930</v>
      </c>
      <c r="C293" s="117">
        <f t="shared" si="145"/>
        <v>7.3458250304712092E-3</v>
      </c>
      <c r="D293" s="92">
        <f t="shared" si="157"/>
        <v>4.5651302340400122</v>
      </c>
      <c r="E293" s="91">
        <f t="shared" si="154"/>
        <v>2.8708987190766422E-3</v>
      </c>
      <c r="F293" s="92">
        <f t="shared" si="158"/>
        <v>2.0167664357898905</v>
      </c>
      <c r="G293" s="98">
        <f t="shared" si="150"/>
        <v>2.0138776881916876</v>
      </c>
      <c r="H293" s="91">
        <f t="shared" si="155"/>
        <v>2.8708987190766422E-3</v>
      </c>
      <c r="I293" s="92">
        <f t="shared" si="159"/>
        <v>2.1009874621574518</v>
      </c>
      <c r="J293" s="98">
        <f t="shared" si="151"/>
        <v>2.0979780792277003</v>
      </c>
      <c r="K293" s="91">
        <f t="shared" si="146"/>
        <v>7.5915342905825689E-3</v>
      </c>
      <c r="L293" s="94">
        <f t="shared" si="160"/>
        <v>1.761853527166892</v>
      </c>
      <c r="M293" s="94">
        <f t="shared" si="152"/>
        <v>1.7594719766223861</v>
      </c>
      <c r="N293" s="99">
        <f>(O293/O290)^(1/3)-1</f>
        <v>1.2391586406965693E-3</v>
      </c>
      <c r="O293" s="97">
        <f t="shared" si="147"/>
        <v>2.4880901747899413</v>
      </c>
      <c r="P293" s="97">
        <f t="shared" si="148"/>
        <v>2.4682199473827504</v>
      </c>
      <c r="Q293" s="91">
        <f t="shared" si="156"/>
        <v>3.2737397821989145E-3</v>
      </c>
      <c r="R293" s="117">
        <f t="shared" si="153"/>
        <v>4.4621160282047878E-3</v>
      </c>
    </row>
    <row r="294" spans="2:18">
      <c r="B294" s="88">
        <f t="shared" si="149"/>
        <v>45961</v>
      </c>
      <c r="C294" s="117">
        <f t="shared" si="145"/>
        <v>7.3458250304712092E-3</v>
      </c>
      <c r="D294" s="92">
        <f t="shared" si="157"/>
        <v>4.598664881980584</v>
      </c>
      <c r="E294" s="91">
        <f t="shared" si="154"/>
        <v>2.8708987190766422E-3</v>
      </c>
      <c r="F294" s="92">
        <f t="shared" si="158"/>
        <v>2.0225563679670766</v>
      </c>
      <c r="G294" s="98">
        <f t="shared" si="150"/>
        <v>2.0196593270670942</v>
      </c>
      <c r="H294" s="91">
        <f t="shared" si="155"/>
        <v>2.8708987190766422E-3</v>
      </c>
      <c r="I294" s="92">
        <f t="shared" si="159"/>
        <v>2.1070191843713557</v>
      </c>
      <c r="J294" s="98">
        <f t="shared" si="151"/>
        <v>2.1040011618080059</v>
      </c>
      <c r="K294" s="91">
        <f t="shared" si="146"/>
        <v>7.5915342905825689E-3</v>
      </c>
      <c r="L294" s="94">
        <f t="shared" si="160"/>
        <v>1.7666295400171015</v>
      </c>
      <c r="M294" s="94">
        <f t="shared" si="152"/>
        <v>1.7642415335919968</v>
      </c>
      <c r="N294" s="99">
        <f>(O296/O293)^(1/3)-1</f>
        <v>1.2345691549140447E-3</v>
      </c>
      <c r="O294" s="97">
        <f t="shared" si="147"/>
        <v>2.4911618941743816</v>
      </c>
      <c r="P294" s="97">
        <f t="shared" si="148"/>
        <v>2.4712671355973326</v>
      </c>
      <c r="Q294" s="91">
        <f t="shared" si="156"/>
        <v>3.2737397821989145E-3</v>
      </c>
      <c r="R294" s="117">
        <f t="shared" si="153"/>
        <v>4.4621160282047878E-3</v>
      </c>
    </row>
    <row r="295" spans="2:18">
      <c r="B295" s="88">
        <f t="shared" si="149"/>
        <v>45991</v>
      </c>
      <c r="C295" s="117">
        <f t="shared" si="145"/>
        <v>7.3458250304712092E-3</v>
      </c>
      <c r="D295" s="92">
        <f t="shared" si="157"/>
        <v>4.6324458695773858</v>
      </c>
      <c r="E295" s="91">
        <f t="shared" si="154"/>
        <v>2.8708987190766422E-3</v>
      </c>
      <c r="F295" s="92">
        <f t="shared" si="158"/>
        <v>2.0283629224531334</v>
      </c>
      <c r="G295" s="98">
        <f t="shared" si="150"/>
        <v>2.0254575644421422</v>
      </c>
      <c r="H295" s="91">
        <f t="shared" si="155"/>
        <v>2.8708987190766422E-3</v>
      </c>
      <c r="I295" s="92">
        <f t="shared" si="159"/>
        <v>2.1130682230488373</v>
      </c>
      <c r="J295" s="98">
        <f t="shared" si="151"/>
        <v>2.1100415360483762</v>
      </c>
      <c r="K295" s="91">
        <f t="shared" si="146"/>
        <v>7.5915342905825689E-3</v>
      </c>
      <c r="L295" s="94">
        <f t="shared" si="160"/>
        <v>1.7714184996295665</v>
      </c>
      <c r="M295" s="94">
        <f t="shared" si="152"/>
        <v>1.769024019823334</v>
      </c>
      <c r="N295" s="99">
        <f>(O296/O293)^(1/3)-1</f>
        <v>1.2345691549140447E-3</v>
      </c>
      <c r="O295" s="97">
        <f t="shared" si="147"/>
        <v>2.4942374058088266</v>
      </c>
      <c r="P295" s="97">
        <f t="shared" si="148"/>
        <v>2.4743180857764937</v>
      </c>
      <c r="Q295" s="91">
        <f t="shared" si="156"/>
        <v>3.2737397821989145E-3</v>
      </c>
      <c r="R295" s="117">
        <f t="shared" si="153"/>
        <v>4.4621160282047878E-3</v>
      </c>
    </row>
    <row r="296" spans="2:18">
      <c r="B296" s="88">
        <f t="shared" si="149"/>
        <v>46022</v>
      </c>
      <c r="C296" s="117">
        <f t="shared" si="145"/>
        <v>7.3458250304712092E-3</v>
      </c>
      <c r="D296" s="92">
        <f t="shared" si="157"/>
        <v>4.6664750063984304</v>
      </c>
      <c r="E296" s="91">
        <f t="shared" si="154"/>
        <v>2.8708987190766422E-3</v>
      </c>
      <c r="F296" s="92">
        <f t="shared" si="158"/>
        <v>2.0341861469690268</v>
      </c>
      <c r="G296" s="98">
        <f t="shared" si="150"/>
        <v>2.0312724479694433</v>
      </c>
      <c r="H296" s="91">
        <f t="shared" si="155"/>
        <v>2.8708987190766422E-3</v>
      </c>
      <c r="I296" s="92">
        <f t="shared" si="159"/>
        <v>2.1191346279037098</v>
      </c>
      <c r="J296" s="98">
        <f t="shared" si="151"/>
        <v>2.1160992515914159</v>
      </c>
      <c r="K296" s="91">
        <f t="shared" si="146"/>
        <v>7.5915342905825689E-3</v>
      </c>
      <c r="L296" s="94">
        <f t="shared" si="160"/>
        <v>1.7762204411002256</v>
      </c>
      <c r="M296" s="94">
        <f t="shared" si="152"/>
        <v>1.773819470364896</v>
      </c>
      <c r="N296" s="99">
        <f>(O296/O293)^(1/3)-1</f>
        <v>1.2345691549140447E-3</v>
      </c>
      <c r="O296" s="97">
        <f t="shared" si="147"/>
        <v>2.4973167143750707</v>
      </c>
      <c r="P296" s="97">
        <f t="shared" si="148"/>
        <v>2.4788636352048119</v>
      </c>
      <c r="Q296" s="91">
        <f t="shared" si="156"/>
        <v>3.2737397821989145E-3</v>
      </c>
      <c r="R296" s="117">
        <f t="shared" si="153"/>
        <v>4.4621160282047878E-3</v>
      </c>
    </row>
    <row r="297" spans="2:18">
      <c r="B297" s="88">
        <f t="shared" si="149"/>
        <v>46053</v>
      </c>
      <c r="C297" s="117">
        <f t="shared" si="145"/>
        <v>7.3458250304712092E-3</v>
      </c>
      <c r="D297" s="92">
        <f t="shared" si="157"/>
        <v>4.7007541153045</v>
      </c>
      <c r="E297" s="91">
        <f t="shared" si="154"/>
        <v>2.8708987190766422E-3</v>
      </c>
      <c r="F297" s="92">
        <f t="shared" si="158"/>
        <v>2.0400260893727236</v>
      </c>
      <c r="G297" s="98">
        <f t="shared" si="150"/>
        <v>2.0371040254384143</v>
      </c>
      <c r="H297" s="91">
        <f t="shared" si="155"/>
        <v>2.8708987190766422E-3</v>
      </c>
      <c r="I297" s="92">
        <f t="shared" si="159"/>
        <v>2.1252184487925097</v>
      </c>
      <c r="J297" s="98">
        <f t="shared" si="151"/>
        <v>2.122174358222249</v>
      </c>
      <c r="K297" s="91">
        <f t="shared" si="146"/>
        <v>7.5915342905825689E-3</v>
      </c>
      <c r="L297" s="94">
        <f t="shared" si="160"/>
        <v>1.7810353996201547</v>
      </c>
      <c r="M297" s="94">
        <f t="shared" si="152"/>
        <v>1.77862792036019</v>
      </c>
      <c r="N297" s="99">
        <f>(O299/O296)^(1/3)-1</f>
        <v>1.2484407470927383E-3</v>
      </c>
      <c r="O297" s="97">
        <f t="shared" si="147"/>
        <v>2.5004344663196925</v>
      </c>
      <c r="P297" s="97">
        <f t="shared" si="148"/>
        <v>2.481958349573488</v>
      </c>
      <c r="Q297" s="91">
        <f t="shared" si="156"/>
        <v>3.2737397821989145E-3</v>
      </c>
      <c r="R297" s="117">
        <f t="shared" si="153"/>
        <v>4.4621160282047878E-3</v>
      </c>
    </row>
    <row r="298" spans="2:18">
      <c r="B298" s="88">
        <f t="shared" si="149"/>
        <v>46081</v>
      </c>
      <c r="C298" s="117">
        <f t="shared" si="145"/>
        <v>7.3458250304712092E-3</v>
      </c>
      <c r="D298" s="92">
        <f t="shared" si="157"/>
        <v>4.7352850325467948</v>
      </c>
      <c r="E298" s="91">
        <f t="shared" si="154"/>
        <v>2.8708987190766422E-3</v>
      </c>
      <c r="F298" s="92">
        <f t="shared" si="158"/>
        <v>2.0458827976595866</v>
      </c>
      <c r="G298" s="98">
        <f t="shared" si="150"/>
        <v>2.0429523447756712</v>
      </c>
      <c r="H298" s="91">
        <f t="shared" si="155"/>
        <v>2.8708987190766422E-3</v>
      </c>
      <c r="I298" s="92">
        <f t="shared" si="159"/>
        <v>2.1313197357149063</v>
      </c>
      <c r="J298" s="98">
        <f t="shared" si="151"/>
        <v>2.1282669058689265</v>
      </c>
      <c r="K298" s="91">
        <f t="shared" si="146"/>
        <v>7.5915342905825689E-3</v>
      </c>
      <c r="L298" s="94">
        <f t="shared" si="160"/>
        <v>1.7858634104758255</v>
      </c>
      <c r="M298" s="94">
        <f t="shared" si="152"/>
        <v>1.7834494050479901</v>
      </c>
      <c r="N298" s="99">
        <f>(O299/O296)^(1/3)-1</f>
        <v>1.2484407470927383E-3</v>
      </c>
      <c r="O298" s="97">
        <f t="shared" si="147"/>
        <v>2.5035561105928812</v>
      </c>
      <c r="P298" s="97">
        <f t="shared" si="148"/>
        <v>2.4850569275096825</v>
      </c>
      <c r="Q298" s="91">
        <f t="shared" si="156"/>
        <v>3.2737397821989145E-3</v>
      </c>
      <c r="R298" s="117">
        <f t="shared" si="153"/>
        <v>4.4621160282047878E-3</v>
      </c>
    </row>
    <row r="299" spans="2:18">
      <c r="B299" s="88">
        <f t="shared" si="149"/>
        <v>46112</v>
      </c>
      <c r="C299" s="117">
        <f t="shared" si="145"/>
        <v>7.3458250304712092E-3</v>
      </c>
      <c r="D299" s="92">
        <f t="shared" si="157"/>
        <v>4.7700696078652927</v>
      </c>
      <c r="E299" s="91">
        <f t="shared" si="154"/>
        <v>2.8708987190766422E-3</v>
      </c>
      <c r="F299" s="92">
        <f t="shared" si="158"/>
        <v>2.0517563199627684</v>
      </c>
      <c r="G299" s="98">
        <f t="shared" si="150"/>
        <v>2.0488174540454223</v>
      </c>
      <c r="H299" s="91">
        <f t="shared" si="155"/>
        <v>2.8708987190766422E-3</v>
      </c>
      <c r="I299" s="92">
        <f t="shared" si="159"/>
        <v>2.1374385388141128</v>
      </c>
      <c r="J299" s="98">
        <f t="shared" si="151"/>
        <v>2.1343769446028391</v>
      </c>
      <c r="K299" s="91">
        <f t="shared" si="146"/>
        <v>7.5915342905825689E-3</v>
      </c>
      <c r="L299" s="94">
        <f t="shared" si="160"/>
        <v>1.7907045090493641</v>
      </c>
      <c r="M299" s="94">
        <f t="shared" si="152"/>
        <v>1.7882839597625948</v>
      </c>
      <c r="N299" s="99">
        <f>(O299/O296)^(1/3)-1</f>
        <v>1.2484407470927383E-3</v>
      </c>
      <c r="O299" s="97">
        <f t="shared" si="147"/>
        <v>2.5066816520539774</v>
      </c>
      <c r="P299" s="97">
        <f t="shared" si="148"/>
        <v>2.4881593738368299</v>
      </c>
      <c r="Q299" s="91">
        <f t="shared" si="156"/>
        <v>3.2737397821989145E-3</v>
      </c>
      <c r="R299" s="117">
        <f t="shared" si="153"/>
        <v>4.4621160282047878E-3</v>
      </c>
    </row>
    <row r="300" spans="2:18">
      <c r="B300" s="88">
        <f t="shared" si="149"/>
        <v>46142</v>
      </c>
      <c r="C300" s="117">
        <f t="shared" si="145"/>
        <v>7.3458250304712092E-3</v>
      </c>
      <c r="D300" s="92">
        <f t="shared" si="157"/>
        <v>4.8051097045878395</v>
      </c>
      <c r="E300" s="91">
        <f t="shared" si="154"/>
        <v>2.8708987190766422E-3</v>
      </c>
      <c r="F300" s="92">
        <f t="shared" si="158"/>
        <v>2.0576467045536071</v>
      </c>
      <c r="G300" s="98">
        <f t="shared" si="150"/>
        <v>2.0546994014498634</v>
      </c>
      <c r="H300" s="91">
        <f t="shared" si="155"/>
        <v>2.8708987190766422E-3</v>
      </c>
      <c r="I300" s="92">
        <f t="shared" si="159"/>
        <v>2.1435749083772992</v>
      </c>
      <c r="J300" s="98">
        <f t="shared" si="151"/>
        <v>2.1405045246391259</v>
      </c>
      <c r="K300" s="91">
        <f t="shared" si="146"/>
        <v>7.5915342905825689E-3</v>
      </c>
      <c r="L300" s="94">
        <f t="shared" si="160"/>
        <v>1.7955587308188095</v>
      </c>
      <c r="M300" s="94">
        <f t="shared" si="152"/>
        <v>1.7931316199340868</v>
      </c>
      <c r="N300" s="99">
        <f>(O302/O299)^(1/3)-1</f>
        <v>1.2437823764783751E-3</v>
      </c>
      <c r="O300" s="97">
        <f t="shared" si="147"/>
        <v>2.509799418516244</v>
      </c>
      <c r="P300" s="97">
        <f t="shared" si="148"/>
        <v>2.4912541026158777</v>
      </c>
      <c r="Q300" s="91">
        <f t="shared" si="156"/>
        <v>3.2737397821989145E-3</v>
      </c>
      <c r="R300" s="117">
        <f t="shared" si="153"/>
        <v>4.4621160282047878E-3</v>
      </c>
    </row>
    <row r="301" spans="2:18">
      <c r="B301" s="88">
        <f t="shared" si="149"/>
        <v>46173</v>
      </c>
      <c r="C301" s="117">
        <f t="shared" si="145"/>
        <v>7.3458250304712092E-3</v>
      </c>
      <c r="D301" s="92">
        <f t="shared" si="157"/>
        <v>4.8404071997299614</v>
      </c>
      <c r="E301" s="91">
        <f t="shared" si="154"/>
        <v>2.8708987190766422E-3</v>
      </c>
      <c r="F301" s="92">
        <f t="shared" si="158"/>
        <v>2.0635539998420223</v>
      </c>
      <c r="G301" s="98">
        <f t="shared" si="150"/>
        <v>2.0605982353295733</v>
      </c>
      <c r="H301" s="91">
        <f t="shared" si="155"/>
        <v>2.8708987190766422E-3</v>
      </c>
      <c r="I301" s="92">
        <f t="shared" si="159"/>
        <v>2.1497288948360045</v>
      </c>
      <c r="J301" s="98">
        <f t="shared" si="151"/>
        <v>2.1466496963370902</v>
      </c>
      <c r="K301" s="91">
        <f t="shared" si="146"/>
        <v>7.5915342905825689E-3</v>
      </c>
      <c r="L301" s="94">
        <f t="shared" si="160"/>
        <v>1.8004261113583746</v>
      </c>
      <c r="M301" s="94">
        <f t="shared" si="152"/>
        <v>1.797992421088592</v>
      </c>
      <c r="N301" s="99">
        <f>(O302/O299)^(1/3)-1</f>
        <v>1.2437823764783751E-3</v>
      </c>
      <c r="O301" s="97">
        <f t="shared" si="147"/>
        <v>2.5129210628014902</v>
      </c>
      <c r="P301" s="97">
        <f t="shared" si="148"/>
        <v>2.4943526805640408</v>
      </c>
      <c r="Q301" s="91">
        <f t="shared" si="156"/>
        <v>3.2737397821989145E-3</v>
      </c>
      <c r="R301" s="117">
        <f t="shared" si="153"/>
        <v>4.4621160282047878E-3</v>
      </c>
    </row>
    <row r="302" spans="2:18">
      <c r="B302" s="88">
        <f t="shared" si="149"/>
        <v>46203</v>
      </c>
      <c r="C302" s="117">
        <f t="shared" si="145"/>
        <v>7.3458250304712092E-3</v>
      </c>
      <c r="D302" s="92">
        <f t="shared" si="157"/>
        <v>4.875963984095411</v>
      </c>
      <c r="E302" s="91">
        <f t="shared" si="154"/>
        <v>2.8708987190766422E-3</v>
      </c>
      <c r="F302" s="92">
        <f t="shared" si="158"/>
        <v>2.0694782543769144</v>
      </c>
      <c r="G302" s="98">
        <f t="shared" si="150"/>
        <v>2.0665140041639125</v>
      </c>
      <c r="H302" s="91">
        <f t="shared" si="155"/>
        <v>2.8708987190766422E-3</v>
      </c>
      <c r="I302" s="92">
        <f t="shared" si="159"/>
        <v>2.1559005487665512</v>
      </c>
      <c r="J302" s="98">
        <f t="shared" si="151"/>
        <v>2.1528125102006106</v>
      </c>
      <c r="K302" s="91">
        <f t="shared" si="146"/>
        <v>7.5915342905825689E-3</v>
      </c>
      <c r="L302" s="94">
        <f t="shared" si="160"/>
        <v>1.8053066863387064</v>
      </c>
      <c r="M302" s="94">
        <f t="shared" si="152"/>
        <v>1.8028663988485405</v>
      </c>
      <c r="N302" s="99">
        <f>(O302/O299)^(1/3)-1</f>
        <v>1.2437823764783751E-3</v>
      </c>
      <c r="O302" s="97">
        <f t="shared" si="147"/>
        <v>2.5160465897328836</v>
      </c>
      <c r="P302" s="97">
        <f t="shared" si="148"/>
        <v>2.497455112468848</v>
      </c>
      <c r="Q302" s="91">
        <f t="shared" si="156"/>
        <v>3.2737397821989145E-3</v>
      </c>
      <c r="R302" s="117">
        <f t="shared" si="153"/>
        <v>4.4621160282047878E-3</v>
      </c>
    </row>
    <row r="303" spans="2:18">
      <c r="B303" s="88">
        <f t="shared" si="149"/>
        <v>46234</v>
      </c>
      <c r="C303" s="117">
        <f t="shared" si="145"/>
        <v>7.3458250304712092E-3</v>
      </c>
      <c r="D303" s="92">
        <f t="shared" si="157"/>
        <v>4.9117819623774555</v>
      </c>
      <c r="E303" s="91">
        <f t="shared" si="154"/>
        <v>2.8708987190766422E-3</v>
      </c>
      <c r="F303" s="92">
        <f t="shared" si="158"/>
        <v>2.0754195168465621</v>
      </c>
      <c r="G303" s="98">
        <f t="shared" si="150"/>
        <v>2.0724467565714209</v>
      </c>
      <c r="H303" s="91">
        <f t="shared" si="155"/>
        <v>2.8708987190766422E-3</v>
      </c>
      <c r="I303" s="92">
        <f t="shared" si="159"/>
        <v>2.1620899208904616</v>
      </c>
      <c r="J303" s="98">
        <f t="shared" si="151"/>
        <v>2.1589930168785578</v>
      </c>
      <c r="K303" s="91">
        <f t="shared" si="146"/>
        <v>7.5915342905825689E-3</v>
      </c>
      <c r="L303" s="94">
        <f t="shared" si="160"/>
        <v>1.8102004915271475</v>
      </c>
      <c r="M303" s="94">
        <f t="shared" si="152"/>
        <v>1.8077535889329268</v>
      </c>
      <c r="N303" s="99">
        <f>(O305/O302)^(1/3)-1</f>
        <v>1.2391586406965693E-3</v>
      </c>
      <c r="O303" s="97">
        <f t="shared" si="147"/>
        <v>2.5191643706049462</v>
      </c>
      <c r="P303" s="97">
        <f t="shared" si="148"/>
        <v>2.5005498555512156</v>
      </c>
      <c r="Q303" s="91">
        <f t="shared" si="156"/>
        <v>3.2737397821989145E-3</v>
      </c>
      <c r="R303" s="117">
        <f t="shared" si="153"/>
        <v>4.4621160282047878E-3</v>
      </c>
    </row>
    <row r="304" spans="2:18">
      <c r="B304" s="88">
        <f t="shared" si="149"/>
        <v>46265</v>
      </c>
      <c r="C304" s="117">
        <f t="shared" si="145"/>
        <v>7.3458250304712092E-3</v>
      </c>
      <c r="D304" s="92">
        <f t="shared" si="157"/>
        <v>4.9478630532609049</v>
      </c>
      <c r="E304" s="91">
        <f t="shared" si="154"/>
        <v>2.8708987190766422E-3</v>
      </c>
      <c r="F304" s="92">
        <f t="shared" si="158"/>
        <v>2.0813778360790236</v>
      </c>
      <c r="G304" s="98">
        <f t="shared" si="150"/>
        <v>2.0783965413102163</v>
      </c>
      <c r="H304" s="91">
        <f t="shared" si="155"/>
        <v>2.8708987190766422E-3</v>
      </c>
      <c r="I304" s="92">
        <f t="shared" si="159"/>
        <v>2.1682970620748745</v>
      </c>
      <c r="J304" s="98">
        <f t="shared" si="151"/>
        <v>2.1651912671652096</v>
      </c>
      <c r="K304" s="91">
        <f t="shared" si="146"/>
        <v>7.5915342905825689E-3</v>
      </c>
      <c r="L304" s="94">
        <f t="shared" si="160"/>
        <v>1.8151075627879982</v>
      </c>
      <c r="M304" s="94">
        <f t="shared" si="152"/>
        <v>1.8126540271575728</v>
      </c>
      <c r="N304" s="99">
        <f>(O305/O302)^(1/3)-1</f>
        <v>1.2391586406965693E-3</v>
      </c>
      <c r="O304" s="97">
        <f t="shared" si="147"/>
        <v>2.5222860149021162</v>
      </c>
      <c r="P304" s="97">
        <f t="shared" si="148"/>
        <v>2.5036484335112146</v>
      </c>
      <c r="Q304" s="91">
        <f t="shared" si="156"/>
        <v>3.2737397821989145E-3</v>
      </c>
      <c r="R304" s="117">
        <f t="shared" si="153"/>
        <v>4.4621160282047878E-3</v>
      </c>
    </row>
    <row r="305" spans="2:18">
      <c r="B305" s="88">
        <f t="shared" si="149"/>
        <v>46295</v>
      </c>
      <c r="C305" s="117">
        <f t="shared" si="145"/>
        <v>7.3458250304712092E-3</v>
      </c>
      <c r="D305" s="92">
        <f t="shared" si="157"/>
        <v>4.9842091895248926</v>
      </c>
      <c r="E305" s="91">
        <f t="shared" si="154"/>
        <v>2.8708987190766422E-3</v>
      </c>
      <c r="F305" s="92">
        <f t="shared" si="158"/>
        <v>2.0873532610425376</v>
      </c>
      <c r="G305" s="98">
        <f t="shared" si="150"/>
        <v>2.0843634072783974</v>
      </c>
      <c r="H305" s="91">
        <f t="shared" si="155"/>
        <v>2.8708987190766422E-3</v>
      </c>
      <c r="I305" s="92">
        <f t="shared" si="159"/>
        <v>2.1745220233329627</v>
      </c>
      <c r="J305" s="98">
        <f t="shared" si="151"/>
        <v>2.1714073120006701</v>
      </c>
      <c r="K305" s="91">
        <f t="shared" si="146"/>
        <v>7.5915342905825689E-3</v>
      </c>
      <c r="L305" s="94">
        <f t="shared" si="160"/>
        <v>1.8200279360827794</v>
      </c>
      <c r="M305" s="94">
        <f t="shared" si="152"/>
        <v>1.8175677494353888</v>
      </c>
      <c r="N305" s="99">
        <f>(O305/O302)^(1/3)-1</f>
        <v>1.2391586406965693E-3</v>
      </c>
      <c r="O305" s="97">
        <f t="shared" si="147"/>
        <v>2.5254115274117899</v>
      </c>
      <c r="P305" s="97">
        <f t="shared" si="148"/>
        <v>2.5067508511008656</v>
      </c>
      <c r="Q305" s="91">
        <f t="shared" si="156"/>
        <v>3.2737397821989145E-3</v>
      </c>
      <c r="R305" s="117">
        <f t="shared" si="153"/>
        <v>4.4621160282047878E-3</v>
      </c>
    </row>
    <row r="306" spans="2:18">
      <c r="B306" s="88">
        <f t="shared" si="149"/>
        <v>46326</v>
      </c>
      <c r="C306" s="117">
        <f t="shared" ref="C306:C369" si="161">IF(ISERROR((1+HLOOKUP(B306,$B$5:$GB$36,$A$24,FALSE))^(1/3)-1),C307,(1+HLOOKUP(B306,$B$5:$GB$36,$A$24,FALSE))^(1/3)-1)</f>
        <v>7.3458250304712092E-3</v>
      </c>
      <c r="D306" s="92">
        <f t="shared" si="157"/>
        <v>5.0208223181464096</v>
      </c>
      <c r="E306" s="91">
        <f t="shared" si="154"/>
        <v>2.8708987190766422E-3</v>
      </c>
      <c r="F306" s="92">
        <f t="shared" si="158"/>
        <v>2.0933458408459251</v>
      </c>
      <c r="G306" s="98">
        <f t="shared" si="150"/>
        <v>2.0903474035144431</v>
      </c>
      <c r="H306" s="91">
        <f t="shared" si="155"/>
        <v>2.8708987190766422E-3</v>
      </c>
      <c r="I306" s="92">
        <f t="shared" si="159"/>
        <v>2.1807648558243531</v>
      </c>
      <c r="J306" s="98">
        <f t="shared" si="151"/>
        <v>2.1776412024712863</v>
      </c>
      <c r="K306" s="91">
        <f t="shared" ref="K306:K369" si="162">IF(ISERROR((1+HLOOKUP(B306,$B$5:$GB$36,$A$34,FALSE))^(1/3)-1),K307,(1+HLOOKUP(B306,$B$5:$GB$36,$A$34,FALSE))^(1/3)-1)</f>
        <v>7.5915342905825689E-3</v>
      </c>
      <c r="L306" s="94">
        <f t="shared" si="160"/>
        <v>1.8249616474704957</v>
      </c>
      <c r="M306" s="94">
        <f t="shared" si="152"/>
        <v>1.8224947917766374</v>
      </c>
      <c r="N306" s="99">
        <f>(O308/O305)^(1/3)-1</f>
        <v>1.2345691549140447E-3</v>
      </c>
      <c r="O306" s="97">
        <f t="shared" ref="O306:O369" si="163">IF(ISERROR(HLOOKUP(B306,$B$5:$GB$36,$A$28,FALSE)),O305*(1+N306),HLOOKUP(B306,$B$5:$GB$36,$A$28,FALSE))</f>
        <v>2.5285293225869969</v>
      </c>
      <c r="P306" s="97">
        <f t="shared" ref="P306:P369" si="164">IF(ISERROR(HLOOKUP(B306,$B$5:$GB$36,$A$29,FALSE)),P305*(1+N306),HLOOKUP(B306,$B$5:$GB$36,$A$29,FALSE))</f>
        <v>2.5098456083806893</v>
      </c>
      <c r="Q306" s="91">
        <f t="shared" si="156"/>
        <v>3.2737397821989145E-3</v>
      </c>
      <c r="R306" s="117">
        <f t="shared" si="153"/>
        <v>4.4621160282047878E-3</v>
      </c>
    </row>
    <row r="307" spans="2:18">
      <c r="B307" s="88">
        <f t="shared" si="149"/>
        <v>46356</v>
      </c>
      <c r="C307" s="117">
        <f t="shared" si="161"/>
        <v>7.3458250304712092E-3</v>
      </c>
      <c r="D307" s="92">
        <f t="shared" si="157"/>
        <v>5.0577044004045977</v>
      </c>
      <c r="E307" s="91">
        <f t="shared" si="154"/>
        <v>2.8708987190766422E-3</v>
      </c>
      <c r="F307" s="92">
        <f t="shared" si="158"/>
        <v>2.099355624738994</v>
      </c>
      <c r="G307" s="98">
        <f t="shared" si="150"/>
        <v>2.0963485791976182</v>
      </c>
      <c r="H307" s="91">
        <f t="shared" si="155"/>
        <v>2.8708987190766422E-3</v>
      </c>
      <c r="I307" s="92">
        <f t="shared" si="159"/>
        <v>2.1870256108555464</v>
      </c>
      <c r="J307" s="98">
        <f t="shared" si="151"/>
        <v>2.1838929898100692</v>
      </c>
      <c r="K307" s="91">
        <f t="shared" si="162"/>
        <v>7.5915342905825689E-3</v>
      </c>
      <c r="L307" s="94">
        <f t="shared" si="160"/>
        <v>1.8299087331079007</v>
      </c>
      <c r="M307" s="94">
        <f t="shared" si="152"/>
        <v>1.8274351902891981</v>
      </c>
      <c r="N307" s="99">
        <f>(O308/O305)^(1/3)-1</f>
        <v>1.2345691549140447E-3</v>
      </c>
      <c r="O307" s="97">
        <f t="shared" si="163"/>
        <v>2.5316509668959584</v>
      </c>
      <c r="P307" s="97">
        <f t="shared" si="164"/>
        <v>2.5129441863523927</v>
      </c>
      <c r="Q307" s="91">
        <f t="shared" si="156"/>
        <v>3.2737397821989145E-3</v>
      </c>
      <c r="R307" s="117">
        <f t="shared" si="153"/>
        <v>4.4621160282047878E-3</v>
      </c>
    </row>
    <row r="308" spans="2:18">
      <c r="B308" s="88">
        <f t="shared" si="149"/>
        <v>46387</v>
      </c>
      <c r="C308" s="117">
        <f t="shared" si="161"/>
        <v>7.3458250304712092E-3</v>
      </c>
      <c r="D308" s="92">
        <f t="shared" si="157"/>
        <v>5.0948574119858145</v>
      </c>
      <c r="E308" s="91">
        <f t="shared" si="154"/>
        <v>2.8708987190766422E-3</v>
      </c>
      <c r="F308" s="92">
        <f t="shared" si="158"/>
        <v>2.1053826621129437</v>
      </c>
      <c r="G308" s="98">
        <f t="shared" si="150"/>
        <v>2.1023669836483747</v>
      </c>
      <c r="H308" s="91">
        <f t="shared" si="155"/>
        <v>2.8708987190766422E-3</v>
      </c>
      <c r="I308" s="92">
        <f t="shared" si="159"/>
        <v>2.1933043398803393</v>
      </c>
      <c r="J308" s="98">
        <f t="shared" si="151"/>
        <v>2.1901627253971152</v>
      </c>
      <c r="K308" s="91">
        <f t="shared" si="162"/>
        <v>7.5915342905825689E-3</v>
      </c>
      <c r="L308" s="94">
        <f t="shared" si="160"/>
        <v>1.8348692292497608</v>
      </c>
      <c r="M308" s="94">
        <f t="shared" si="152"/>
        <v>1.8323889811788308</v>
      </c>
      <c r="N308" s="99">
        <f>(O308/O305)^(1/3)-1</f>
        <v>1.2345691549140447E-3</v>
      </c>
      <c r="O308" s="97">
        <f t="shared" si="163"/>
        <v>2.5347764650906965</v>
      </c>
      <c r="P308" s="97">
        <f t="shared" si="164"/>
        <v>2.5160465897328836</v>
      </c>
      <c r="Q308" s="91">
        <f t="shared" si="156"/>
        <v>3.2737397821989145E-3</v>
      </c>
      <c r="R308" s="117">
        <f t="shared" si="153"/>
        <v>4.4621160282047878E-3</v>
      </c>
    </row>
    <row r="309" spans="2:18">
      <c r="B309" s="88">
        <f t="shared" si="149"/>
        <v>46418</v>
      </c>
      <c r="C309" s="117">
        <f t="shared" si="161"/>
        <v>7.1534049112238485E-3</v>
      </c>
      <c r="D309" s="92">
        <f t="shared" si="157"/>
        <v>5.1313029900186988</v>
      </c>
      <c r="E309" s="91">
        <f t="shared" si="154"/>
        <v>2.8708987190766422E-3</v>
      </c>
      <c r="F309" s="92">
        <f t="shared" si="158"/>
        <v>2.1114270025007698</v>
      </c>
      <c r="G309" s="98">
        <f t="shared" si="150"/>
        <v>2.1084026663287601</v>
      </c>
      <c r="H309" s="91">
        <f t="shared" si="155"/>
        <v>2.8708987190766422E-3</v>
      </c>
      <c r="I309" s="92">
        <f t="shared" si="159"/>
        <v>2.1996010945002471</v>
      </c>
      <c r="J309" s="98">
        <f t="shared" si="151"/>
        <v>2.1964504607600275</v>
      </c>
      <c r="K309" s="91">
        <f t="shared" si="162"/>
        <v>7.3996302871768282E-3</v>
      </c>
      <c r="L309" s="94">
        <f t="shared" si="160"/>
        <v>1.8394927591517727</v>
      </c>
      <c r="M309" s="94">
        <f t="shared" si="152"/>
        <v>1.8371809942007666</v>
      </c>
      <c r="N309" s="99">
        <f>(O311/O308)^(1/3)-1</f>
        <v>1.2484407470927383E-3</v>
      </c>
      <c r="O309" s="97">
        <f t="shared" si="163"/>
        <v>2.5379409833144875</v>
      </c>
      <c r="P309" s="97">
        <f t="shared" si="164"/>
        <v>2.51918772481709</v>
      </c>
      <c r="Q309" s="91">
        <f t="shared" si="156"/>
        <v>3.2737397821989145E-3</v>
      </c>
      <c r="R309" s="117">
        <f t="shared" si="153"/>
        <v>4.2702467462334415E-3</v>
      </c>
    </row>
    <row r="310" spans="2:18">
      <c r="B310" s="88">
        <f t="shared" si="149"/>
        <v>46446</v>
      </c>
      <c r="C310" s="117">
        <f t="shared" si="161"/>
        <v>7.1534049112238485E-3</v>
      </c>
      <c r="D310" s="92">
        <f t="shared" si="157"/>
        <v>5.1680092780284763</v>
      </c>
      <c r="E310" s="91">
        <f t="shared" si="154"/>
        <v>2.8708987190766422E-3</v>
      </c>
      <c r="F310" s="92">
        <f t="shared" si="158"/>
        <v>2.1174886955776731</v>
      </c>
      <c r="G310" s="98">
        <f t="shared" si="150"/>
        <v>2.1144556768428209</v>
      </c>
      <c r="H310" s="91">
        <f t="shared" si="155"/>
        <v>2.8708987190766422E-3</v>
      </c>
      <c r="I310" s="92">
        <f t="shared" si="159"/>
        <v>2.2059159264649275</v>
      </c>
      <c r="J310" s="98">
        <f t="shared" si="151"/>
        <v>2.2027562475743387</v>
      </c>
      <c r="K310" s="91">
        <f t="shared" si="162"/>
        <v>7.3996302871768282E-3</v>
      </c>
      <c r="L310" s="94">
        <f t="shared" si="160"/>
        <v>1.8441279394910004</v>
      </c>
      <c r="M310" s="94">
        <f t="shared" si="152"/>
        <v>1.8418103493213867</v>
      </c>
      <c r="N310" s="99">
        <f>(O311/O308)^(1/3)-1</f>
        <v>1.2484407470927383E-3</v>
      </c>
      <c r="O310" s="97">
        <f t="shared" si="163"/>
        <v>2.5411094522517739</v>
      </c>
      <c r="P310" s="97">
        <f t="shared" si="164"/>
        <v>2.5223327814223273</v>
      </c>
      <c r="Q310" s="91">
        <f t="shared" si="156"/>
        <v>3.2737397821989145E-3</v>
      </c>
      <c r="R310" s="117">
        <f t="shared" si="153"/>
        <v>4.2702467462334415E-3</v>
      </c>
    </row>
    <row r="311" spans="2:18">
      <c r="B311" s="88">
        <f t="shared" ref="B311:B350" si="165">EOMONTH(B310,1)</f>
        <v>46477</v>
      </c>
      <c r="C311" s="117">
        <f t="shared" si="161"/>
        <v>7.1534049112238485E-3</v>
      </c>
      <c r="D311" s="92">
        <f t="shared" si="157"/>
        <v>5.2049781409791755</v>
      </c>
      <c r="E311" s="91">
        <f t="shared" si="154"/>
        <v>2.8708987190766422E-3</v>
      </c>
      <c r="F311" s="92">
        <f t="shared" si="158"/>
        <v>2.1235677911614661</v>
      </c>
      <c r="G311" s="98">
        <f t="shared" si="150"/>
        <v>2.120526064937013</v>
      </c>
      <c r="H311" s="91">
        <f t="shared" si="155"/>
        <v>2.8708987190766422E-3</v>
      </c>
      <c r="I311" s="92">
        <f t="shared" si="159"/>
        <v>2.2122488876726063</v>
      </c>
      <c r="J311" s="98">
        <f t="shared" si="151"/>
        <v>2.2090801376639377</v>
      </c>
      <c r="K311" s="91">
        <f t="shared" si="162"/>
        <v>7.3996302871768282E-3</v>
      </c>
      <c r="L311" s="94">
        <f t="shared" si="160"/>
        <v>1.8487747996243835</v>
      </c>
      <c r="M311" s="94">
        <f t="shared" si="152"/>
        <v>1.8464513695576921</v>
      </c>
      <c r="N311" s="99">
        <f>(O311/O308)^(1/3)-1</f>
        <v>1.2484407470927383E-3</v>
      </c>
      <c r="O311" s="97">
        <f t="shared" si="163"/>
        <v>2.5442818768347868</v>
      </c>
      <c r="P311" s="97">
        <f t="shared" si="164"/>
        <v>2.5254817644443817</v>
      </c>
      <c r="Q311" s="91">
        <f t="shared" si="156"/>
        <v>3.2737397821989145E-3</v>
      </c>
      <c r="R311" s="117">
        <f t="shared" si="153"/>
        <v>4.2702467462334415E-3</v>
      </c>
    </row>
    <row r="312" spans="2:18">
      <c r="B312" s="88">
        <f t="shared" si="165"/>
        <v>46507</v>
      </c>
      <c r="C312" s="117">
        <f t="shared" si="161"/>
        <v>7.1534049112238485E-3</v>
      </c>
      <c r="D312" s="92">
        <f t="shared" si="157"/>
        <v>5.2422114571756691</v>
      </c>
      <c r="E312" s="91">
        <f t="shared" si="154"/>
        <v>2.8708987190766422E-3</v>
      </c>
      <c r="F312" s="92">
        <f t="shared" si="158"/>
        <v>2.1296643392129839</v>
      </c>
      <c r="G312" s="98">
        <f t="shared" si="150"/>
        <v>2.1266138805006092</v>
      </c>
      <c r="H312" s="91">
        <f t="shared" si="155"/>
        <v>2.8708987190766422E-3</v>
      </c>
      <c r="I312" s="92">
        <f t="shared" si="159"/>
        <v>2.2186000301705042</v>
      </c>
      <c r="J312" s="98">
        <f t="shared" si="151"/>
        <v>2.2154221830014946</v>
      </c>
      <c r="K312" s="91">
        <f t="shared" si="162"/>
        <v>7.3996302871768282E-3</v>
      </c>
      <c r="L312" s="94">
        <f t="shared" si="160"/>
        <v>1.8534333689828355</v>
      </c>
      <c r="M312" s="94">
        <f t="shared" si="152"/>
        <v>1.8511040843036095</v>
      </c>
      <c r="N312" s="99">
        <f>(O314/O311)^(1/3)-1</f>
        <v>1.2437823764783751E-3</v>
      </c>
      <c r="O312" s="97">
        <f t="shared" si="163"/>
        <v>2.5474464097939871</v>
      </c>
      <c r="P312" s="97">
        <f t="shared" si="164"/>
        <v>2.5286229141551151</v>
      </c>
      <c r="Q312" s="91">
        <f t="shared" si="156"/>
        <v>3.2737397821989145E-3</v>
      </c>
      <c r="R312" s="117">
        <f t="shared" si="153"/>
        <v>4.2702467462334415E-3</v>
      </c>
    </row>
    <row r="313" spans="2:18">
      <c r="B313" s="88">
        <f t="shared" si="165"/>
        <v>46538</v>
      </c>
      <c r="C313" s="117">
        <f t="shared" si="161"/>
        <v>7.1534049112238485E-3</v>
      </c>
      <c r="D313" s="92">
        <f t="shared" si="157"/>
        <v>5.2797111183591037</v>
      </c>
      <c r="E313" s="91">
        <f t="shared" si="154"/>
        <v>2.8708987190766422E-3</v>
      </c>
      <c r="F313" s="92">
        <f t="shared" si="158"/>
        <v>2.1357783898364935</v>
      </c>
      <c r="G313" s="98">
        <f t="shared" si="150"/>
        <v>2.1327191735661089</v>
      </c>
      <c r="H313" s="91">
        <f t="shared" si="155"/>
        <v>2.8708987190766422E-3</v>
      </c>
      <c r="I313" s="92">
        <f t="shared" si="159"/>
        <v>2.2249694061552643</v>
      </c>
      <c r="J313" s="98">
        <f t="shared" si="151"/>
        <v>2.2217824357088878</v>
      </c>
      <c r="K313" s="91">
        <f t="shared" si="162"/>
        <v>7.3996302871768282E-3</v>
      </c>
      <c r="L313" s="94">
        <f t="shared" si="160"/>
        <v>1.8581036770714301</v>
      </c>
      <c r="M313" s="94">
        <f t="shared" si="152"/>
        <v>1.8557685230271328</v>
      </c>
      <c r="N313" s="99">
        <f>(O314/O311)^(1/3)-1</f>
        <v>1.2437823764783751E-3</v>
      </c>
      <c r="O313" s="97">
        <f t="shared" si="163"/>
        <v>2.5506148787435121</v>
      </c>
      <c r="P313" s="97">
        <f t="shared" si="164"/>
        <v>2.5317679707725005</v>
      </c>
      <c r="Q313" s="91">
        <f t="shared" si="156"/>
        <v>3.2737397821989145E-3</v>
      </c>
      <c r="R313" s="117">
        <f t="shared" si="153"/>
        <v>4.2702467462334415E-3</v>
      </c>
    </row>
    <row r="314" spans="2:18">
      <c r="B314" s="88">
        <f t="shared" si="165"/>
        <v>46568</v>
      </c>
      <c r="C314" s="117">
        <f t="shared" si="161"/>
        <v>7.1534049112238485E-3</v>
      </c>
      <c r="D314" s="92">
        <f t="shared" si="157"/>
        <v>5.3174790298030166</v>
      </c>
      <c r="E314" s="91">
        <f t="shared" si="154"/>
        <v>2.8708987190766422E-3</v>
      </c>
      <c r="F314" s="92">
        <f t="shared" si="158"/>
        <v>2.1419099932801067</v>
      </c>
      <c r="G314" s="98">
        <f t="shared" si="150"/>
        <v>2.1388419943096499</v>
      </c>
      <c r="H314" s="91">
        <f t="shared" si="155"/>
        <v>2.8708987190766422E-3</v>
      </c>
      <c r="I314" s="92">
        <f t="shared" si="159"/>
        <v>2.2313570679733803</v>
      </c>
      <c r="J314" s="98">
        <f t="shared" si="151"/>
        <v>2.2281609480576314</v>
      </c>
      <c r="K314" s="91">
        <f t="shared" si="162"/>
        <v>7.3996302871768282E-3</v>
      </c>
      <c r="L314" s="94">
        <f t="shared" si="160"/>
        <v>1.8627857534695889</v>
      </c>
      <c r="M314" s="94">
        <f t="shared" si="152"/>
        <v>1.8604447152705095</v>
      </c>
      <c r="N314" s="99">
        <f>(O314/O311)^(1/3)-1</f>
        <v>1.2437823764783751E-3</v>
      </c>
      <c r="O314" s="97">
        <f t="shared" si="163"/>
        <v>2.5537872885788766</v>
      </c>
      <c r="P314" s="97">
        <f t="shared" si="164"/>
        <v>2.5349169391558801</v>
      </c>
      <c r="Q314" s="91">
        <f t="shared" si="156"/>
        <v>3.2737397821989145E-3</v>
      </c>
      <c r="R314" s="117">
        <f t="shared" si="153"/>
        <v>4.2702467462334415E-3</v>
      </c>
    </row>
    <row r="315" spans="2:18">
      <c r="B315" s="88">
        <f t="shared" si="165"/>
        <v>46599</v>
      </c>
      <c r="C315" s="117">
        <f t="shared" si="161"/>
        <v>7.1534049112238485E-3</v>
      </c>
      <c r="D315" s="92">
        <f t="shared" si="157"/>
        <v>5.3555171104101396</v>
      </c>
      <c r="E315" s="91">
        <f t="shared" si="154"/>
        <v>2.8708987190766422E-3</v>
      </c>
      <c r="F315" s="92">
        <f t="shared" si="158"/>
        <v>2.148059199936192</v>
      </c>
      <c r="G315" s="98">
        <f t="shared" si="150"/>
        <v>2.1449823930514209</v>
      </c>
      <c r="H315" s="91">
        <f t="shared" si="155"/>
        <v>2.8708987190766422E-3</v>
      </c>
      <c r="I315" s="92">
        <f t="shared" si="159"/>
        <v>2.2377630681216276</v>
      </c>
      <c r="J315" s="98">
        <f t="shared" si="151"/>
        <v>2.2345577724693069</v>
      </c>
      <c r="K315" s="91">
        <f t="shared" si="162"/>
        <v>7.3996302871768282E-3</v>
      </c>
      <c r="L315" s="94">
        <f t="shared" si="160"/>
        <v>1.8674796278312673</v>
      </c>
      <c r="M315" s="94">
        <f t="shared" si="152"/>
        <v>1.865132690650428</v>
      </c>
      <c r="N315" s="99">
        <f>(O317/O314)^(1/3)-1</f>
        <v>1.2391586406965693E-3</v>
      </c>
      <c r="O315" s="97">
        <f t="shared" si="163"/>
        <v>2.55695183616402</v>
      </c>
      <c r="P315" s="97">
        <f t="shared" si="164"/>
        <v>2.5380581033844831</v>
      </c>
      <c r="Q315" s="91">
        <f t="shared" si="156"/>
        <v>3.2737397821989145E-3</v>
      </c>
      <c r="R315" s="117">
        <f t="shared" si="153"/>
        <v>4.2702467462334415E-3</v>
      </c>
    </row>
    <row r="316" spans="2:18">
      <c r="B316" s="88">
        <f t="shared" si="165"/>
        <v>46630</v>
      </c>
      <c r="C316" s="117">
        <f t="shared" si="161"/>
        <v>7.1534049112238485E-3</v>
      </c>
      <c r="D316" s="92">
        <f t="shared" si="157"/>
        <v>5.3938272928098909</v>
      </c>
      <c r="E316" s="91">
        <f t="shared" si="154"/>
        <v>2.8708987190766422E-3</v>
      </c>
      <c r="F316" s="92">
        <f t="shared" si="158"/>
        <v>2.1542260603417898</v>
      </c>
      <c r="G316" s="98">
        <f t="shared" si="150"/>
        <v>2.1511404202560742</v>
      </c>
      <c r="H316" s="91">
        <f t="shared" si="155"/>
        <v>2.8708987190766422E-3</v>
      </c>
      <c r="I316" s="92">
        <f t="shared" si="159"/>
        <v>2.2441874592474949</v>
      </c>
      <c r="J316" s="98">
        <f t="shared" si="151"/>
        <v>2.2409729615159919</v>
      </c>
      <c r="K316" s="91">
        <f t="shared" si="162"/>
        <v>7.3996302871768282E-3</v>
      </c>
      <c r="L316" s="94">
        <f t="shared" si="160"/>
        <v>1.8721853298851441</v>
      </c>
      <c r="M316" s="94">
        <f t="shared" si="152"/>
        <v>1.8698324788582057</v>
      </c>
      <c r="N316" s="99">
        <f>(O317/O314)^(1/3)-1</f>
        <v>1.2391586406965693E-3</v>
      </c>
      <c r="O316" s="97">
        <f t="shared" si="163"/>
        <v>2.5601203051256478</v>
      </c>
      <c r="P316" s="97">
        <f t="shared" si="164"/>
        <v>2.541203160013882</v>
      </c>
      <c r="Q316" s="91">
        <f t="shared" si="156"/>
        <v>3.2737397821989145E-3</v>
      </c>
      <c r="R316" s="117">
        <f t="shared" si="153"/>
        <v>4.2702467462334415E-3</v>
      </c>
    </row>
    <row r="317" spans="2:18">
      <c r="B317" s="88">
        <f t="shared" si="165"/>
        <v>46660</v>
      </c>
      <c r="C317" s="117">
        <f t="shared" si="161"/>
        <v>7.1534049112238485E-3</v>
      </c>
      <c r="D317" s="92">
        <f t="shared" si="157"/>
        <v>5.4324115234565706</v>
      </c>
      <c r="E317" s="91">
        <f t="shared" si="154"/>
        <v>2.8708987190766422E-3</v>
      </c>
      <c r="F317" s="92">
        <f t="shared" si="158"/>
        <v>2.1604106251790265</v>
      </c>
      <c r="G317" s="98">
        <f t="shared" si="150"/>
        <v>2.1573161265331415</v>
      </c>
      <c r="H317" s="91">
        <f t="shared" si="155"/>
        <v>2.8708987190766422E-3</v>
      </c>
      <c r="I317" s="92">
        <f t="shared" si="159"/>
        <v>2.2506302941496164</v>
      </c>
      <c r="J317" s="98">
        <f t="shared" si="151"/>
        <v>2.2474065679206934</v>
      </c>
      <c r="K317" s="91">
        <f t="shared" si="162"/>
        <v>7.3996302871768282E-3</v>
      </c>
      <c r="L317" s="94">
        <f t="shared" si="160"/>
        <v>1.8769028894348081</v>
      </c>
      <c r="M317" s="94">
        <f t="shared" si="152"/>
        <v>1.874544109659976</v>
      </c>
      <c r="N317" s="99">
        <f>(O317/O314)^(1/3)-1</f>
        <v>1.2391586406965693E-3</v>
      </c>
      <c r="O317" s="97">
        <f t="shared" si="163"/>
        <v>2.5632927003229664</v>
      </c>
      <c r="P317" s="97">
        <f t="shared" si="164"/>
        <v>2.5443521138673786</v>
      </c>
      <c r="Q317" s="91">
        <f t="shared" si="156"/>
        <v>3.2737397821989145E-3</v>
      </c>
      <c r="R317" s="117">
        <f t="shared" si="153"/>
        <v>4.2702467462334415E-3</v>
      </c>
    </row>
    <row r="318" spans="2:18">
      <c r="B318" s="88">
        <f t="shared" si="165"/>
        <v>46691</v>
      </c>
      <c r="C318" s="117">
        <f t="shared" si="161"/>
        <v>7.1534049112238485E-3</v>
      </c>
      <c r="D318" s="92">
        <f t="shared" si="157"/>
        <v>5.4712717627282537</v>
      </c>
      <c r="E318" s="91">
        <f t="shared" si="154"/>
        <v>2.8708987190766422E-3</v>
      </c>
      <c r="F318" s="92">
        <f t="shared" si="158"/>
        <v>2.1666129452755327</v>
      </c>
      <c r="G318" s="98">
        <f t="shared" si="150"/>
        <v>2.163509562637449</v>
      </c>
      <c r="H318" s="91">
        <f t="shared" si="155"/>
        <v>2.8708987190766422E-3</v>
      </c>
      <c r="I318" s="92">
        <f t="shared" si="159"/>
        <v>2.2570916257782057</v>
      </c>
      <c r="J318" s="98">
        <f t="shared" si="151"/>
        <v>2.2538586445577811</v>
      </c>
      <c r="K318" s="91">
        <f t="shared" si="162"/>
        <v>7.3996302871768282E-3</v>
      </c>
      <c r="L318" s="94">
        <f t="shared" si="160"/>
        <v>1.881632336358948</v>
      </c>
      <c r="M318" s="94">
        <f t="shared" si="152"/>
        <v>1.8792676128968782</v>
      </c>
      <c r="N318" s="99">
        <f>(O320/O317)^(1/3)-1</f>
        <v>1.2345691549140447E-3</v>
      </c>
      <c r="O318" s="97">
        <f t="shared" si="163"/>
        <v>2.5664572624258013</v>
      </c>
      <c r="P318" s="97">
        <f t="shared" si="164"/>
        <v>2.5474932925063998</v>
      </c>
      <c r="Q318" s="91">
        <f t="shared" si="156"/>
        <v>3.2737397821989145E-3</v>
      </c>
      <c r="R318" s="117">
        <f t="shared" si="153"/>
        <v>4.2702467462334415E-3</v>
      </c>
    </row>
    <row r="319" spans="2:18">
      <c r="B319" s="88">
        <f t="shared" si="165"/>
        <v>46721</v>
      </c>
      <c r="C319" s="117">
        <f t="shared" si="161"/>
        <v>7.1534049112238485E-3</v>
      </c>
      <c r="D319" s="92">
        <f t="shared" si="157"/>
        <v>5.5104099850263939</v>
      </c>
      <c r="E319" s="91">
        <f t="shared" si="154"/>
        <v>2.8708987190766422E-3</v>
      </c>
      <c r="F319" s="92">
        <f t="shared" si="158"/>
        <v>2.1728330716048592</v>
      </c>
      <c r="G319" s="98">
        <f t="shared" si="150"/>
        <v>2.169720779469535</v>
      </c>
      <c r="H319" s="91">
        <f t="shared" si="155"/>
        <v>2.8708987190766422E-3</v>
      </c>
      <c r="I319" s="92">
        <f t="shared" si="159"/>
        <v>2.2635715072354907</v>
      </c>
      <c r="J319" s="98">
        <f t="shared" si="151"/>
        <v>2.260329244453422</v>
      </c>
      <c r="K319" s="91">
        <f t="shared" si="162"/>
        <v>7.3996302871768282E-3</v>
      </c>
      <c r="L319" s="94">
        <f t="shared" si="160"/>
        <v>1.8863737006115411</v>
      </c>
      <c r="M319" s="94">
        <f t="shared" si="152"/>
        <v>1.8840030184852445</v>
      </c>
      <c r="N319" s="99">
        <f>(O320/O317)^(1/3)-1</f>
        <v>1.2345691549140447E-3</v>
      </c>
      <c r="O319" s="97">
        <f t="shared" si="163"/>
        <v>2.5696257313993973</v>
      </c>
      <c r="P319" s="97">
        <f t="shared" si="164"/>
        <v>2.5506383491476785</v>
      </c>
      <c r="Q319" s="91">
        <f t="shared" si="156"/>
        <v>3.2737397821989145E-3</v>
      </c>
      <c r="R319" s="117">
        <f t="shared" si="153"/>
        <v>4.2702467462334415E-3</v>
      </c>
    </row>
    <row r="320" spans="2:18">
      <c r="B320" s="88">
        <f t="shared" si="165"/>
        <v>46752</v>
      </c>
      <c r="C320" s="117">
        <f t="shared" si="161"/>
        <v>7.1534049112238485E-3</v>
      </c>
      <c r="D320" s="92">
        <f t="shared" si="157"/>
        <v>5.5498281788761386</v>
      </c>
      <c r="E320" s="91">
        <f t="shared" si="154"/>
        <v>2.8708987190766422E-3</v>
      </c>
      <c r="F320" s="92">
        <f t="shared" si="158"/>
        <v>2.1790710552868968</v>
      </c>
      <c r="G320" s="98">
        <f t="shared" si="150"/>
        <v>2.1759498280760678</v>
      </c>
      <c r="H320" s="91">
        <f t="shared" si="155"/>
        <v>2.8708987190766422E-3</v>
      </c>
      <c r="I320" s="92">
        <f t="shared" si="159"/>
        <v>2.2700699917761513</v>
      </c>
      <c r="J320" s="98">
        <f t="shared" si="151"/>
        <v>2.2668184207860147</v>
      </c>
      <c r="K320" s="91">
        <f t="shared" si="162"/>
        <v>7.3996302871768282E-3</v>
      </c>
      <c r="L320" s="94">
        <f t="shared" si="160"/>
        <v>1.8911270122220434</v>
      </c>
      <c r="M320" s="94">
        <f t="shared" si="152"/>
        <v>1.8887503564167922</v>
      </c>
      <c r="N320" s="99">
        <f>(O320/O317)^(1/3)-1</f>
        <v>1.2345691549140447E-3</v>
      </c>
      <c r="O320" s="97">
        <f t="shared" si="163"/>
        <v>2.5727981120670567</v>
      </c>
      <c r="P320" s="97">
        <f t="shared" si="164"/>
        <v>2.5537872885788766</v>
      </c>
      <c r="Q320" s="91">
        <f t="shared" si="156"/>
        <v>3.2737397821989145E-3</v>
      </c>
      <c r="R320" s="117">
        <f t="shared" si="153"/>
        <v>4.2702467462334415E-3</v>
      </c>
    </row>
    <row r="321" spans="2:18">
      <c r="B321" s="88">
        <f t="shared" si="165"/>
        <v>46783</v>
      </c>
      <c r="C321" s="117">
        <f t="shared" si="161"/>
        <v>7.1534049112238485E-3</v>
      </c>
      <c r="D321" s="92">
        <f t="shared" si="157"/>
        <v>5.5895283470273593</v>
      </c>
      <c r="E321" s="91">
        <f t="shared" si="154"/>
        <v>2.8708987190766422E-3</v>
      </c>
      <c r="F321" s="92">
        <f t="shared" si="158"/>
        <v>2.185326947588297</v>
      </c>
      <c r="G321" s="98">
        <f t="shared" si="150"/>
        <v>2.1821967596502665</v>
      </c>
      <c r="H321" s="91">
        <f t="shared" si="155"/>
        <v>2.8708987190766422E-3</v>
      </c>
      <c r="I321" s="92">
        <f t="shared" si="159"/>
        <v>2.2765871328077556</v>
      </c>
      <c r="J321" s="98">
        <f t="shared" si="151"/>
        <v>2.2733262268866286</v>
      </c>
      <c r="K321" s="91">
        <f t="shared" si="162"/>
        <v>7.3996302871768282E-3</v>
      </c>
      <c r="L321" s="94">
        <f t="shared" si="160"/>
        <v>1.8958923012955791</v>
      </c>
      <c r="M321" s="94">
        <f t="shared" si="152"/>
        <v>1.8935096567588112</v>
      </c>
      <c r="N321" s="99">
        <f>(O323/O320)^(1/3)-1</f>
        <v>1.2484407470925163E-3</v>
      </c>
      <c r="O321" s="97">
        <f t="shared" si="163"/>
        <v>2.576010098064204</v>
      </c>
      <c r="P321" s="97">
        <f t="shared" si="164"/>
        <v>2.5569755406893453</v>
      </c>
      <c r="Q321" s="91">
        <f t="shared" si="156"/>
        <v>3.2737397821989145E-3</v>
      </c>
      <c r="R321" s="117">
        <f t="shared" si="153"/>
        <v>4.2702467462334415E-3</v>
      </c>
    </row>
    <row r="322" spans="2:18">
      <c r="B322" s="88">
        <f t="shared" si="165"/>
        <v>46812</v>
      </c>
      <c r="C322" s="117">
        <f t="shared" si="161"/>
        <v>7.1534049112238485E-3</v>
      </c>
      <c r="D322" s="92">
        <f t="shared" si="157"/>
        <v>5.6295125065564093</v>
      </c>
      <c r="E322" s="91">
        <f t="shared" si="154"/>
        <v>2.8708987190766422E-3</v>
      </c>
      <c r="F322" s="92">
        <f t="shared" si="158"/>
        <v>2.1916007999228921</v>
      </c>
      <c r="G322" s="98">
        <f t="shared" si="150"/>
        <v>2.1884616255323199</v>
      </c>
      <c r="H322" s="91">
        <f t="shared" si="155"/>
        <v>2.8708987190766422E-3</v>
      </c>
      <c r="I322" s="92">
        <f t="shared" si="159"/>
        <v>2.2831229838911997</v>
      </c>
      <c r="J322" s="98">
        <f t="shared" si="151"/>
        <v>2.2798527162394402</v>
      </c>
      <c r="K322" s="91">
        <f t="shared" si="162"/>
        <v>7.3996302871768282E-3</v>
      </c>
      <c r="L322" s="94">
        <f t="shared" si="160"/>
        <v>1.9006695980131323</v>
      </c>
      <c r="M322" s="94">
        <f t="shared" si="152"/>
        <v>1.8982809496543558</v>
      </c>
      <c r="N322" s="99">
        <f>(O323/O320)^(1/3)-1</f>
        <v>1.2484407470925163E-3</v>
      </c>
      <c r="O322" s="97">
        <f t="shared" si="163"/>
        <v>2.5792260940355489</v>
      </c>
      <c r="P322" s="97">
        <f t="shared" si="164"/>
        <v>2.560167773143661</v>
      </c>
      <c r="Q322" s="91">
        <f t="shared" si="156"/>
        <v>3.2737397821989145E-3</v>
      </c>
      <c r="R322" s="117">
        <f t="shared" si="153"/>
        <v>4.2702467462334415E-3</v>
      </c>
    </row>
    <row r="323" spans="2:18">
      <c r="B323" s="88">
        <f t="shared" si="165"/>
        <v>46843</v>
      </c>
      <c r="C323" s="117">
        <f t="shared" si="161"/>
        <v>7.1534049112238485E-3</v>
      </c>
      <c r="D323" s="92">
        <f t="shared" si="157"/>
        <v>5.6697826889686063</v>
      </c>
      <c r="E323" s="91">
        <f t="shared" si="154"/>
        <v>2.8708987190766422E-3</v>
      </c>
      <c r="F323" s="92">
        <f t="shared" si="158"/>
        <v>2.1978926638521181</v>
      </c>
      <c r="G323" s="98">
        <f t="shared" si="150"/>
        <v>2.194744477209809</v>
      </c>
      <c r="H323" s="91">
        <f t="shared" si="155"/>
        <v>2.8708987190766422E-3</v>
      </c>
      <c r="I323" s="92">
        <f t="shared" si="159"/>
        <v>2.2896775987411475</v>
      </c>
      <c r="J323" s="98">
        <f t="shared" si="151"/>
        <v>2.2863979424821754</v>
      </c>
      <c r="K323" s="91">
        <f t="shared" si="162"/>
        <v>7.3996302871768282E-3</v>
      </c>
      <c r="L323" s="94">
        <f t="shared" si="160"/>
        <v>1.905458932631737</v>
      </c>
      <c r="M323" s="94">
        <f t="shared" si="152"/>
        <v>1.9030642653224348</v>
      </c>
      <c r="N323" s="99">
        <f>(O323/O320)^(1/3)-1</f>
        <v>1.2484407470925163E-3</v>
      </c>
      <c r="O323" s="97">
        <f t="shared" si="163"/>
        <v>2.5824461049873082</v>
      </c>
      <c r="P323" s="97">
        <f t="shared" si="164"/>
        <v>2.5633639909110473</v>
      </c>
      <c r="Q323" s="91">
        <f t="shared" si="156"/>
        <v>3.2737397821989145E-3</v>
      </c>
      <c r="R323" s="117">
        <f t="shared" si="153"/>
        <v>4.2702467462334415E-3</v>
      </c>
    </row>
    <row r="324" spans="2:18">
      <c r="B324" s="88">
        <f t="shared" si="165"/>
        <v>46873</v>
      </c>
      <c r="C324" s="117">
        <f t="shared" si="161"/>
        <v>7.1534049112238485E-3</v>
      </c>
      <c r="D324" s="92">
        <f t="shared" si="157"/>
        <v>5.710340940301446</v>
      </c>
      <c r="E324" s="91">
        <f t="shared" si="154"/>
        <v>2.8708987190766422E-3</v>
      </c>
      <c r="F324" s="92">
        <f t="shared" si="158"/>
        <v>2.2042025910854393</v>
      </c>
      <c r="G324" s="98">
        <f t="shared" si="150"/>
        <v>2.2010453663181311</v>
      </c>
      <c r="H324" s="91">
        <f t="shared" si="155"/>
        <v>2.8708987190766422E-3</v>
      </c>
      <c r="I324" s="92">
        <f t="shared" si="159"/>
        <v>2.2962510312264719</v>
      </c>
      <c r="J324" s="98">
        <f t="shared" si="151"/>
        <v>2.2929619594065471</v>
      </c>
      <c r="K324" s="91">
        <f t="shared" si="162"/>
        <v>7.3996302871768282E-3</v>
      </c>
      <c r="L324" s="94">
        <f t="shared" si="160"/>
        <v>1.9102603354846699</v>
      </c>
      <c r="M324" s="94">
        <f t="shared" si="152"/>
        <v>1.9078596340582035</v>
      </c>
      <c r="N324" s="99">
        <f>(O326/O323)^(1/3)-1</f>
        <v>1.2437823764783751E-3</v>
      </c>
      <c r="O324" s="97">
        <f t="shared" si="163"/>
        <v>2.5856581059408965</v>
      </c>
      <c r="P324" s="97">
        <f t="shared" si="164"/>
        <v>2.5665522578674418</v>
      </c>
      <c r="Q324" s="91">
        <f t="shared" si="156"/>
        <v>3.2737397821989145E-3</v>
      </c>
      <c r="R324" s="117">
        <f t="shared" si="153"/>
        <v>4.2702467462334415E-3</v>
      </c>
    </row>
    <row r="325" spans="2:18">
      <c r="B325" s="88">
        <f t="shared" si="165"/>
        <v>46904</v>
      </c>
      <c r="C325" s="117">
        <f t="shared" si="161"/>
        <v>7.1534049112238485E-3</v>
      </c>
      <c r="D325" s="92">
        <f t="shared" si="157"/>
        <v>5.7511893212285612</v>
      </c>
      <c r="E325" s="91">
        <f t="shared" si="154"/>
        <v>2.8708987190766422E-3</v>
      </c>
      <c r="F325" s="92">
        <f t="shared" si="158"/>
        <v>2.2105306334807717</v>
      </c>
      <c r="G325" s="98">
        <f t="shared" si="150"/>
        <v>2.2073643446409239</v>
      </c>
      <c r="H325" s="91">
        <f t="shared" si="155"/>
        <v>2.8708987190766422E-3</v>
      </c>
      <c r="I325" s="92">
        <f t="shared" si="159"/>
        <v>2.3028433353706985</v>
      </c>
      <c r="J325" s="98">
        <f t="shared" si="151"/>
        <v>2.2995448209586988</v>
      </c>
      <c r="K325" s="91">
        <f t="shared" si="162"/>
        <v>7.3996302871768282E-3</v>
      </c>
      <c r="L325" s="94">
        <f t="shared" si="160"/>
        <v>1.9150738369816414</v>
      </c>
      <c r="M325" s="94">
        <f t="shared" si="152"/>
        <v>1.9126670862331556</v>
      </c>
      <c r="N325" s="99">
        <f>(O326/O323)^(1/3)-1</f>
        <v>1.2437823764783751E-3</v>
      </c>
      <c r="O325" s="97">
        <f t="shared" si="163"/>
        <v>2.5888741019246644</v>
      </c>
      <c r="P325" s="97">
        <f t="shared" si="164"/>
        <v>2.569744490334088</v>
      </c>
      <c r="Q325" s="91">
        <f t="shared" si="156"/>
        <v>3.2737397821989145E-3</v>
      </c>
      <c r="R325" s="117">
        <f t="shared" si="153"/>
        <v>4.2702467462334415E-3</v>
      </c>
    </row>
    <row r="326" spans="2:18">
      <c r="B326" s="88">
        <f t="shared" si="165"/>
        <v>46934</v>
      </c>
      <c r="C326" s="117">
        <f t="shared" si="161"/>
        <v>7.1534049112238485E-3</v>
      </c>
      <c r="D326" s="92">
        <f t="shared" si="157"/>
        <v>5.7923299071644161</v>
      </c>
      <c r="E326" s="91">
        <f t="shared" si="154"/>
        <v>2.8708987190766422E-3</v>
      </c>
      <c r="F326" s="92">
        <f t="shared" si="158"/>
        <v>2.2168768430449113</v>
      </c>
      <c r="G326" s="98">
        <f t="shared" si="150"/>
        <v>2.2137014641104886</v>
      </c>
      <c r="H326" s="91">
        <f t="shared" si="155"/>
        <v>2.8708987190766422E-3</v>
      </c>
      <c r="I326" s="92">
        <f t="shared" si="159"/>
        <v>2.3094545653524485</v>
      </c>
      <c r="J326" s="98">
        <f t="shared" si="151"/>
        <v>2.3061465812396484</v>
      </c>
      <c r="K326" s="91">
        <f t="shared" si="162"/>
        <v>7.3996302871768282E-3</v>
      </c>
      <c r="L326" s="94">
        <f t="shared" si="160"/>
        <v>1.9198994676089889</v>
      </c>
      <c r="M326" s="94">
        <f t="shared" si="152"/>
        <v>1.9174866522953151</v>
      </c>
      <c r="N326" s="99">
        <f>(O326/O323)^(1/3)-1</f>
        <v>1.2437823764783751E-3</v>
      </c>
      <c r="O326" s="97">
        <f t="shared" si="163"/>
        <v>2.5920940979075597</v>
      </c>
      <c r="P326" s="97">
        <f t="shared" si="164"/>
        <v>2.5729406932432184</v>
      </c>
      <c r="Q326" s="91">
        <f t="shared" si="156"/>
        <v>3.2737397821989145E-3</v>
      </c>
      <c r="R326" s="117">
        <f t="shared" si="153"/>
        <v>4.2702467462334415E-3</v>
      </c>
    </row>
    <row r="327" spans="2:18">
      <c r="B327" s="88">
        <f t="shared" si="165"/>
        <v>46965</v>
      </c>
      <c r="C327" s="117">
        <f t="shared" si="161"/>
        <v>7.1534049112238485E-3</v>
      </c>
      <c r="D327" s="92">
        <f t="shared" si="157"/>
        <v>5.8337647883697548</v>
      </c>
      <c r="E327" s="91">
        <f t="shared" si="154"/>
        <v>2.8708987190766422E-3</v>
      </c>
      <c r="F327" s="92">
        <f t="shared" si="158"/>
        <v>2.2232412719339596</v>
      </c>
      <c r="G327" s="98">
        <f t="shared" si="150"/>
        <v>2.2200567768082213</v>
      </c>
      <c r="H327" s="91">
        <f t="shared" si="155"/>
        <v>2.8708987190766422E-3</v>
      </c>
      <c r="I327" s="92">
        <f t="shared" si="159"/>
        <v>2.3160847755058844</v>
      </c>
      <c r="J327" s="98">
        <f t="shared" si="151"/>
        <v>2.3127672945057327</v>
      </c>
      <c r="K327" s="91">
        <f t="shared" si="162"/>
        <v>7.3996302871768282E-3</v>
      </c>
      <c r="L327" s="94">
        <f t="shared" si="160"/>
        <v>1.9247372579298698</v>
      </c>
      <c r="M327" s="94">
        <f t="shared" si="152"/>
        <v>1.9223183627694294</v>
      </c>
      <c r="N327" s="99">
        <f>(O329/O326)^(1/3)-1</f>
        <v>1.2391586406963473E-3</v>
      </c>
      <c r="O327" s="97">
        <f t="shared" si="163"/>
        <v>2.5953061137064797</v>
      </c>
      <c r="P327" s="97">
        <f t="shared" si="164"/>
        <v>2.5761289749352501</v>
      </c>
      <c r="Q327" s="91">
        <f t="shared" si="156"/>
        <v>3.2737397821989145E-3</v>
      </c>
      <c r="R327" s="117">
        <f t="shared" si="153"/>
        <v>4.2702467462334415E-3</v>
      </c>
    </row>
    <row r="328" spans="2:18">
      <c r="B328" s="88">
        <f t="shared" si="165"/>
        <v>46996</v>
      </c>
      <c r="C328" s="117">
        <f t="shared" si="161"/>
        <v>7.1534049112238485E-3</v>
      </c>
      <c r="D328" s="92">
        <f t="shared" si="157"/>
        <v>5.8754960700578041</v>
      </c>
      <c r="E328" s="91">
        <f t="shared" si="154"/>
        <v>2.8708987190766422E-3</v>
      </c>
      <c r="F328" s="92">
        <f t="shared" si="158"/>
        <v>2.2296239724537532</v>
      </c>
      <c r="G328" s="98">
        <f t="shared" si="150"/>
        <v>2.2264303349650376</v>
      </c>
      <c r="H328" s="91">
        <f t="shared" si="155"/>
        <v>2.8708987190766422E-3</v>
      </c>
      <c r="I328" s="92">
        <f t="shared" si="159"/>
        <v>2.3227340203211573</v>
      </c>
      <c r="J328" s="98">
        <f t="shared" si="151"/>
        <v>2.3194070151690513</v>
      </c>
      <c r="K328" s="91">
        <f t="shared" si="162"/>
        <v>7.3996302871768282E-3</v>
      </c>
      <c r="L328" s="94">
        <f t="shared" si="160"/>
        <v>1.929587238584455</v>
      </c>
      <c r="M328" s="94">
        <f t="shared" si="152"/>
        <v>1.9271622482571624</v>
      </c>
      <c r="N328" s="99">
        <f>(O329/O326)^(1/3)-1</f>
        <v>1.2391586406963473E-3</v>
      </c>
      <c r="O328" s="97">
        <f t="shared" si="163"/>
        <v>2.5985221097025311</v>
      </c>
      <c r="P328" s="97">
        <f t="shared" si="164"/>
        <v>2.5793212074140892</v>
      </c>
      <c r="Q328" s="91">
        <f t="shared" si="156"/>
        <v>3.2737397821989145E-3</v>
      </c>
      <c r="R328" s="117">
        <f t="shared" si="153"/>
        <v>4.2702467462334415E-3</v>
      </c>
    </row>
    <row r="329" spans="2:18">
      <c r="B329" s="88">
        <f t="shared" si="165"/>
        <v>47026</v>
      </c>
      <c r="C329" s="117">
        <f t="shared" si="161"/>
        <v>7.1534049112238485E-3</v>
      </c>
      <c r="D329" s="92">
        <f t="shared" si="157"/>
        <v>5.9175258725012316</v>
      </c>
      <c r="E329" s="91">
        <f t="shared" si="154"/>
        <v>2.8708987190766422E-3</v>
      </c>
      <c r="F329" s="92">
        <f t="shared" si="158"/>
        <v>2.2360249970602935</v>
      </c>
      <c r="G329" s="98">
        <f t="shared" si="150"/>
        <v>2.2328221909618025</v>
      </c>
      <c r="H329" s="91">
        <f t="shared" si="155"/>
        <v>2.8708987190766422E-3</v>
      </c>
      <c r="I329" s="92">
        <f t="shared" si="159"/>
        <v>2.329402354444853</v>
      </c>
      <c r="J329" s="98">
        <f t="shared" si="151"/>
        <v>2.3260657977979178</v>
      </c>
      <c r="K329" s="91">
        <f t="shared" si="162"/>
        <v>7.3996302871768282E-3</v>
      </c>
      <c r="L329" s="94">
        <f t="shared" si="160"/>
        <v>1.9344494402901229</v>
      </c>
      <c r="M329" s="94">
        <f t="shared" si="152"/>
        <v>1.932018339437289</v>
      </c>
      <c r="N329" s="99">
        <f>(O329/O326)^(1/3)-1</f>
        <v>1.2391586406963473E-3</v>
      </c>
      <c r="O329" s="97">
        <f t="shared" si="163"/>
        <v>2.6017420908278108</v>
      </c>
      <c r="P329" s="97">
        <f t="shared" si="164"/>
        <v>2.5825173955753891</v>
      </c>
      <c r="Q329" s="91">
        <f t="shared" si="156"/>
        <v>3.2737397821989145E-3</v>
      </c>
      <c r="R329" s="117">
        <f t="shared" si="153"/>
        <v>4.2702467462334415E-3</v>
      </c>
    </row>
    <row r="330" spans="2:18">
      <c r="B330" s="88">
        <f t="shared" si="165"/>
        <v>47057</v>
      </c>
      <c r="C330" s="117">
        <f t="shared" si="161"/>
        <v>7.1534049112238485E-3</v>
      </c>
      <c r="D330" s="92">
        <f t="shared" si="157"/>
        <v>5.9598563311398758</v>
      </c>
      <c r="E330" s="91">
        <f t="shared" si="154"/>
        <v>2.8708987190766422E-3</v>
      </c>
      <c r="F330" s="92">
        <f t="shared" si="158"/>
        <v>2.2424443983601772</v>
      </c>
      <c r="G330" s="98">
        <f t="shared" si="150"/>
        <v>2.2392323973297605</v>
      </c>
      <c r="H330" s="91">
        <f t="shared" si="155"/>
        <v>2.8708987190766422E-3</v>
      </c>
      <c r="I330" s="92">
        <f t="shared" si="159"/>
        <v>2.3360898326804427</v>
      </c>
      <c r="J330" s="98">
        <f t="shared" si="151"/>
        <v>2.3327436971173037</v>
      </c>
      <c r="K330" s="91">
        <f t="shared" si="162"/>
        <v>7.3996302871768282E-3</v>
      </c>
      <c r="L330" s="94">
        <f t="shared" si="160"/>
        <v>1.9393238938416539</v>
      </c>
      <c r="M330" s="94">
        <f t="shared" si="152"/>
        <v>1.9368866670658884</v>
      </c>
      <c r="N330" s="99">
        <f>(O332/O329)^(1/3)-1</f>
        <v>1.2345691549140447E-3</v>
      </c>
      <c r="O330" s="97">
        <f t="shared" si="163"/>
        <v>2.6049541213621885</v>
      </c>
      <c r="P330" s="97">
        <f t="shared" si="164"/>
        <v>2.5857056918939954</v>
      </c>
      <c r="Q330" s="91">
        <f t="shared" si="156"/>
        <v>3.2737397821989145E-3</v>
      </c>
      <c r="R330" s="117">
        <f t="shared" si="153"/>
        <v>4.2702467462334415E-3</v>
      </c>
    </row>
    <row r="331" spans="2:18">
      <c r="B331" s="88">
        <f t="shared" si="165"/>
        <v>47087</v>
      </c>
      <c r="C331" s="117">
        <f t="shared" si="161"/>
        <v>7.1534049112238485E-3</v>
      </c>
      <c r="D331" s="92">
        <f t="shared" si="157"/>
        <v>6.00248959668924</v>
      </c>
      <c r="E331" s="91">
        <f t="shared" si="154"/>
        <v>2.8708987190766422E-3</v>
      </c>
      <c r="F331" s="92">
        <f t="shared" si="158"/>
        <v>2.2488822291110302</v>
      </c>
      <c r="G331" s="98">
        <f t="shared" si="150"/>
        <v>2.2456610067509692</v>
      </c>
      <c r="H331" s="91">
        <f t="shared" si="155"/>
        <v>2.8708987190766422E-3</v>
      </c>
      <c r="I331" s="92">
        <f t="shared" si="159"/>
        <v>2.3427965099887329</v>
      </c>
      <c r="J331" s="98">
        <f t="shared" si="151"/>
        <v>2.3394407680092915</v>
      </c>
      <c r="K331" s="91">
        <f t="shared" si="162"/>
        <v>7.3996302871768282E-3</v>
      </c>
      <c r="L331" s="94">
        <f t="shared" si="160"/>
        <v>1.9442106301114257</v>
      </c>
      <c r="M331" s="94">
        <f t="shared" si="152"/>
        <v>1.9417672619765398</v>
      </c>
      <c r="N331" s="99">
        <f>(O332/O329)^(1/3)-1</f>
        <v>1.2345691549140447E-3</v>
      </c>
      <c r="O331" s="97">
        <f t="shared" si="163"/>
        <v>2.6081701173703884</v>
      </c>
      <c r="P331" s="97">
        <f t="shared" si="164"/>
        <v>2.5888979243848933</v>
      </c>
      <c r="Q331" s="91">
        <f t="shared" si="156"/>
        <v>3.2737397821989145E-3</v>
      </c>
      <c r="R331" s="117">
        <f t="shared" si="153"/>
        <v>4.2702467462334415E-3</v>
      </c>
    </row>
    <row r="332" spans="2:18">
      <c r="B332" s="88">
        <f t="shared" si="165"/>
        <v>47118</v>
      </c>
      <c r="C332" s="117">
        <f t="shared" si="161"/>
        <v>7.1534049112238485E-3</v>
      </c>
      <c r="D332" s="92">
        <f t="shared" si="157"/>
        <v>6.0454278352497672</v>
      </c>
      <c r="E332" s="91">
        <f t="shared" si="154"/>
        <v>2.8708987190766422E-3</v>
      </c>
      <c r="F332" s="92">
        <f t="shared" si="158"/>
        <v>2.2553385422219394</v>
      </c>
      <c r="G332" s="98">
        <f t="shared" ref="G332:G380" si="166">+F331*(F332/F331)^(0.5)</f>
        <v>2.2521080720587312</v>
      </c>
      <c r="H332" s="91">
        <f t="shared" si="155"/>
        <v>2.8708987190766422E-3</v>
      </c>
      <c r="I332" s="92">
        <f t="shared" si="159"/>
        <v>2.3495224414883169</v>
      </c>
      <c r="J332" s="98">
        <f t="shared" ref="J332:J380" si="167">+I331*(I332/I331)^(0.5)</f>
        <v>2.3461570655135251</v>
      </c>
      <c r="K332" s="91">
        <f t="shared" si="162"/>
        <v>7.3996302871768282E-3</v>
      </c>
      <c r="L332" s="94">
        <f t="shared" si="160"/>
        <v>1.9491096800496084</v>
      </c>
      <c r="M332" s="94">
        <f t="shared" ref="M332:M380" si="168">AVERAGE(L332,L331)</f>
        <v>1.9466601550805169</v>
      </c>
      <c r="N332" s="99">
        <f>(O332/O329)^(1/3)-1</f>
        <v>1.2345691549140447E-3</v>
      </c>
      <c r="O332" s="97">
        <f t="shared" si="163"/>
        <v>2.6113900837480624</v>
      </c>
      <c r="P332" s="97">
        <f t="shared" si="164"/>
        <v>2.5920940979075597</v>
      </c>
      <c r="Q332" s="91">
        <f t="shared" si="156"/>
        <v>3.2737397821989145E-3</v>
      </c>
      <c r="R332" s="117">
        <f t="shared" si="153"/>
        <v>4.2702467462334415E-3</v>
      </c>
    </row>
    <row r="333" spans="2:18">
      <c r="B333" s="88">
        <f t="shared" si="165"/>
        <v>47149</v>
      </c>
      <c r="C333" s="117">
        <f t="shared" si="161"/>
        <v>7.1534049112238485E-3</v>
      </c>
      <c r="D333" s="92">
        <f t="shared" si="157"/>
        <v>6.0886732284168925</v>
      </c>
      <c r="E333" s="91">
        <f t="shared" si="154"/>
        <v>2.8708987190766422E-3</v>
      </c>
      <c r="F333" s="92">
        <f t="shared" si="158"/>
        <v>2.2618133907538884</v>
      </c>
      <c r="G333" s="98">
        <f t="shared" si="166"/>
        <v>2.2585736462380273</v>
      </c>
      <c r="H333" s="91">
        <f t="shared" si="155"/>
        <v>2.8708987190766422E-3</v>
      </c>
      <c r="I333" s="92">
        <f t="shared" si="159"/>
        <v>2.3562676824560276</v>
      </c>
      <c r="J333" s="98">
        <f t="shared" si="167"/>
        <v>2.3528926448276608</v>
      </c>
      <c r="K333" s="91">
        <f t="shared" si="162"/>
        <v>7.3996302871768282E-3</v>
      </c>
      <c r="L333" s="94">
        <f t="shared" si="160"/>
        <v>1.9540210746843611</v>
      </c>
      <c r="M333" s="94">
        <f t="shared" si="168"/>
        <v>1.9515653773669848</v>
      </c>
      <c r="N333" s="99">
        <f>(O335/O332)^(1/3)-1</f>
        <v>1.2484407470927383E-3</v>
      </c>
      <c r="O333" s="97">
        <f t="shared" si="163"/>
        <v>2.6146502495351673</v>
      </c>
      <c r="P333" s="97">
        <f t="shared" si="164"/>
        <v>2.5953301737996863</v>
      </c>
      <c r="Q333" s="91">
        <f t="shared" si="156"/>
        <v>3.2737397821989145E-3</v>
      </c>
      <c r="R333" s="117">
        <f t="shared" ref="R333:R380" si="169">IF(ISERROR((1+HLOOKUP(B333,$B$5:$EX$36,21,FALSE))^(1/3)-1),R334,(1+HLOOKUP(B333,$B$5:$EX$36,21,FALSE))^(1/3)-1)</f>
        <v>4.2702467462334415E-3</v>
      </c>
    </row>
    <row r="334" spans="2:18">
      <c r="B334" s="88">
        <f t="shared" si="165"/>
        <v>47177</v>
      </c>
      <c r="C334" s="117">
        <f t="shared" si="161"/>
        <v>7.1534049112238485E-3</v>
      </c>
      <c r="D334" s="92">
        <f t="shared" si="157"/>
        <v>6.1322279733918874</v>
      </c>
      <c r="E334" s="91">
        <f t="shared" si="154"/>
        <v>2.8708987190766422E-3</v>
      </c>
      <c r="F334" s="92">
        <f t="shared" si="158"/>
        <v>2.2683068279201941</v>
      </c>
      <c r="G334" s="98">
        <f t="shared" si="166"/>
        <v>2.2650577824259521</v>
      </c>
      <c r="H334" s="91">
        <f t="shared" si="155"/>
        <v>2.8708987190766422E-3</v>
      </c>
      <c r="I334" s="92">
        <f t="shared" si="159"/>
        <v>2.3630322883273922</v>
      </c>
      <c r="J334" s="98">
        <f t="shared" si="167"/>
        <v>2.3596475613078214</v>
      </c>
      <c r="K334" s="91">
        <f t="shared" si="162"/>
        <v>7.3996302871768282E-3</v>
      </c>
      <c r="L334" s="94">
        <f t="shared" si="160"/>
        <v>1.9589448451220279</v>
      </c>
      <c r="M334" s="94">
        <f t="shared" si="168"/>
        <v>1.9564829599031945</v>
      </c>
      <c r="N334" s="99">
        <f>(O335/O332)^(1/3)-1</f>
        <v>1.2484407470927383E-3</v>
      </c>
      <c r="O334" s="97">
        <f t="shared" si="163"/>
        <v>2.6179144854460832</v>
      </c>
      <c r="P334" s="97">
        <f t="shared" si="164"/>
        <v>2.5985702897408172</v>
      </c>
      <c r="Q334" s="91">
        <f t="shared" si="156"/>
        <v>3.2737397821989145E-3</v>
      </c>
      <c r="R334" s="117">
        <f t="shared" si="169"/>
        <v>4.2702467462334415E-3</v>
      </c>
    </row>
    <row r="335" spans="2:18">
      <c r="B335" s="88">
        <f t="shared" si="165"/>
        <v>47208</v>
      </c>
      <c r="C335" s="117">
        <f t="shared" si="161"/>
        <v>7.1534049112238485E-3</v>
      </c>
      <c r="D335" s="92">
        <f t="shared" si="157"/>
        <v>6.1760942830934935</v>
      </c>
      <c r="E335" s="91">
        <f t="shared" si="154"/>
        <v>2.8708987190766422E-3</v>
      </c>
      <c r="F335" s="92">
        <f t="shared" si="158"/>
        <v>2.2748189070869431</v>
      </c>
      <c r="G335" s="98">
        <f t="shared" si="166"/>
        <v>2.2715605339121532</v>
      </c>
      <c r="H335" s="91">
        <f t="shared" si="155"/>
        <v>2.8708987190766422E-3</v>
      </c>
      <c r="I335" s="92">
        <f t="shared" si="159"/>
        <v>2.3698163146970881</v>
      </c>
      <c r="J335" s="98">
        <f t="shared" si="167"/>
        <v>2.3664218704690523</v>
      </c>
      <c r="K335" s="91">
        <f t="shared" si="162"/>
        <v>7.3996302871768282E-3</v>
      </c>
      <c r="L335" s="94">
        <f t="shared" si="160"/>
        <v>1.9638810225473351</v>
      </c>
      <c r="M335" s="94">
        <f t="shared" si="168"/>
        <v>1.9614129338346815</v>
      </c>
      <c r="N335" s="99">
        <f>(O335/O332)^(1/3)-1</f>
        <v>1.2484407470927383E-3</v>
      </c>
      <c r="O335" s="97">
        <f t="shared" si="163"/>
        <v>2.6211827965621177</v>
      </c>
      <c r="P335" s="97">
        <f t="shared" si="164"/>
        <v>2.6018144507747127</v>
      </c>
      <c r="Q335" s="91">
        <f t="shared" si="156"/>
        <v>3.2737397821989145E-3</v>
      </c>
      <c r="R335" s="117">
        <f t="shared" si="169"/>
        <v>4.2702467462334415E-3</v>
      </c>
    </row>
    <row r="336" spans="2:18">
      <c r="B336" s="88">
        <f t="shared" si="165"/>
        <v>47238</v>
      </c>
      <c r="C336" s="117">
        <f t="shared" si="161"/>
        <v>7.1534049112238485E-3</v>
      </c>
      <c r="D336" s="92">
        <f t="shared" si="157"/>
        <v>6.220274386270356</v>
      </c>
      <c r="E336" s="91">
        <f t="shared" si="154"/>
        <v>2.8708987190766422E-3</v>
      </c>
      <c r="F336" s="92">
        <f t="shared" si="158"/>
        <v>2.2813496817734302</v>
      </c>
      <c r="G336" s="98">
        <f t="shared" si="166"/>
        <v>2.278081954139267</v>
      </c>
      <c r="H336" s="91">
        <f t="shared" si="155"/>
        <v>2.8708987190766422E-3</v>
      </c>
      <c r="I336" s="92">
        <f t="shared" si="159"/>
        <v>2.3766198173193991</v>
      </c>
      <c r="J336" s="98">
        <f t="shared" si="167"/>
        <v>2.3732156279857768</v>
      </c>
      <c r="K336" s="91">
        <f t="shared" si="162"/>
        <v>7.3996302871768282E-3</v>
      </c>
      <c r="L336" s="94">
        <f t="shared" si="160"/>
        <v>1.968829638223589</v>
      </c>
      <c r="M336" s="94">
        <f t="shared" si="168"/>
        <v>1.9663553303854622</v>
      </c>
      <c r="N336" s="99">
        <f>(O338/O335)^(1/3)-1</f>
        <v>1.2437823764783751E-3</v>
      </c>
      <c r="O336" s="97">
        <f t="shared" si="163"/>
        <v>2.62444297753001</v>
      </c>
      <c r="P336" s="97">
        <f t="shared" si="164"/>
        <v>2.6050505417354533</v>
      </c>
      <c r="Q336" s="91">
        <f t="shared" si="156"/>
        <v>3.2737397821989145E-3</v>
      </c>
      <c r="R336" s="117">
        <f t="shared" si="169"/>
        <v>4.2702467462334415E-3</v>
      </c>
    </row>
    <row r="337" spans="2:18">
      <c r="B337" s="88">
        <f t="shared" si="165"/>
        <v>47269</v>
      </c>
      <c r="C337" s="117">
        <f t="shared" si="161"/>
        <v>7.1534049112238485E-3</v>
      </c>
      <c r="D337" s="92">
        <f t="shared" si="157"/>
        <v>6.264770527614262</v>
      </c>
      <c r="E337" s="91">
        <f t="shared" si="154"/>
        <v>2.8708987190766422E-3</v>
      </c>
      <c r="F337" s="92">
        <f t="shared" si="158"/>
        <v>2.2878992056525993</v>
      </c>
      <c r="G337" s="98">
        <f t="shared" si="166"/>
        <v>2.2846220967033566</v>
      </c>
      <c r="H337" s="91">
        <f t="shared" si="155"/>
        <v>2.8708987190766422E-3</v>
      </c>
      <c r="I337" s="92">
        <f t="shared" si="159"/>
        <v>2.3834428521086735</v>
      </c>
      <c r="J337" s="98">
        <f t="shared" si="167"/>
        <v>2.3800288896922539</v>
      </c>
      <c r="K337" s="91">
        <f t="shared" si="162"/>
        <v>7.3996302871768282E-3</v>
      </c>
      <c r="L337" s="94">
        <f t="shared" si="160"/>
        <v>1.9737907234928733</v>
      </c>
      <c r="M337" s="94">
        <f t="shared" si="168"/>
        <v>1.9713101808582312</v>
      </c>
      <c r="N337" s="99">
        <f>(O338/O335)^(1/3)-1</f>
        <v>1.2437823764783751E-3</v>
      </c>
      <c r="O337" s="97">
        <f t="shared" si="163"/>
        <v>2.6277072134535344</v>
      </c>
      <c r="P337" s="97">
        <f t="shared" si="164"/>
        <v>2.6082906576890994</v>
      </c>
      <c r="Q337" s="91">
        <f t="shared" si="156"/>
        <v>3.2737397821989145E-3</v>
      </c>
      <c r="R337" s="117">
        <f t="shared" si="169"/>
        <v>4.2702467462334415E-3</v>
      </c>
    </row>
    <row r="338" spans="2:18">
      <c r="B338" s="88">
        <f t="shared" si="165"/>
        <v>47299</v>
      </c>
      <c r="C338" s="117">
        <f t="shared" si="161"/>
        <v>7.1534049112238485E-3</v>
      </c>
      <c r="D338" s="92">
        <f t="shared" si="157"/>
        <v>6.309584967874188</v>
      </c>
      <c r="E338" s="91">
        <f t="shared" si="154"/>
        <v>2.8708987190766422E-3</v>
      </c>
      <c r="F338" s="92">
        <f t="shared" si="158"/>
        <v>2.2944675325514838</v>
      </c>
      <c r="G338" s="98">
        <f t="shared" si="166"/>
        <v>2.2911810153543564</v>
      </c>
      <c r="H338" s="91">
        <f t="shared" si="155"/>
        <v>2.8708987190766422E-3</v>
      </c>
      <c r="I338" s="92">
        <f t="shared" si="159"/>
        <v>2.3902854751397848</v>
      </c>
      <c r="J338" s="98">
        <f t="shared" si="167"/>
        <v>2.3868617115830366</v>
      </c>
      <c r="K338" s="91">
        <f t="shared" si="162"/>
        <v>7.3996302871768282E-3</v>
      </c>
      <c r="L338" s="94">
        <f t="shared" si="160"/>
        <v>1.978764309776248</v>
      </c>
      <c r="M338" s="94">
        <f t="shared" si="168"/>
        <v>1.9762775166345605</v>
      </c>
      <c r="N338" s="99">
        <f>(O338/O335)^(1/3)-1</f>
        <v>1.2437823764783751E-3</v>
      </c>
      <c r="O338" s="97">
        <f t="shared" si="163"/>
        <v>2.6309755093761726</v>
      </c>
      <c r="P338" s="97">
        <f t="shared" si="164"/>
        <v>2.6115348036418662</v>
      </c>
      <c r="Q338" s="91">
        <f t="shared" si="156"/>
        <v>3.2737397821989145E-3</v>
      </c>
      <c r="R338" s="117">
        <f t="shared" si="169"/>
        <v>4.2702467462334415E-3</v>
      </c>
    </row>
    <row r="339" spans="2:18">
      <c r="B339" s="88">
        <f t="shared" si="165"/>
        <v>47330</v>
      </c>
      <c r="C339" s="117">
        <f t="shared" si="161"/>
        <v>7.1534049112238485E-3</v>
      </c>
      <c r="D339" s="92">
        <f t="shared" si="157"/>
        <v>6.3547199839711634</v>
      </c>
      <c r="E339" s="91">
        <f t="shared" si="154"/>
        <v>2.8708987190766422E-3</v>
      </c>
      <c r="F339" s="92">
        <f t="shared" si="158"/>
        <v>2.3010547164516488</v>
      </c>
      <c r="G339" s="98">
        <f t="shared" si="166"/>
        <v>2.29775876399651</v>
      </c>
      <c r="H339" s="91">
        <f t="shared" si="155"/>
        <v>2.8708987190766422E-3</v>
      </c>
      <c r="I339" s="92">
        <f t="shared" si="159"/>
        <v>2.397147742648591</v>
      </c>
      <c r="J339" s="98">
        <f t="shared" si="167"/>
        <v>2.3937141498134338</v>
      </c>
      <c r="K339" s="91">
        <f t="shared" si="162"/>
        <v>7.3996302871768282E-3</v>
      </c>
      <c r="L339" s="94">
        <f t="shared" si="160"/>
        <v>1.9837504285739485</v>
      </c>
      <c r="M339" s="94">
        <f t="shared" si="168"/>
        <v>1.9812573691750983</v>
      </c>
      <c r="N339" s="99">
        <f>(O341/O338)^(1/3)-1</f>
        <v>1.2391586406965693E-3</v>
      </c>
      <c r="O339" s="97">
        <f t="shared" si="163"/>
        <v>2.6342357054120771</v>
      </c>
      <c r="P339" s="97">
        <f t="shared" si="164"/>
        <v>2.614770909559279</v>
      </c>
      <c r="Q339" s="91">
        <f t="shared" si="156"/>
        <v>3.2737397821989145E-3</v>
      </c>
      <c r="R339" s="117">
        <f t="shared" si="169"/>
        <v>4.2702467462334415E-3</v>
      </c>
    </row>
    <row r="340" spans="2:18">
      <c r="B340" s="88">
        <f t="shared" si="165"/>
        <v>47361</v>
      </c>
      <c r="C340" s="117">
        <f t="shared" si="161"/>
        <v>7.1534049112238485E-3</v>
      </c>
      <c r="D340" s="92">
        <f t="shared" si="157"/>
        <v>6.4001778691139553</v>
      </c>
      <c r="E340" s="91">
        <f t="shared" si="154"/>
        <v>2.8708987190766422E-3</v>
      </c>
      <c r="F340" s="92">
        <f t="shared" si="158"/>
        <v>2.3076608114896353</v>
      </c>
      <c r="G340" s="98">
        <f t="shared" si="166"/>
        <v>2.3043553966888148</v>
      </c>
      <c r="H340" s="91">
        <f t="shared" si="155"/>
        <v>2.8708987190766422E-3</v>
      </c>
      <c r="I340" s="92">
        <f t="shared" si="159"/>
        <v>2.4040297110323983</v>
      </c>
      <c r="J340" s="98">
        <f t="shared" si="167"/>
        <v>2.4005862606999688</v>
      </c>
      <c r="K340" s="91">
        <f t="shared" si="162"/>
        <v>7.3996302871768282E-3</v>
      </c>
      <c r="L340" s="94">
        <f t="shared" si="160"/>
        <v>1.9887491114655846</v>
      </c>
      <c r="M340" s="94">
        <f t="shared" si="168"/>
        <v>1.9862497700197665</v>
      </c>
      <c r="N340" s="99">
        <f>(O341/O338)^(1/3)-1</f>
        <v>1.2391586406965693E-3</v>
      </c>
      <c r="O340" s="97">
        <f t="shared" si="163"/>
        <v>2.6374999413480698</v>
      </c>
      <c r="P340" s="97">
        <f t="shared" si="164"/>
        <v>2.6180110255253015</v>
      </c>
      <c r="Q340" s="91">
        <f t="shared" si="156"/>
        <v>3.2737397821989145E-3</v>
      </c>
      <c r="R340" s="117">
        <f t="shared" si="169"/>
        <v>4.2702467462334415E-3</v>
      </c>
    </row>
    <row r="341" spans="2:18">
      <c r="B341" s="88">
        <f t="shared" si="165"/>
        <v>47391</v>
      </c>
      <c r="C341" s="117">
        <f t="shared" si="161"/>
        <v>7.1534049112238485E-3</v>
      </c>
      <c r="D341" s="92">
        <f t="shared" si="157"/>
        <v>6.4459609329155816</v>
      </c>
      <c r="E341" s="91">
        <f t="shared" si="154"/>
        <v>2.8708987190766422E-3</v>
      </c>
      <c r="F341" s="92">
        <f t="shared" si="158"/>
        <v>2.3142858719574044</v>
      </c>
      <c r="G341" s="98">
        <f t="shared" si="166"/>
        <v>2.3109709676454662</v>
      </c>
      <c r="H341" s="91">
        <f t="shared" si="155"/>
        <v>2.8708987190766422E-3</v>
      </c>
      <c r="I341" s="92">
        <f t="shared" si="159"/>
        <v>2.4109314368504235</v>
      </c>
      <c r="J341" s="98">
        <f t="shared" si="167"/>
        <v>2.4074781007208452</v>
      </c>
      <c r="K341" s="91">
        <f t="shared" si="162"/>
        <v>7.3996302871768282E-3</v>
      </c>
      <c r="L341" s="94">
        <f t="shared" si="160"/>
        <v>1.9937603901103413</v>
      </c>
      <c r="M341" s="94">
        <f t="shared" si="168"/>
        <v>1.991254750787963</v>
      </c>
      <c r="N341" s="99">
        <f>(O341/O338)^(1/3)-1</f>
        <v>1.2391586406965693E-3</v>
      </c>
      <c r="O341" s="97">
        <f t="shared" si="163"/>
        <v>2.6407682221902276</v>
      </c>
      <c r="P341" s="97">
        <f t="shared" si="164"/>
        <v>2.6212551565090196</v>
      </c>
      <c r="Q341" s="91">
        <f t="shared" si="156"/>
        <v>3.2737397821989145E-3</v>
      </c>
      <c r="R341" s="117">
        <f t="shared" si="169"/>
        <v>4.2702467462334415E-3</v>
      </c>
    </row>
    <row r="342" spans="2:18">
      <c r="B342" s="88">
        <f t="shared" si="165"/>
        <v>47422</v>
      </c>
      <c r="C342" s="117">
        <f t="shared" si="161"/>
        <v>7.1534049112238485E-3</v>
      </c>
      <c r="D342" s="92">
        <f t="shared" si="157"/>
        <v>6.4920715015106571</v>
      </c>
      <c r="E342" s="91">
        <f t="shared" si="154"/>
        <v>2.8708987190766422E-3</v>
      </c>
      <c r="F342" s="92">
        <f t="shared" si="158"/>
        <v>2.3209299523027842</v>
      </c>
      <c r="G342" s="98">
        <f t="shared" si="166"/>
        <v>2.3176055312363029</v>
      </c>
      <c r="H342" s="91">
        <f t="shared" si="155"/>
        <v>2.8708987190766422E-3</v>
      </c>
      <c r="I342" s="92">
        <f t="shared" si="159"/>
        <v>2.4178529768242591</v>
      </c>
      <c r="J342" s="98">
        <f t="shared" si="167"/>
        <v>2.41438972651641</v>
      </c>
      <c r="K342" s="91">
        <f t="shared" si="162"/>
        <v>7.3996302871768282E-3</v>
      </c>
      <c r="L342" s="94">
        <f t="shared" si="160"/>
        <v>1.9987842962471787</v>
      </c>
      <c r="M342" s="94">
        <f t="shared" si="168"/>
        <v>1.9962723431787599</v>
      </c>
      <c r="N342" s="99">
        <f>(O344/O341)^(1/3)-1</f>
        <v>1.2345691549140447E-3</v>
      </c>
      <c r="O342" s="97">
        <f t="shared" si="163"/>
        <v>2.6440284331826209</v>
      </c>
      <c r="P342" s="97">
        <f t="shared" si="164"/>
        <v>2.6244912772724049</v>
      </c>
      <c r="Q342" s="91">
        <f t="shared" si="156"/>
        <v>3.2737397821989145E-3</v>
      </c>
      <c r="R342" s="117">
        <f t="shared" si="169"/>
        <v>4.2702467462334415E-3</v>
      </c>
    </row>
    <row r="343" spans="2:18">
      <c r="B343" s="88">
        <f t="shared" si="165"/>
        <v>47452</v>
      </c>
      <c r="C343" s="117">
        <f t="shared" si="161"/>
        <v>7.1534049112238485E-3</v>
      </c>
      <c r="D343" s="92">
        <f t="shared" si="157"/>
        <v>6.5385119176735795</v>
      </c>
      <c r="E343" s="91">
        <f t="shared" si="154"/>
        <v>2.8708987190766422E-3</v>
      </c>
      <c r="F343" s="92">
        <f t="shared" si="158"/>
        <v>2.3275931071299167</v>
      </c>
      <c r="G343" s="98">
        <f t="shared" si="166"/>
        <v>2.324259141987254</v>
      </c>
      <c r="H343" s="91">
        <f t="shared" si="155"/>
        <v>2.8708987190766422E-3</v>
      </c>
      <c r="I343" s="92">
        <f t="shared" si="159"/>
        <v>2.4247943878383396</v>
      </c>
      <c r="J343" s="98">
        <f t="shared" si="167"/>
        <v>2.4213211948896176</v>
      </c>
      <c r="K343" s="91">
        <f t="shared" si="162"/>
        <v>7.3996302871768282E-3</v>
      </c>
      <c r="L343" s="94">
        <f t="shared" si="160"/>
        <v>2.0038208616950328</v>
      </c>
      <c r="M343" s="94">
        <f t="shared" si="168"/>
        <v>2.0013025789711056</v>
      </c>
      <c r="N343" s="99">
        <f>(O344/O341)^(1/3)-1</f>
        <v>1.2345691549140447E-3</v>
      </c>
      <c r="O343" s="97">
        <f t="shared" si="163"/>
        <v>2.6472926691309437</v>
      </c>
      <c r="P343" s="97">
        <f t="shared" si="164"/>
        <v>2.6277313932506665</v>
      </c>
      <c r="Q343" s="91">
        <f t="shared" si="156"/>
        <v>3.2737397821989145E-3</v>
      </c>
      <c r="R343" s="117">
        <f t="shared" si="169"/>
        <v>4.2702467462334415E-3</v>
      </c>
    </row>
    <row r="344" spans="2:18">
      <c r="B344" s="88">
        <f t="shared" si="165"/>
        <v>47483</v>
      </c>
      <c r="C344" s="117">
        <f t="shared" si="161"/>
        <v>7.1534049112238485E-3</v>
      </c>
      <c r="D344" s="92">
        <f t="shared" si="157"/>
        <v>6.5852845409375611</v>
      </c>
      <c r="E344" s="91">
        <f t="shared" si="154"/>
        <v>2.8708987190766422E-3</v>
      </c>
      <c r="F344" s="92">
        <f t="shared" si="158"/>
        <v>2.3342753911997076</v>
      </c>
      <c r="G344" s="98">
        <f t="shared" si="166"/>
        <v>2.3309318545807876</v>
      </c>
      <c r="H344" s="91">
        <f t="shared" si="155"/>
        <v>2.8708987190766422E-3</v>
      </c>
      <c r="I344" s="92">
        <f t="shared" si="159"/>
        <v>2.4317557269404091</v>
      </c>
      <c r="J344" s="98">
        <f t="shared" si="167"/>
        <v>2.4282725628064994</v>
      </c>
      <c r="K344" s="91">
        <f t="shared" si="162"/>
        <v>7.3996302871768282E-3</v>
      </c>
      <c r="L344" s="94">
        <f t="shared" si="160"/>
        <v>2.0088701183530184</v>
      </c>
      <c r="M344" s="94">
        <f t="shared" si="168"/>
        <v>2.0063454900240254</v>
      </c>
      <c r="N344" s="99">
        <f>(O344/O341)^(1/3)-1</f>
        <v>1.2345691549140447E-3</v>
      </c>
      <c r="O344" s="97">
        <f t="shared" si="163"/>
        <v>2.6505609350042829</v>
      </c>
      <c r="P344" s="97">
        <f t="shared" si="164"/>
        <v>2.6309755093761726</v>
      </c>
      <c r="Q344" s="91">
        <f t="shared" si="156"/>
        <v>3.2737397821989145E-3</v>
      </c>
      <c r="R344" s="117">
        <f t="shared" si="169"/>
        <v>4.2702467462334415E-3</v>
      </c>
    </row>
    <row r="345" spans="2:18">
      <c r="B345" s="88">
        <f t="shared" si="165"/>
        <v>47514</v>
      </c>
      <c r="C345" s="117">
        <f t="shared" si="161"/>
        <v>7.1534049112238485E-3</v>
      </c>
      <c r="D345" s="92">
        <f t="shared" si="157"/>
        <v>6.63239174771451</v>
      </c>
      <c r="E345" s="91">
        <f t="shared" si="154"/>
        <v>2.8708987190766422E-3</v>
      </c>
      <c r="F345" s="92">
        <f t="shared" si="158"/>
        <v>2.3409768594302749</v>
      </c>
      <c r="G345" s="98">
        <f t="shared" si="166"/>
        <v>2.3376237238563582</v>
      </c>
      <c r="H345" s="91">
        <f t="shared" si="155"/>
        <v>2.8708987190766422E-3</v>
      </c>
      <c r="I345" s="92">
        <f t="shared" si="159"/>
        <v>2.4387370513419895</v>
      </c>
      <c r="J345" s="98">
        <f t="shared" si="167"/>
        <v>2.4352438873966298</v>
      </c>
      <c r="K345" s="91">
        <f t="shared" si="162"/>
        <v>7.3996302871768282E-3</v>
      </c>
      <c r="L345" s="94">
        <f t="shared" si="160"/>
        <v>2.013932098200629</v>
      </c>
      <c r="M345" s="94">
        <f t="shared" si="168"/>
        <v>2.0114011082768237</v>
      </c>
      <c r="N345" s="99">
        <f>(O347/O344)^(1/3)-1</f>
        <v>1.2484407470925163E-3</v>
      </c>
      <c r="O345" s="97">
        <f t="shared" si="163"/>
        <v>2.6538700032781941</v>
      </c>
      <c r="P345" s="97">
        <f t="shared" si="164"/>
        <v>2.6342601264066805</v>
      </c>
      <c r="Q345" s="91">
        <f t="shared" si="156"/>
        <v>3.2737397821989145E-3</v>
      </c>
      <c r="R345" s="117">
        <f t="shared" si="169"/>
        <v>4.2702467462334415E-3</v>
      </c>
    </row>
    <row r="346" spans="2:18">
      <c r="B346" s="88">
        <f t="shared" si="165"/>
        <v>47542</v>
      </c>
      <c r="C346" s="117">
        <f t="shared" si="161"/>
        <v>7.1534049112238485E-3</v>
      </c>
      <c r="D346" s="92">
        <f t="shared" si="157"/>
        <v>6.6798359314157718</v>
      </c>
      <c r="E346" s="91">
        <f t="shared" ref="E346:E380" si="170">IF(ISERROR((1+HLOOKUP(B346,$B$5:$GB$36,7,FALSE))^(1/3)-1),E347,(1+HLOOKUP(B346,$B$5:$GB$36,7,FALSE))^(1/3)-1)</f>
        <v>2.8708987190766422E-3</v>
      </c>
      <c r="F346" s="92">
        <f t="shared" si="158"/>
        <v>2.3476975668974012</v>
      </c>
      <c r="G346" s="98">
        <f t="shared" si="166"/>
        <v>2.3443348048108605</v>
      </c>
      <c r="H346" s="91">
        <f t="shared" ref="H346:H380" si="171">IF(ISERROR((1+HLOOKUP(B346,$B$5:$GB$36,8,FALSE))^(1/3)-1),H347,(1+HLOOKUP(B346,$B$5:$GB$36,8,FALSE))^(1/3)-1)</f>
        <v>2.8708987190766422E-3</v>
      </c>
      <c r="I346" s="92">
        <f t="shared" si="159"/>
        <v>2.445738418418852</v>
      </c>
      <c r="J346" s="98">
        <f t="shared" si="167"/>
        <v>2.442235225953596</v>
      </c>
      <c r="K346" s="91">
        <f t="shared" si="162"/>
        <v>7.3996302871768282E-3</v>
      </c>
      <c r="L346" s="94">
        <f t="shared" si="160"/>
        <v>2.0190068332979414</v>
      </c>
      <c r="M346" s="94">
        <f t="shared" si="168"/>
        <v>2.0164694657492852</v>
      </c>
      <c r="N346" s="99">
        <f>(O347/O344)^(1/3)-1</f>
        <v>1.2484407470925163E-3</v>
      </c>
      <c r="O346" s="97">
        <f t="shared" si="163"/>
        <v>2.6571832027277731</v>
      </c>
      <c r="P346" s="97">
        <f t="shared" si="164"/>
        <v>2.6375488440869277</v>
      </c>
      <c r="Q346" s="91">
        <f t="shared" ref="Q346:Q379" si="172">IF(ISERROR((1+HLOOKUP(B346,$B$5:$EX$36,$A$32,FALSE))^(1/3)-1),Q347,(1+HLOOKUP(B346,$B$5:$EX$36,$A$32,FALSE))^(1/3)-1)</f>
        <v>3.2737397821989145E-3</v>
      </c>
      <c r="R346" s="117">
        <f t="shared" si="169"/>
        <v>4.2702467462334415E-3</v>
      </c>
    </row>
    <row r="347" spans="2:18">
      <c r="B347" s="88">
        <f t="shared" si="165"/>
        <v>47573</v>
      </c>
      <c r="C347" s="117">
        <f t="shared" si="161"/>
        <v>7.1534049112238485E-3</v>
      </c>
      <c r="D347" s="92">
        <f t="shared" si="157"/>
        <v>6.7276195025737309</v>
      </c>
      <c r="E347" s="91">
        <f t="shared" si="170"/>
        <v>2.8708987190766422E-3</v>
      </c>
      <c r="F347" s="92">
        <f t="shared" si="158"/>
        <v>2.3544375688349861</v>
      </c>
      <c r="G347" s="98">
        <f t="shared" si="166"/>
        <v>2.3510651525990789</v>
      </c>
      <c r="H347" s="91">
        <f t="shared" si="171"/>
        <v>2.8708987190766422E-3</v>
      </c>
      <c r="I347" s="92">
        <f t="shared" si="159"/>
        <v>2.4527598857114872</v>
      </c>
      <c r="J347" s="98">
        <f t="shared" si="167"/>
        <v>2.4492466359354701</v>
      </c>
      <c r="K347" s="91">
        <f t="shared" si="162"/>
        <v>7.3996302871768282E-3</v>
      </c>
      <c r="L347" s="94">
        <f t="shared" si="160"/>
        <v>2.0240943557858171</v>
      </c>
      <c r="M347" s="94">
        <f t="shared" si="168"/>
        <v>2.0215505945418792</v>
      </c>
      <c r="N347" s="99">
        <f>(O347/O344)^(1/3)-1</f>
        <v>1.2484407470925163E-3</v>
      </c>
      <c r="O347" s="97">
        <f t="shared" si="163"/>
        <v>2.6605005385105489</v>
      </c>
      <c r="P347" s="97">
        <f t="shared" si="164"/>
        <v>2.6408416675363333</v>
      </c>
      <c r="Q347" s="91">
        <f t="shared" si="172"/>
        <v>3.2737397821989145E-3</v>
      </c>
      <c r="R347" s="117">
        <f t="shared" si="169"/>
        <v>4.2702467462334415E-3</v>
      </c>
    </row>
    <row r="348" spans="2:18">
      <c r="B348" s="88">
        <f t="shared" si="165"/>
        <v>47603</v>
      </c>
      <c r="C348" s="117">
        <f t="shared" si="161"/>
        <v>7.1534049112238485E-3</v>
      </c>
      <c r="D348" s="92">
        <f t="shared" si="157"/>
        <v>6.7757448889642875</v>
      </c>
      <c r="E348" s="91">
        <f t="shared" si="170"/>
        <v>2.8708987190766422E-3</v>
      </c>
      <c r="F348" s="92">
        <f t="shared" si="158"/>
        <v>2.3611969206355004</v>
      </c>
      <c r="G348" s="98">
        <f t="shared" si="166"/>
        <v>2.3578148225341411</v>
      </c>
      <c r="H348" s="91">
        <f t="shared" si="171"/>
        <v>2.8708987190766422E-3</v>
      </c>
      <c r="I348" s="92">
        <f t="shared" si="159"/>
        <v>2.4598015109255789</v>
      </c>
      <c r="J348" s="98">
        <f t="shared" si="167"/>
        <v>2.4562781749652798</v>
      </c>
      <c r="K348" s="91">
        <f t="shared" si="162"/>
        <v>7.3996302871768282E-3</v>
      </c>
      <c r="L348" s="94">
        <f t="shared" si="160"/>
        <v>2.0291946978861071</v>
      </c>
      <c r="M348" s="94">
        <f t="shared" si="168"/>
        <v>2.0266445268359621</v>
      </c>
      <c r="N348" s="99">
        <f>(O350/O347)^(1/3)-1</f>
        <v>1.2437823764783751E-3</v>
      </c>
      <c r="O348" s="97">
        <f t="shared" si="163"/>
        <v>2.6638096221929595</v>
      </c>
      <c r="P348" s="97">
        <f t="shared" si="164"/>
        <v>2.644126299861485</v>
      </c>
      <c r="Q348" s="91">
        <f t="shared" si="172"/>
        <v>3.2737397821989145E-3</v>
      </c>
      <c r="R348" s="117">
        <f t="shared" si="169"/>
        <v>4.2702467462334415E-3</v>
      </c>
    </row>
    <row r="349" spans="2:18">
      <c r="B349" s="88">
        <f t="shared" si="165"/>
        <v>47634</v>
      </c>
      <c r="C349" s="117">
        <f t="shared" si="161"/>
        <v>7.1534049112238485E-3</v>
      </c>
      <c r="D349" s="92">
        <f t="shared" si="157"/>
        <v>6.8242145357302046</v>
      </c>
      <c r="E349" s="91">
        <f t="shared" si="170"/>
        <v>2.8708987190766422E-3</v>
      </c>
      <c r="F349" s="92">
        <f t="shared" si="158"/>
        <v>2.3679756778504406</v>
      </c>
      <c r="G349" s="98">
        <f t="shared" si="166"/>
        <v>2.3645838700879742</v>
      </c>
      <c r="H349" s="91">
        <f t="shared" si="171"/>
        <v>2.8708987190766422E-3</v>
      </c>
      <c r="I349" s="92">
        <f t="shared" si="159"/>
        <v>2.4668633519324779</v>
      </c>
      <c r="J349" s="98">
        <f t="shared" si="167"/>
        <v>2.4633299008314835</v>
      </c>
      <c r="K349" s="91">
        <f t="shared" si="162"/>
        <v>7.3996302871768282E-3</v>
      </c>
      <c r="L349" s="94">
        <f t="shared" si="160"/>
        <v>2.0343078919018551</v>
      </c>
      <c r="M349" s="94">
        <f t="shared" si="168"/>
        <v>2.0317512948939811</v>
      </c>
      <c r="N349" s="99">
        <f>(O350/O347)^(1/3)-1</f>
        <v>1.2437823764783751E-3</v>
      </c>
      <c r="O349" s="97">
        <f t="shared" si="163"/>
        <v>2.6671228216553367</v>
      </c>
      <c r="P349" s="97">
        <f t="shared" si="164"/>
        <v>2.6474150175544358</v>
      </c>
      <c r="Q349" s="91">
        <f t="shared" si="172"/>
        <v>3.2737397821989145E-3</v>
      </c>
      <c r="R349" s="117">
        <f t="shared" si="169"/>
        <v>4.2702467462334415E-3</v>
      </c>
    </row>
    <row r="350" spans="2:18">
      <c r="B350" s="88">
        <f t="shared" si="165"/>
        <v>47664</v>
      </c>
      <c r="C350" s="117">
        <f t="shared" si="161"/>
        <v>7.1534049112238485E-3</v>
      </c>
      <c r="D350" s="92">
        <f t="shared" ref="D350:D380" si="173">D349*(1+C350)</f>
        <v>6.8730309055053427</v>
      </c>
      <c r="E350" s="91">
        <f t="shared" si="170"/>
        <v>2.8708987190766422E-3</v>
      </c>
      <c r="F350" s="92">
        <f t="shared" ref="F350:F380" si="174">F349*(1+E350)</f>
        <v>2.3747738961907863</v>
      </c>
      <c r="G350" s="98">
        <f t="shared" si="166"/>
        <v>2.3713723508917592</v>
      </c>
      <c r="H350" s="91">
        <f t="shared" si="171"/>
        <v>2.8708987190766422E-3</v>
      </c>
      <c r="I350" s="92">
        <f t="shared" ref="I350:I380" si="175">I349*(1+H350)</f>
        <v>2.4739454667696781</v>
      </c>
      <c r="J350" s="98">
        <f t="shared" si="167"/>
        <v>2.4704018714884439</v>
      </c>
      <c r="K350" s="91">
        <f t="shared" si="162"/>
        <v>7.3996302871768282E-3</v>
      </c>
      <c r="L350" s="94">
        <f t="shared" ref="L350:L380" si="176">L349*(IF(((1+K350)^12-1)&lt;6%,1,((1+K350)^12)/(1.06))^(1/12))</f>
        <v>2.0394339702175031</v>
      </c>
      <c r="M350" s="94">
        <f t="shared" si="168"/>
        <v>2.0368709310596791</v>
      </c>
      <c r="N350" s="99">
        <f>(O350/O347)^(1/3)-1</f>
        <v>1.2437823764783751E-3</v>
      </c>
      <c r="O350" s="97">
        <f t="shared" si="163"/>
        <v>2.6704401420168149</v>
      </c>
      <c r="P350" s="97">
        <f t="shared" si="164"/>
        <v>2.650707825696494</v>
      </c>
      <c r="Q350" s="91">
        <f t="shared" si="172"/>
        <v>3.2737397821989145E-3</v>
      </c>
      <c r="R350" s="117">
        <f t="shared" si="169"/>
        <v>4.2702467462334415E-3</v>
      </c>
    </row>
    <row r="351" spans="2:18">
      <c r="B351" s="88">
        <f>EOMONTH(B350,1)</f>
        <v>47695</v>
      </c>
      <c r="C351" s="117">
        <f t="shared" si="161"/>
        <v>7.1534049112238485E-3</v>
      </c>
      <c r="D351" s="92">
        <f t="shared" si="173"/>
        <v>6.922196478539778</v>
      </c>
      <c r="E351" s="91">
        <f t="shared" si="170"/>
        <v>2.8708987190766422E-3</v>
      </c>
      <c r="F351" s="92">
        <f t="shared" si="174"/>
        <v>2.3815916315274572</v>
      </c>
      <c r="G351" s="98">
        <f t="shared" si="166"/>
        <v>2.3781803207363881</v>
      </c>
      <c r="H351" s="91">
        <f t="shared" si="171"/>
        <v>2.8708987190766422E-3</v>
      </c>
      <c r="I351" s="92">
        <f t="shared" si="175"/>
        <v>2.4810479136412926</v>
      </c>
      <c r="J351" s="98">
        <f t="shared" si="167"/>
        <v>2.4774941450569048</v>
      </c>
      <c r="K351" s="91">
        <f t="shared" si="162"/>
        <v>7.3996302871768282E-3</v>
      </c>
      <c r="L351" s="94">
        <f t="shared" si="176"/>
        <v>2.0445729652990954</v>
      </c>
      <c r="M351" s="94">
        <f t="shared" si="168"/>
        <v>2.042003467758299</v>
      </c>
      <c r="N351" s="99">
        <f>(O353/O350)^(1/3)-1</f>
        <v>1.2391586406965693E-3</v>
      </c>
      <c r="O351" s="97">
        <f t="shared" si="163"/>
        <v>2.6737492409932582</v>
      </c>
      <c r="P351" s="97">
        <f t="shared" si="164"/>
        <v>2.6539924732026678</v>
      </c>
      <c r="Q351" s="91">
        <f t="shared" si="172"/>
        <v>3.2737397821989145E-3</v>
      </c>
      <c r="R351" s="117">
        <f t="shared" si="169"/>
        <v>4.2702467462334415E-3</v>
      </c>
    </row>
    <row r="352" spans="2:18">
      <c r="B352" s="88">
        <f t="shared" ref="B352:B364" si="177">EOMONTH(B351,1)</f>
        <v>47726</v>
      </c>
      <c r="C352" s="117">
        <f t="shared" si="161"/>
        <v>7.1534049112238485E-3</v>
      </c>
      <c r="D352" s="92">
        <f t="shared" si="173"/>
        <v>6.9717137528258206</v>
      </c>
      <c r="E352" s="91">
        <f t="shared" si="170"/>
        <v>2.8708987190766422E-3</v>
      </c>
      <c r="F352" s="92">
        <f t="shared" si="174"/>
        <v>2.3884289398917731</v>
      </c>
      <c r="G352" s="98">
        <f t="shared" si="166"/>
        <v>2.3850078355729236</v>
      </c>
      <c r="H352" s="91">
        <f t="shared" si="171"/>
        <v>2.8708987190766422E-3</v>
      </c>
      <c r="I352" s="92">
        <f t="shared" si="175"/>
        <v>2.4881707509185333</v>
      </c>
      <c r="J352" s="98">
        <f t="shared" si="167"/>
        <v>2.4846067798244684</v>
      </c>
      <c r="K352" s="91">
        <f t="shared" si="162"/>
        <v>7.3996302871768282E-3</v>
      </c>
      <c r="L352" s="94">
        <f t="shared" si="176"/>
        <v>2.0497249096944845</v>
      </c>
      <c r="M352" s="94">
        <f t="shared" si="168"/>
        <v>2.0471489374967899</v>
      </c>
      <c r="N352" s="99">
        <f>(O353/O350)^(1/3)-1</f>
        <v>1.2391586406965693E-3</v>
      </c>
      <c r="O352" s="97">
        <f t="shared" si="163"/>
        <v>2.677062440468291</v>
      </c>
      <c r="P352" s="97">
        <f t="shared" si="164"/>
        <v>2.6572811909081806</v>
      </c>
      <c r="Q352" s="91">
        <f t="shared" si="172"/>
        <v>3.2737397821989145E-3</v>
      </c>
      <c r="R352" s="117">
        <f t="shared" si="169"/>
        <v>4.2702467462334415E-3</v>
      </c>
    </row>
    <row r="353" spans="2:18">
      <c r="B353" s="88">
        <f t="shared" si="177"/>
        <v>47756</v>
      </c>
      <c r="C353" s="117">
        <f t="shared" si="161"/>
        <v>7.1534049112238485E-3</v>
      </c>
      <c r="D353" s="92">
        <f t="shared" si="173"/>
        <v>7.0215852442249318</v>
      </c>
      <c r="E353" s="91">
        <f t="shared" si="170"/>
        <v>2.8708987190766422E-3</v>
      </c>
      <c r="F353" s="92">
        <f t="shared" si="174"/>
        <v>2.395285877475914</v>
      </c>
      <c r="G353" s="98">
        <f t="shared" si="166"/>
        <v>2.391854951513058</v>
      </c>
      <c r="H353" s="91">
        <f t="shared" si="171"/>
        <v>2.8708987190766422E-3</v>
      </c>
      <c r="I353" s="92">
        <f t="shared" si="175"/>
        <v>2.4953140371401892</v>
      </c>
      <c r="J353" s="98">
        <f t="shared" si="167"/>
        <v>2.4917398342460757</v>
      </c>
      <c r="K353" s="91">
        <f t="shared" si="162"/>
        <v>7.3996302871768282E-3</v>
      </c>
      <c r="L353" s="94">
        <f t="shared" si="176"/>
        <v>2.0548898360335381</v>
      </c>
      <c r="M353" s="94">
        <f t="shared" si="168"/>
        <v>2.0523073728640115</v>
      </c>
      <c r="N353" s="99">
        <f>(O353/O350)^(1/3)-1</f>
        <v>1.2391586406965693E-3</v>
      </c>
      <c r="O353" s="97">
        <f t="shared" si="163"/>
        <v>2.6803797455230809</v>
      </c>
      <c r="P353" s="97">
        <f t="shared" si="164"/>
        <v>2.6605739838566542</v>
      </c>
      <c r="Q353" s="91">
        <f t="shared" si="172"/>
        <v>3.2737397821989145E-3</v>
      </c>
      <c r="R353" s="117">
        <f t="shared" si="169"/>
        <v>4.2702467462334415E-3</v>
      </c>
    </row>
    <row r="354" spans="2:18">
      <c r="B354" s="88">
        <f t="shared" si="177"/>
        <v>47787</v>
      </c>
      <c r="C354" s="117">
        <f t="shared" si="161"/>
        <v>7.1534049112238485E-3</v>
      </c>
      <c r="D354" s="92">
        <f t="shared" si="173"/>
        <v>7.0718134865955475</v>
      </c>
      <c r="E354" s="91">
        <f t="shared" si="170"/>
        <v>2.8708987190766422E-3</v>
      </c>
      <c r="F354" s="92">
        <f t="shared" si="174"/>
        <v>2.402162500633382</v>
      </c>
      <c r="G354" s="98">
        <f t="shared" si="166"/>
        <v>2.3987217248295738</v>
      </c>
      <c r="H354" s="91">
        <f t="shared" si="171"/>
        <v>2.8708987190766422E-3</v>
      </c>
      <c r="I354" s="92">
        <f t="shared" si="175"/>
        <v>2.5024778310131088</v>
      </c>
      <c r="J354" s="98">
        <f t="shared" si="167"/>
        <v>2.4988933669444853</v>
      </c>
      <c r="K354" s="91">
        <f t="shared" si="162"/>
        <v>7.3996302871768282E-3</v>
      </c>
      <c r="L354" s="94">
        <f t="shared" si="176"/>
        <v>2.0600677770283444</v>
      </c>
      <c r="M354" s="94">
        <f t="shared" si="168"/>
        <v>2.0574788065309413</v>
      </c>
      <c r="N354" s="99">
        <f>(O356/O353)^(1/3)-1</f>
        <v>1.2345691549140447E-3</v>
      </c>
      <c r="O354" s="97">
        <f t="shared" si="163"/>
        <v>2.6836888596803599</v>
      </c>
      <c r="P354" s="97">
        <f t="shared" si="164"/>
        <v>2.6638586464314904</v>
      </c>
      <c r="Q354" s="91">
        <f t="shared" si="172"/>
        <v>3.2737397821989145E-3</v>
      </c>
      <c r="R354" s="117">
        <f t="shared" si="169"/>
        <v>4.2702467462334415E-3</v>
      </c>
    </row>
    <row r="355" spans="2:18">
      <c r="B355" s="88">
        <f t="shared" si="177"/>
        <v>47817</v>
      </c>
      <c r="C355" s="117">
        <f t="shared" si="161"/>
        <v>7.1534049112238485E-3</v>
      </c>
      <c r="D355" s="92">
        <f t="shared" si="173"/>
        <v>7.1224010319218189</v>
      </c>
      <c r="E355" s="91">
        <f t="shared" si="170"/>
        <v>2.8708987190766422E-3</v>
      </c>
      <c r="F355" s="92">
        <f t="shared" si="174"/>
        <v>2.4090588658794645</v>
      </c>
      <c r="G355" s="98">
        <f t="shared" si="166"/>
        <v>2.4056082119568085</v>
      </c>
      <c r="H355" s="91">
        <f t="shared" si="171"/>
        <v>2.8708987190766422E-3</v>
      </c>
      <c r="I355" s="92">
        <f t="shared" si="175"/>
        <v>2.5096621914126822</v>
      </c>
      <c r="J355" s="98">
        <f t="shared" si="167"/>
        <v>2.5060674367107549</v>
      </c>
      <c r="K355" s="91">
        <f t="shared" si="162"/>
        <v>7.3996302871768282E-3</v>
      </c>
      <c r="L355" s="94">
        <f t="shared" si="176"/>
        <v>2.0652587654734207</v>
      </c>
      <c r="M355" s="94">
        <f t="shared" si="168"/>
        <v>2.0626632712508828</v>
      </c>
      <c r="N355" s="99">
        <f>(O356/O353)^(1/3)-1</f>
        <v>1.2345691549140447E-3</v>
      </c>
      <c r="O355" s="97">
        <f t="shared" si="163"/>
        <v>2.6870020591679076</v>
      </c>
      <c r="P355" s="97">
        <f t="shared" si="164"/>
        <v>2.6671473641494257</v>
      </c>
      <c r="Q355" s="91">
        <f t="shared" si="172"/>
        <v>3.2737397821989145E-3</v>
      </c>
      <c r="R355" s="117">
        <f t="shared" si="169"/>
        <v>4.2702467462334415E-3</v>
      </c>
    </row>
    <row r="356" spans="2:18">
      <c r="B356" s="88">
        <f t="shared" si="177"/>
        <v>47848</v>
      </c>
      <c r="C356" s="117">
        <f t="shared" si="161"/>
        <v>7.1534049112238485E-3</v>
      </c>
      <c r="D356" s="92">
        <f t="shared" si="173"/>
        <v>7.1733504504432739</v>
      </c>
      <c r="E356" s="91">
        <f t="shared" si="170"/>
        <v>2.8708987190766422E-3</v>
      </c>
      <c r="F356" s="92">
        <f t="shared" si="174"/>
        <v>2.415975029891698</v>
      </c>
      <c r="G356" s="98">
        <f t="shared" si="166"/>
        <v>2.4125144694911156</v>
      </c>
      <c r="H356" s="91">
        <f t="shared" si="171"/>
        <v>2.8708987190766422E-3</v>
      </c>
      <c r="I356" s="92">
        <f t="shared" si="175"/>
        <v>2.516867177383324</v>
      </c>
      <c r="J356" s="98">
        <f t="shared" si="167"/>
        <v>2.5132621025047279</v>
      </c>
      <c r="K356" s="91">
        <f t="shared" si="162"/>
        <v>7.3996302871768282E-3</v>
      </c>
      <c r="L356" s="94">
        <f t="shared" si="176"/>
        <v>2.0704628342459199</v>
      </c>
      <c r="M356" s="94">
        <f t="shared" si="168"/>
        <v>2.0678607998596705</v>
      </c>
      <c r="N356" s="99">
        <f>(O356/O353)^(1/3)-1</f>
        <v>1.2345691549140447E-3</v>
      </c>
      <c r="O356" s="97">
        <f t="shared" si="163"/>
        <v>2.6903193490293469</v>
      </c>
      <c r="P356" s="97">
        <f t="shared" si="164"/>
        <v>2.6704401420168149</v>
      </c>
      <c r="Q356" s="91">
        <f t="shared" si="172"/>
        <v>3.2737397821989145E-3</v>
      </c>
      <c r="R356" s="117">
        <f t="shared" si="169"/>
        <v>4.2702467462334415E-3</v>
      </c>
    </row>
    <row r="357" spans="2:18">
      <c r="B357" s="88">
        <f t="shared" si="177"/>
        <v>47879</v>
      </c>
      <c r="C357" s="117">
        <f t="shared" si="161"/>
        <v>7.1534049112238485E-3</v>
      </c>
      <c r="D357" s="92">
        <f t="shared" si="173"/>
        <v>7.224664330785405</v>
      </c>
      <c r="E357" s="91">
        <f t="shared" si="170"/>
        <v>2.8708987190766422E-3</v>
      </c>
      <c r="F357" s="92">
        <f t="shared" si="174"/>
        <v>2.4229110495103354</v>
      </c>
      <c r="G357" s="98">
        <f t="shared" si="166"/>
        <v>2.4194405541913317</v>
      </c>
      <c r="H357" s="91">
        <f t="shared" si="171"/>
        <v>2.8708987190766422E-3</v>
      </c>
      <c r="I357" s="92">
        <f t="shared" si="175"/>
        <v>2.52409284813896</v>
      </c>
      <c r="J357" s="98">
        <f t="shared" si="167"/>
        <v>2.5204774234555125</v>
      </c>
      <c r="K357" s="91">
        <f t="shared" si="162"/>
        <v>7.3996302871768282E-3</v>
      </c>
      <c r="L357" s="94">
        <f t="shared" si="176"/>
        <v>2.0756800163058395</v>
      </c>
      <c r="M357" s="94">
        <f t="shared" si="168"/>
        <v>2.07307142527588</v>
      </c>
      <c r="N357" s="99">
        <f>(O359/O356)^(1/3)-1</f>
        <v>0</v>
      </c>
      <c r="O357" s="97">
        <f t="shared" si="163"/>
        <v>2.6903193490293469</v>
      </c>
      <c r="P357" s="97">
        <f t="shared" si="164"/>
        <v>2.6704401420168149</v>
      </c>
      <c r="Q357" s="91">
        <f t="shared" si="172"/>
        <v>3.2737397821989145E-3</v>
      </c>
      <c r="R357" s="117">
        <f t="shared" si="169"/>
        <v>4.2702467462334415E-3</v>
      </c>
    </row>
    <row r="358" spans="2:18">
      <c r="B358" s="88">
        <f t="shared" si="177"/>
        <v>47907</v>
      </c>
      <c r="C358" s="117">
        <f t="shared" si="161"/>
        <v>7.1534049112238485E-3</v>
      </c>
      <c r="D358" s="92">
        <f t="shared" si="173"/>
        <v>7.2763452800911894</v>
      </c>
      <c r="E358" s="91">
        <f t="shared" si="170"/>
        <v>2.8708987190766422E-3</v>
      </c>
      <c r="F358" s="92">
        <f t="shared" si="174"/>
        <v>2.4298669817388112</v>
      </c>
      <c r="G358" s="98">
        <f t="shared" si="166"/>
        <v>2.4263865229792416</v>
      </c>
      <c r="H358" s="91">
        <f t="shared" si="171"/>
        <v>2.8708987190766422E-3</v>
      </c>
      <c r="I358" s="92">
        <f t="shared" si="175"/>
        <v>2.5313392630635128</v>
      </c>
      <c r="J358" s="98">
        <f t="shared" si="167"/>
        <v>2.5277134588619727</v>
      </c>
      <c r="K358" s="91">
        <f t="shared" si="162"/>
        <v>7.3996302871768282E-3</v>
      </c>
      <c r="L358" s="94">
        <f t="shared" si="176"/>
        <v>2.0809103446962296</v>
      </c>
      <c r="M358" s="94">
        <f t="shared" si="168"/>
        <v>2.0782951805010343</v>
      </c>
      <c r="N358" s="99">
        <f>(O359/O356)^(1/3)-1</f>
        <v>0</v>
      </c>
      <c r="O358" s="97">
        <f t="shared" si="163"/>
        <v>2.6903193490293469</v>
      </c>
      <c r="P358" s="97">
        <f t="shared" si="164"/>
        <v>2.6704401420168149</v>
      </c>
      <c r="Q358" s="91">
        <f t="shared" si="172"/>
        <v>3.2737397821989145E-3</v>
      </c>
      <c r="R358" s="117">
        <f t="shared" si="169"/>
        <v>4.2702467462334415E-3</v>
      </c>
    </row>
    <row r="359" spans="2:18">
      <c r="B359" s="88">
        <f t="shared" si="177"/>
        <v>47938</v>
      </c>
      <c r="C359" s="117">
        <f t="shared" si="161"/>
        <v>7.1534049112238485E-3</v>
      </c>
      <c r="D359" s="92">
        <f t="shared" si="173"/>
        <v>7.3283959241535541</v>
      </c>
      <c r="E359" s="91">
        <f t="shared" si="170"/>
        <v>2.8708987190766422E-3</v>
      </c>
      <c r="F359" s="92">
        <f t="shared" si="174"/>
        <v>2.436842883744212</v>
      </c>
      <c r="G359" s="98">
        <f t="shared" si="166"/>
        <v>2.4333524329400475</v>
      </c>
      <c r="H359" s="91">
        <f t="shared" si="171"/>
        <v>2.8708987190766422E-3</v>
      </c>
      <c r="I359" s="92">
        <f t="shared" si="175"/>
        <v>2.53860648171139</v>
      </c>
      <c r="J359" s="98">
        <f t="shared" si="167"/>
        <v>2.5349702681932125</v>
      </c>
      <c r="K359" s="91">
        <f t="shared" si="162"/>
        <v>7.3996302871768282E-3</v>
      </c>
      <c r="L359" s="94">
        <f t="shared" si="176"/>
        <v>2.0861538525434034</v>
      </c>
      <c r="M359" s="94">
        <f t="shared" si="168"/>
        <v>2.0835320986198163</v>
      </c>
      <c r="N359" s="99">
        <f>(O359/O356)^(1/3)-1</f>
        <v>0</v>
      </c>
      <c r="O359" s="97">
        <f t="shared" si="163"/>
        <v>2.6903193490293469</v>
      </c>
      <c r="P359" s="97">
        <f t="shared" si="164"/>
        <v>2.6704401420168149</v>
      </c>
      <c r="Q359" s="91">
        <f t="shared" si="172"/>
        <v>3.2737397821989145E-3</v>
      </c>
      <c r="R359" s="117">
        <f t="shared" si="169"/>
        <v>4.2702467462334415E-3</v>
      </c>
    </row>
    <row r="360" spans="2:18">
      <c r="B360" s="88">
        <f t="shared" si="177"/>
        <v>47968</v>
      </c>
      <c r="C360" s="117">
        <f t="shared" si="161"/>
        <v>7.1534049112238485E-3</v>
      </c>
      <c r="D360" s="92">
        <f t="shared" si="173"/>
        <v>7.3808189075487869</v>
      </c>
      <c r="E360" s="91">
        <f t="shared" si="170"/>
        <v>2.8708987190766422E-3</v>
      </c>
      <c r="F360" s="92">
        <f t="shared" si="174"/>
        <v>2.4438388128577442</v>
      </c>
      <c r="G360" s="98">
        <f t="shared" si="166"/>
        <v>2.4403383413228372</v>
      </c>
      <c r="H360" s="91">
        <f t="shared" si="171"/>
        <v>2.8708987190766422E-3</v>
      </c>
      <c r="I360" s="92">
        <f t="shared" si="175"/>
        <v>2.5458945638079751</v>
      </c>
      <c r="J360" s="98">
        <f t="shared" si="167"/>
        <v>2.5422479110890657</v>
      </c>
      <c r="K360" s="91">
        <f t="shared" si="162"/>
        <v>7.3996302871768282E-3</v>
      </c>
      <c r="L360" s="94">
        <f t="shared" si="176"/>
        <v>2.0914105730571455</v>
      </c>
      <c r="M360" s="94">
        <f t="shared" si="168"/>
        <v>2.0887822128002744</v>
      </c>
      <c r="N360" s="99">
        <f>(O362/O359)^(1/3)-1</f>
        <v>0</v>
      </c>
      <c r="O360" s="97">
        <f t="shared" si="163"/>
        <v>2.6903193490293469</v>
      </c>
      <c r="P360" s="97">
        <f t="shared" si="164"/>
        <v>2.6704401420168149</v>
      </c>
      <c r="Q360" s="91">
        <f t="shared" si="172"/>
        <v>3.2737397821989145E-3</v>
      </c>
      <c r="R360" s="117">
        <f t="shared" si="169"/>
        <v>4.2702467462334415E-3</v>
      </c>
    </row>
    <row r="361" spans="2:18">
      <c r="B361" s="88">
        <f t="shared" si="177"/>
        <v>47999</v>
      </c>
      <c r="C361" s="117">
        <f t="shared" si="161"/>
        <v>7.1534049112238485E-3</v>
      </c>
      <c r="D361" s="92">
        <f t="shared" si="173"/>
        <v>7.4336168937709006</v>
      </c>
      <c r="E361" s="91">
        <f t="shared" si="170"/>
        <v>2.8708987190766422E-3</v>
      </c>
      <c r="F361" s="92">
        <f t="shared" si="174"/>
        <v>2.4508548265752075</v>
      </c>
      <c r="G361" s="98">
        <f t="shared" si="166"/>
        <v>2.4473443055410544</v>
      </c>
      <c r="H361" s="91">
        <f t="shared" si="171"/>
        <v>2.8708987190766422E-3</v>
      </c>
      <c r="I361" s="92">
        <f t="shared" si="175"/>
        <v>2.5532035692501154</v>
      </c>
      <c r="J361" s="98">
        <f t="shared" si="167"/>
        <v>2.5495464473605867</v>
      </c>
      <c r="K361" s="91">
        <f t="shared" si="162"/>
        <v>7.3996302871768282E-3</v>
      </c>
      <c r="L361" s="94">
        <f t="shared" si="176"/>
        <v>2.0966805395309236</v>
      </c>
      <c r="M361" s="94">
        <f t="shared" si="168"/>
        <v>2.0940455562940343</v>
      </c>
      <c r="N361" s="99">
        <f>(O362/O359)^(1/3)-1</f>
        <v>0</v>
      </c>
      <c r="O361" s="97">
        <f t="shared" si="163"/>
        <v>2.6903193490293469</v>
      </c>
      <c r="P361" s="97">
        <f t="shared" si="164"/>
        <v>2.6704401420168149</v>
      </c>
      <c r="Q361" s="91">
        <f t="shared" si="172"/>
        <v>3.2737397821989145E-3</v>
      </c>
      <c r="R361" s="117">
        <f t="shared" si="169"/>
        <v>4.2702467462334415E-3</v>
      </c>
    </row>
    <row r="362" spans="2:18">
      <c r="B362" s="88">
        <f t="shared" si="177"/>
        <v>48029</v>
      </c>
      <c r="C362" s="117">
        <f t="shared" si="161"/>
        <v>7.1534049112238485E-3</v>
      </c>
      <c r="D362" s="92">
        <f t="shared" si="173"/>
        <v>7.486792565366958</v>
      </c>
      <c r="E362" s="91">
        <f t="shared" si="170"/>
        <v>2.8708987190766422E-3</v>
      </c>
      <c r="F362" s="92">
        <f t="shared" si="174"/>
        <v>2.4578909825574651</v>
      </c>
      <c r="G362" s="98">
        <f t="shared" si="166"/>
        <v>2.454370383172972</v>
      </c>
      <c r="H362" s="91">
        <f t="shared" si="171"/>
        <v>2.8708987190766422E-3</v>
      </c>
      <c r="I362" s="92">
        <f t="shared" si="175"/>
        <v>2.5605335581066173</v>
      </c>
      <c r="J362" s="98">
        <f t="shared" si="167"/>
        <v>2.5568659369905404</v>
      </c>
      <c r="K362" s="91">
        <f t="shared" si="162"/>
        <v>7.3996302871768282E-3</v>
      </c>
      <c r="L362" s="94">
        <f t="shared" si="176"/>
        <v>2.1019637853420985</v>
      </c>
      <c r="M362" s="94">
        <f t="shared" si="168"/>
        <v>2.0993221624365113</v>
      </c>
      <c r="N362" s="99">
        <f>(O362/O359)^(1/3)-1</f>
        <v>0</v>
      </c>
      <c r="O362" s="97">
        <f t="shared" si="163"/>
        <v>2.6903193490293469</v>
      </c>
      <c r="P362" s="97">
        <f t="shared" si="164"/>
        <v>2.6704401420168149</v>
      </c>
      <c r="Q362" s="91">
        <f t="shared" si="172"/>
        <v>3.2737397821989145E-3</v>
      </c>
      <c r="R362" s="117">
        <f t="shared" si="169"/>
        <v>4.2702467462334415E-3</v>
      </c>
    </row>
    <row r="363" spans="2:18">
      <c r="B363" s="88">
        <f t="shared" si="177"/>
        <v>48060</v>
      </c>
      <c r="C363" s="117">
        <f t="shared" si="161"/>
        <v>7.1534049112238485E-3</v>
      </c>
      <c r="D363" s="92">
        <f t="shared" si="173"/>
        <v>7.5403486240733679</v>
      </c>
      <c r="E363" s="91">
        <f t="shared" si="170"/>
        <v>2.8708987190766422E-3</v>
      </c>
      <c r="F363" s="92">
        <f t="shared" si="174"/>
        <v>2.4649473386309193</v>
      </c>
      <c r="G363" s="98">
        <f t="shared" si="166"/>
        <v>2.4614166319621633</v>
      </c>
      <c r="H363" s="91">
        <f t="shared" si="171"/>
        <v>2.8708987190766422E-3</v>
      </c>
      <c r="I363" s="92">
        <f t="shared" si="175"/>
        <v>2.5678845906187382</v>
      </c>
      <c r="J363" s="98">
        <f t="shared" si="167"/>
        <v>2.5642064401338969</v>
      </c>
      <c r="K363" s="91">
        <f t="shared" si="162"/>
        <v>7.3996302871768282E-3</v>
      </c>
      <c r="L363" s="94">
        <f t="shared" si="176"/>
        <v>2.1072603439521358</v>
      </c>
      <c r="M363" s="94">
        <f t="shared" si="168"/>
        <v>2.1046120646471174</v>
      </c>
      <c r="N363" s="99">
        <f>(O365/O362)^(1/3)-1</f>
        <v>0</v>
      </c>
      <c r="O363" s="97">
        <f t="shared" si="163"/>
        <v>2.6903193490293469</v>
      </c>
      <c r="P363" s="97">
        <f t="shared" si="164"/>
        <v>2.6704401420168149</v>
      </c>
      <c r="Q363" s="91">
        <f t="shared" si="172"/>
        <v>3.2737397821989145E-3</v>
      </c>
      <c r="R363" s="117">
        <f t="shared" si="169"/>
        <v>4.2702467462334415E-3</v>
      </c>
    </row>
    <row r="364" spans="2:18">
      <c r="B364" s="88">
        <f t="shared" si="177"/>
        <v>48091</v>
      </c>
      <c r="C364" s="117">
        <f t="shared" si="161"/>
        <v>7.1534049112238485E-3</v>
      </c>
      <c r="D364" s="92">
        <f t="shared" si="173"/>
        <v>7.5942877909531541</v>
      </c>
      <c r="E364" s="91">
        <f t="shared" si="170"/>
        <v>2.8708987190766422E-3</v>
      </c>
      <c r="F364" s="92">
        <f t="shared" si="174"/>
        <v>2.4720239527879864</v>
      </c>
      <c r="G364" s="98">
        <f t="shared" si="166"/>
        <v>2.4684831098179774</v>
      </c>
      <c r="H364" s="91">
        <f t="shared" si="171"/>
        <v>2.8708987190766422E-3</v>
      </c>
      <c r="I364" s="92">
        <f t="shared" si="175"/>
        <v>2.5752567272006823</v>
      </c>
      <c r="J364" s="98">
        <f t="shared" si="167"/>
        <v>2.5715680171183251</v>
      </c>
      <c r="K364" s="91">
        <f t="shared" si="162"/>
        <v>7.3996302871768282E-3</v>
      </c>
      <c r="L364" s="94">
        <f t="shared" si="176"/>
        <v>2.1125702489068177</v>
      </c>
      <c r="M364" s="94">
        <f t="shared" si="168"/>
        <v>2.1099152964294765</v>
      </c>
      <c r="N364" s="99">
        <f>(O365/O362)^(1/3)-1</f>
        <v>0</v>
      </c>
      <c r="O364" s="97">
        <f t="shared" si="163"/>
        <v>2.6903193490293469</v>
      </c>
      <c r="P364" s="97">
        <f t="shared" si="164"/>
        <v>2.6704401420168149</v>
      </c>
      <c r="Q364" s="91">
        <f t="shared" si="172"/>
        <v>3.2737397821989145E-3</v>
      </c>
      <c r="R364" s="117">
        <f t="shared" si="169"/>
        <v>4.2702467462334415E-3</v>
      </c>
    </row>
    <row r="365" spans="2:18">
      <c r="B365" s="88">
        <f>EOMONTH(B364,1)</f>
        <v>48121</v>
      </c>
      <c r="C365" s="117">
        <f t="shared" si="161"/>
        <v>7.1534049112238485E-3</v>
      </c>
      <c r="D365" s="92">
        <f t="shared" si="173"/>
        <v>7.6486128065342056</v>
      </c>
      <c r="E365" s="91">
        <f t="shared" si="170"/>
        <v>2.8708987190766422E-3</v>
      </c>
      <c r="F365" s="92">
        <f t="shared" si="174"/>
        <v>2.479120883187572</v>
      </c>
      <c r="G365" s="98">
        <f t="shared" si="166"/>
        <v>2.4755698748160162</v>
      </c>
      <c r="H365" s="91">
        <f t="shared" si="171"/>
        <v>2.8708987190766422E-3</v>
      </c>
      <c r="I365" s="92">
        <f t="shared" si="175"/>
        <v>2.5826500284400962</v>
      </c>
      <c r="J365" s="98">
        <f t="shared" si="167"/>
        <v>2.5789507284446889</v>
      </c>
      <c r="K365" s="91">
        <f t="shared" si="162"/>
        <v>7.3996302871768282E-3</v>
      </c>
      <c r="L365" s="94">
        <f t="shared" si="176"/>
        <v>2.1178935338364555</v>
      </c>
      <c r="M365" s="94">
        <f t="shared" si="168"/>
        <v>2.1152318913716366</v>
      </c>
      <c r="N365" s="99">
        <f>(O365/O362)^(1/3)-1</f>
        <v>0</v>
      </c>
      <c r="O365" s="97">
        <f t="shared" si="163"/>
        <v>2.6903193490293469</v>
      </c>
      <c r="P365" s="97">
        <f t="shared" si="164"/>
        <v>2.6704401420168149</v>
      </c>
      <c r="Q365" s="91">
        <f t="shared" si="172"/>
        <v>3.2737397821989145E-3</v>
      </c>
      <c r="R365" s="117">
        <f t="shared" si="169"/>
        <v>4.2702467462334415E-3</v>
      </c>
    </row>
    <row r="366" spans="2:18">
      <c r="B366" s="88">
        <f t="shared" ref="B366:B378" si="178">EOMONTH(B365,1)</f>
        <v>48152</v>
      </c>
      <c r="C366" s="117">
        <f t="shared" si="161"/>
        <v>7.1534049112238485E-3</v>
      </c>
      <c r="D366" s="92">
        <f t="shared" si="173"/>
        <v>7.7033264309485174</v>
      </c>
      <c r="E366" s="91">
        <f t="shared" si="170"/>
        <v>2.8708987190766422E-3</v>
      </c>
      <c r="F366" s="92">
        <f t="shared" si="174"/>
        <v>2.4862381881555513</v>
      </c>
      <c r="G366" s="98">
        <f t="shared" si="166"/>
        <v>2.4826769851986099</v>
      </c>
      <c r="H366" s="91">
        <f t="shared" si="171"/>
        <v>2.8708987190766422E-3</v>
      </c>
      <c r="I366" s="92">
        <f t="shared" si="175"/>
        <v>2.5900645550985679</v>
      </c>
      <c r="J366" s="98">
        <f t="shared" si="167"/>
        <v>2.5863546347875426</v>
      </c>
      <c r="K366" s="91">
        <f t="shared" si="162"/>
        <v>7.3996302871768282E-3</v>
      </c>
      <c r="L366" s="94">
        <f t="shared" si="176"/>
        <v>2.1232302324561028</v>
      </c>
      <c r="M366" s="94">
        <f t="shared" si="168"/>
        <v>2.1205618831462791</v>
      </c>
      <c r="N366" s="99">
        <f>(O368/O365)^(1/3)-1</f>
        <v>0</v>
      </c>
      <c r="O366" s="97">
        <f t="shared" si="163"/>
        <v>2.6903193490293469</v>
      </c>
      <c r="P366" s="97">
        <f t="shared" si="164"/>
        <v>2.6704401420168149</v>
      </c>
      <c r="Q366" s="91">
        <f t="shared" si="172"/>
        <v>3.2737397821989145E-3</v>
      </c>
      <c r="R366" s="117">
        <f t="shared" si="169"/>
        <v>4.2702467462334415E-3</v>
      </c>
    </row>
    <row r="367" spans="2:18">
      <c r="B367" s="88">
        <f t="shared" si="178"/>
        <v>48182</v>
      </c>
      <c r="C367" s="117">
        <f t="shared" si="161"/>
        <v>7.1534049112238485E-3</v>
      </c>
      <c r="D367" s="92">
        <f t="shared" si="173"/>
        <v>7.7584314440724249</v>
      </c>
      <c r="E367" s="91">
        <f t="shared" si="170"/>
        <v>2.8708987190766422E-3</v>
      </c>
      <c r="F367" s="92">
        <f t="shared" si="174"/>
        <v>2.4933759261852466</v>
      </c>
      <c r="G367" s="98">
        <f t="shared" si="166"/>
        <v>2.4898044993752979</v>
      </c>
      <c r="H367" s="91">
        <f t="shared" si="171"/>
        <v>2.8708987190766422E-3</v>
      </c>
      <c r="I367" s="92">
        <f t="shared" si="175"/>
        <v>2.5975003681121263</v>
      </c>
      <c r="J367" s="98">
        <f t="shared" si="167"/>
        <v>2.5937797969956318</v>
      </c>
      <c r="K367" s="91">
        <f t="shared" si="162"/>
        <v>7.3996302871768282E-3</v>
      </c>
      <c r="L367" s="94">
        <f t="shared" si="176"/>
        <v>2.1285803785657689</v>
      </c>
      <c r="M367" s="94">
        <f t="shared" si="168"/>
        <v>2.125905305510936</v>
      </c>
      <c r="N367" s="99">
        <f>(O368/O365)^(1/3)-1</f>
        <v>0</v>
      </c>
      <c r="O367" s="97">
        <f t="shared" si="163"/>
        <v>2.6903193490293469</v>
      </c>
      <c r="P367" s="97">
        <f t="shared" si="164"/>
        <v>2.6704401420168149</v>
      </c>
      <c r="Q367" s="91">
        <f t="shared" si="172"/>
        <v>3.2737397821989145E-3</v>
      </c>
      <c r="R367" s="117">
        <f t="shared" si="169"/>
        <v>4.2702467462334415E-3</v>
      </c>
    </row>
    <row r="368" spans="2:18">
      <c r="B368" s="88">
        <f t="shared" si="178"/>
        <v>48213</v>
      </c>
      <c r="C368" s="117">
        <f t="shared" si="161"/>
        <v>7.1534049112238485E-3</v>
      </c>
      <c r="D368" s="92">
        <f t="shared" si="173"/>
        <v>7.8139306456678463</v>
      </c>
      <c r="E368" s="91">
        <f t="shared" si="170"/>
        <v>2.8708987190766422E-3</v>
      </c>
      <c r="F368" s="92">
        <f t="shared" si="174"/>
        <v>2.5005341559379084</v>
      </c>
      <c r="G368" s="98">
        <f t="shared" si="166"/>
        <v>2.4969524759233055</v>
      </c>
      <c r="H368" s="91">
        <f t="shared" si="171"/>
        <v>2.8708987190766422E-3</v>
      </c>
      <c r="I368" s="92">
        <f t="shared" si="175"/>
        <v>2.6049575285917403</v>
      </c>
      <c r="J368" s="98">
        <f t="shared" si="167"/>
        <v>2.6012262760923934</v>
      </c>
      <c r="K368" s="91">
        <f t="shared" si="162"/>
        <v>7.3996302871768282E-3</v>
      </c>
      <c r="L368" s="94">
        <f t="shared" si="176"/>
        <v>2.1339440060506325</v>
      </c>
      <c r="M368" s="94">
        <f t="shared" si="168"/>
        <v>2.1312621923082009</v>
      </c>
      <c r="N368" s="99">
        <f>(O368/O365)^(1/3)-1</f>
        <v>0</v>
      </c>
      <c r="O368" s="97">
        <f t="shared" si="163"/>
        <v>2.6903193490293469</v>
      </c>
      <c r="P368" s="97">
        <f t="shared" si="164"/>
        <v>2.6704401420168149</v>
      </c>
      <c r="Q368" s="91">
        <f t="shared" si="172"/>
        <v>3.2737397821989145E-3</v>
      </c>
      <c r="R368" s="117">
        <f t="shared" si="169"/>
        <v>4.2702467462334415E-3</v>
      </c>
    </row>
    <row r="369" spans="2:18">
      <c r="B369" s="88">
        <f t="shared" si="178"/>
        <v>48244</v>
      </c>
      <c r="C369" s="117">
        <f t="shared" si="161"/>
        <v>7.1534049112238485E-3</v>
      </c>
      <c r="D369" s="92">
        <f t="shared" si="173"/>
        <v>7.8698268555245292</v>
      </c>
      <c r="E369" s="91">
        <f t="shared" si="170"/>
        <v>2.8708987190766422E-3</v>
      </c>
      <c r="F369" s="92">
        <f t="shared" si="174"/>
        <v>2.5077129362431978</v>
      </c>
      <c r="G369" s="98">
        <f t="shared" si="166"/>
        <v>2.5041209735880292</v>
      </c>
      <c r="H369" s="91">
        <f t="shared" si="171"/>
        <v>2.8708987190766422E-3</v>
      </c>
      <c r="I369" s="92">
        <f t="shared" si="175"/>
        <v>2.6124360978238235</v>
      </c>
      <c r="J369" s="98">
        <f t="shared" si="167"/>
        <v>2.6086941332764555</v>
      </c>
      <c r="K369" s="91">
        <f t="shared" si="162"/>
        <v>7.3996302871768282E-3</v>
      </c>
      <c r="L369" s="94">
        <f t="shared" si="176"/>
        <v>2.1393211488812569</v>
      </c>
      <c r="M369" s="94">
        <f t="shared" si="168"/>
        <v>2.1366325774659449</v>
      </c>
      <c r="N369" s="99">
        <f>(O371/O368)^(1/3)-1</f>
        <v>0</v>
      </c>
      <c r="O369" s="97">
        <f t="shared" si="163"/>
        <v>2.6903193490293469</v>
      </c>
      <c r="P369" s="97">
        <f t="shared" si="164"/>
        <v>2.6704401420168149</v>
      </c>
      <c r="Q369" s="91">
        <f t="shared" si="172"/>
        <v>3.2737397821989145E-3</v>
      </c>
      <c r="R369" s="117">
        <f t="shared" si="169"/>
        <v>4.2702467462334415E-3</v>
      </c>
    </row>
    <row r="370" spans="2:18">
      <c r="B370" s="88">
        <f t="shared" si="178"/>
        <v>48273</v>
      </c>
      <c r="C370" s="117">
        <f t="shared" ref="C370:C380" si="179">IF(ISERROR((1+HLOOKUP(B370,$B$5:$GB$36,$A$24,FALSE))^(1/3)-1),C371,(1+HLOOKUP(B370,$B$5:$GB$36,$A$24,FALSE))^(1/3)-1)</f>
        <v>7.1534049112238485E-3</v>
      </c>
      <c r="D370" s="92">
        <f t="shared" si="173"/>
        <v>7.9261229136033196</v>
      </c>
      <c r="E370" s="91">
        <f t="shared" si="170"/>
        <v>2.8708987190766422E-3</v>
      </c>
      <c r="F370" s="92">
        <f t="shared" si="174"/>
        <v>2.5149123260996702</v>
      </c>
      <c r="G370" s="98">
        <f t="shared" si="166"/>
        <v>2.5113100512835156</v>
      </c>
      <c r="H370" s="91">
        <f t="shared" si="171"/>
        <v>2.8708987190766422E-3</v>
      </c>
      <c r="I370" s="92">
        <f t="shared" si="175"/>
        <v>2.6199361372707353</v>
      </c>
      <c r="J370" s="98">
        <f t="shared" si="167"/>
        <v>2.6161834299221418</v>
      </c>
      <c r="K370" s="91">
        <f t="shared" ref="K370:K380" si="180">IF(ISERROR((1+HLOOKUP(B370,$B$5:$GB$36,$A$34,FALSE))^(1/3)-1),K371,(1+HLOOKUP(B370,$B$5:$GB$36,$A$34,FALSE))^(1/3)-1)</f>
        <v>7.3996302871768282E-3</v>
      </c>
      <c r="L370" s="94">
        <f t="shared" si="176"/>
        <v>2.1447118411138053</v>
      </c>
      <c r="M370" s="94">
        <f t="shared" si="168"/>
        <v>2.1420164949975309</v>
      </c>
      <c r="N370" s="99">
        <f>(O371/O368)^(1/3)-1</f>
        <v>0</v>
      </c>
      <c r="O370" s="97">
        <f t="shared" ref="O370:O380" si="181">IF(ISERROR(HLOOKUP(B370,$B$5:$GB$36,$A$28,FALSE)),O369*(1+N370),HLOOKUP(B370,$B$5:$GB$36,$A$28,FALSE))</f>
        <v>2.6903193490293469</v>
      </c>
      <c r="P370" s="97">
        <f t="shared" ref="P370:P380" si="182">IF(ISERROR(HLOOKUP(B370,$B$5:$GB$36,$A$29,FALSE)),P369*(1+N370),HLOOKUP(B370,$B$5:$GB$36,$A$29,FALSE))</f>
        <v>2.6704401420168149</v>
      </c>
      <c r="Q370" s="91">
        <f t="shared" si="172"/>
        <v>3.2737397821989145E-3</v>
      </c>
      <c r="R370" s="117">
        <f t="shared" si="169"/>
        <v>4.2702467462334415E-3</v>
      </c>
    </row>
    <row r="371" spans="2:18">
      <c r="B371" s="88">
        <f t="shared" si="178"/>
        <v>48304</v>
      </c>
      <c r="C371" s="117">
        <f t="shared" si="179"/>
        <v>7.1534049112238485E-3</v>
      </c>
      <c r="D371" s="92">
        <f t="shared" si="173"/>
        <v>7.9828216801804537</v>
      </c>
      <c r="E371" s="91">
        <f t="shared" si="170"/>
        <v>2.8708987190766422E-3</v>
      </c>
      <c r="F371" s="92">
        <f t="shared" si="174"/>
        <v>2.5221323846752597</v>
      </c>
      <c r="G371" s="98">
        <f t="shared" si="166"/>
        <v>2.5185197680929496</v>
      </c>
      <c r="H371" s="91">
        <f t="shared" si="171"/>
        <v>2.8708987190766422E-3</v>
      </c>
      <c r="I371" s="92">
        <f t="shared" si="175"/>
        <v>2.6274577085712885</v>
      </c>
      <c r="J371" s="98">
        <f t="shared" si="167"/>
        <v>2.6236942275799744</v>
      </c>
      <c r="K371" s="91">
        <f t="shared" si="180"/>
        <v>7.3996302871768282E-3</v>
      </c>
      <c r="L371" s="94">
        <f t="shared" si="176"/>
        <v>2.1501161168902554</v>
      </c>
      <c r="M371" s="94">
        <f t="shared" si="168"/>
        <v>2.1474139790020303</v>
      </c>
      <c r="N371" s="99">
        <f>(O371/O368)^(1/3)-1</f>
        <v>0</v>
      </c>
      <c r="O371" s="97">
        <f t="shared" si="181"/>
        <v>2.6903193490293469</v>
      </c>
      <c r="P371" s="97">
        <f t="shared" si="182"/>
        <v>2.6704401420168149</v>
      </c>
      <c r="Q371" s="91">
        <f t="shared" si="172"/>
        <v>3.2737397821989145E-3</v>
      </c>
      <c r="R371" s="117">
        <f t="shared" si="169"/>
        <v>4.2702467462334415E-3</v>
      </c>
    </row>
    <row r="372" spans="2:18">
      <c r="B372" s="88">
        <f t="shared" si="178"/>
        <v>48334</v>
      </c>
      <c r="C372" s="117">
        <f t="shared" si="179"/>
        <v>7.1534049112238485E-3</v>
      </c>
      <c r="D372" s="92">
        <f t="shared" si="173"/>
        <v>8.039926035992881</v>
      </c>
      <c r="E372" s="91">
        <f t="shared" si="170"/>
        <v>2.8708987190766422E-3</v>
      </c>
      <c r="F372" s="92">
        <f t="shared" si="174"/>
        <v>2.5293731713077654</v>
      </c>
      <c r="G372" s="98">
        <f t="shared" si="166"/>
        <v>2.5257501832691371</v>
      </c>
      <c r="H372" s="91">
        <f t="shared" si="171"/>
        <v>2.8708987190766422E-3</v>
      </c>
      <c r="I372" s="92">
        <f t="shared" si="175"/>
        <v>2.6350008735412538</v>
      </c>
      <c r="J372" s="98">
        <f t="shared" si="167"/>
        <v>2.6312265879771828</v>
      </c>
      <c r="K372" s="91">
        <f t="shared" si="180"/>
        <v>7.3996302871768282E-3</v>
      </c>
      <c r="L372" s="94">
        <f t="shared" si="176"/>
        <v>2.1555340104386169</v>
      </c>
      <c r="M372" s="94">
        <f t="shared" si="168"/>
        <v>2.1528250636644364</v>
      </c>
      <c r="N372" s="99">
        <f>(O374/O371)^(1/3)-1</f>
        <v>0</v>
      </c>
      <c r="O372" s="97">
        <f t="shared" si="181"/>
        <v>2.6903193490293469</v>
      </c>
      <c r="P372" s="97">
        <f t="shared" si="182"/>
        <v>2.6704401420168149</v>
      </c>
      <c r="Q372" s="91">
        <f t="shared" si="172"/>
        <v>3.2737397821989145E-3</v>
      </c>
      <c r="R372" s="117">
        <f t="shared" si="169"/>
        <v>4.2702467462334415E-3</v>
      </c>
    </row>
    <row r="373" spans="2:18">
      <c r="B373" s="88">
        <f t="shared" si="178"/>
        <v>48365</v>
      </c>
      <c r="C373" s="117">
        <f t="shared" si="179"/>
        <v>7.1534049112238485E-3</v>
      </c>
      <c r="D373" s="92">
        <f t="shared" si="173"/>
        <v>8.0974388823846297</v>
      </c>
      <c r="E373" s="91">
        <f t="shared" si="170"/>
        <v>2.8708987190766422E-3</v>
      </c>
      <c r="F373" s="92">
        <f t="shared" si="174"/>
        <v>2.5366347455053395</v>
      </c>
      <c r="G373" s="98">
        <f t="shared" si="166"/>
        <v>2.5330013562349918</v>
      </c>
      <c r="H373" s="91">
        <f t="shared" si="171"/>
        <v>2.8708987190766422E-3</v>
      </c>
      <c r="I373" s="92">
        <f t="shared" si="175"/>
        <v>2.6425656941738693</v>
      </c>
      <c r="J373" s="98">
        <f t="shared" si="167"/>
        <v>2.6387805730182068</v>
      </c>
      <c r="K373" s="91">
        <f t="shared" si="180"/>
        <v>7.3996302871768282E-3</v>
      </c>
      <c r="L373" s="94">
        <f t="shared" si="176"/>
        <v>2.1609655560731476</v>
      </c>
      <c r="M373" s="94">
        <f t="shared" si="168"/>
        <v>2.158249783255882</v>
      </c>
      <c r="N373" s="99">
        <f>(O374/O371)^(1/3)-1</f>
        <v>0</v>
      </c>
      <c r="O373" s="97">
        <f t="shared" si="181"/>
        <v>2.6903193490293469</v>
      </c>
      <c r="P373" s="97">
        <f t="shared" si="182"/>
        <v>2.6704401420168149</v>
      </c>
      <c r="Q373" s="91">
        <f t="shared" si="172"/>
        <v>3.2737397821989145E-3</v>
      </c>
      <c r="R373" s="117">
        <f t="shared" si="169"/>
        <v>4.2702467462334415E-3</v>
      </c>
    </row>
    <row r="374" spans="2:18">
      <c r="B374" s="88">
        <f t="shared" si="178"/>
        <v>48395</v>
      </c>
      <c r="C374" s="117">
        <f t="shared" si="179"/>
        <v>7.1534049112238485E-3</v>
      </c>
      <c r="D374" s="92">
        <f t="shared" si="173"/>
        <v>8.1553631414542149</v>
      </c>
      <c r="E374" s="91">
        <f t="shared" si="170"/>
        <v>2.8708987190766422E-3</v>
      </c>
      <c r="F374" s="92">
        <f t="shared" si="174"/>
        <v>2.5439171669469762</v>
      </c>
      <c r="G374" s="98">
        <f t="shared" si="166"/>
        <v>2.5402733465840259</v>
      </c>
      <c r="H374" s="91">
        <f t="shared" si="171"/>
        <v>2.8708987190766422E-3</v>
      </c>
      <c r="I374" s="92">
        <f t="shared" si="175"/>
        <v>2.650152232640349</v>
      </c>
      <c r="J374" s="98">
        <f t="shared" si="167"/>
        <v>2.6463562447852089</v>
      </c>
      <c r="K374" s="91">
        <f t="shared" si="180"/>
        <v>7.3996302871768282E-3</v>
      </c>
      <c r="L374" s="94">
        <f t="shared" si="176"/>
        <v>2.1664107881945709</v>
      </c>
      <c r="M374" s="94">
        <f t="shared" si="168"/>
        <v>2.1636881721338592</v>
      </c>
      <c r="N374" s="99">
        <f>(O374/O371)^(1/3)-1</f>
        <v>0</v>
      </c>
      <c r="O374" s="97">
        <f t="shared" si="181"/>
        <v>2.6903193490293469</v>
      </c>
      <c r="P374" s="97">
        <f t="shared" si="182"/>
        <v>2.6704401420168149</v>
      </c>
      <c r="Q374" s="91">
        <f t="shared" si="172"/>
        <v>3.2737397821989145E-3</v>
      </c>
      <c r="R374" s="117">
        <f t="shared" si="169"/>
        <v>4.2702467462334415E-3</v>
      </c>
    </row>
    <row r="375" spans="2:18">
      <c r="B375" s="88">
        <f t="shared" si="178"/>
        <v>48426</v>
      </c>
      <c r="C375" s="117">
        <f t="shared" si="179"/>
        <v>7.1534049112238485E-3</v>
      </c>
      <c r="D375" s="92">
        <f t="shared" si="173"/>
        <v>8.2137017562031076</v>
      </c>
      <c r="E375" s="91">
        <f t="shared" si="170"/>
        <v>2.8708987190766422E-3</v>
      </c>
      <c r="F375" s="92">
        <f t="shared" si="174"/>
        <v>2.5512204954830016</v>
      </c>
      <c r="G375" s="98">
        <f t="shared" si="166"/>
        <v>2.5475662140808386</v>
      </c>
      <c r="H375" s="91">
        <f t="shared" si="171"/>
        <v>2.8708987190766422E-3</v>
      </c>
      <c r="I375" s="92">
        <f t="shared" si="175"/>
        <v>2.6577605512903943</v>
      </c>
      <c r="J375" s="98">
        <f t="shared" si="167"/>
        <v>2.6539536655385834</v>
      </c>
      <c r="K375" s="91">
        <f t="shared" si="180"/>
        <v>7.3996302871768282E-3</v>
      </c>
      <c r="L375" s="94">
        <f t="shared" si="176"/>
        <v>2.1718697412902932</v>
      </c>
      <c r="M375" s="94">
        <f t="shared" si="168"/>
        <v>2.169140264742432</v>
      </c>
      <c r="N375" s="99">
        <f>(O377/O374)^(1/3)-1</f>
        <v>0</v>
      </c>
      <c r="O375" s="97">
        <f t="shared" si="181"/>
        <v>2.6903193490293469</v>
      </c>
      <c r="P375" s="97">
        <f t="shared" si="182"/>
        <v>2.6704401420168149</v>
      </c>
      <c r="Q375" s="91">
        <f t="shared" si="172"/>
        <v>3.2737397821989145E-3</v>
      </c>
      <c r="R375" s="117">
        <f t="shared" si="169"/>
        <v>4.2702467462334415E-3</v>
      </c>
    </row>
    <row r="376" spans="2:18">
      <c r="B376" s="88">
        <f t="shared" si="178"/>
        <v>48457</v>
      </c>
      <c r="C376" s="117">
        <f t="shared" si="179"/>
        <v>7.1534049112238485E-3</v>
      </c>
      <c r="D376" s="92">
        <f t="shared" si="173"/>
        <v>8.2724576906852594</v>
      </c>
      <c r="E376" s="91">
        <f t="shared" si="170"/>
        <v>2.8708987190766422E-3</v>
      </c>
      <c r="F376" s="92">
        <f t="shared" si="174"/>
        <v>2.5585447911355659</v>
      </c>
      <c r="G376" s="98">
        <f t="shared" si="166"/>
        <v>2.5548800186616063</v>
      </c>
      <c r="H376" s="91">
        <f t="shared" si="171"/>
        <v>2.8708987190766422E-3</v>
      </c>
      <c r="I376" s="92">
        <f t="shared" si="175"/>
        <v>2.6653907126527066</v>
      </c>
      <c r="J376" s="98">
        <f t="shared" si="167"/>
        <v>2.6615728977174671</v>
      </c>
      <c r="K376" s="91">
        <f t="shared" si="180"/>
        <v>7.3996302871768282E-3</v>
      </c>
      <c r="L376" s="94">
        <f t="shared" si="176"/>
        <v>2.1773424499346232</v>
      </c>
      <c r="M376" s="94">
        <f t="shared" si="168"/>
        <v>2.1746060956124582</v>
      </c>
      <c r="N376" s="99">
        <f>(O377/O374)^(1/3)-1</f>
        <v>0</v>
      </c>
      <c r="O376" s="97">
        <f t="shared" si="181"/>
        <v>2.6903193490293469</v>
      </c>
      <c r="P376" s="97">
        <f t="shared" si="182"/>
        <v>2.6704401420168149</v>
      </c>
      <c r="Q376" s="91">
        <f t="shared" si="172"/>
        <v>3.2737397821989145E-3</v>
      </c>
      <c r="R376" s="117">
        <f t="shared" si="169"/>
        <v>4.2702467462334415E-3</v>
      </c>
    </row>
    <row r="377" spans="2:18">
      <c r="B377" s="88">
        <f t="shared" si="178"/>
        <v>48487</v>
      </c>
      <c r="C377" s="117">
        <f t="shared" si="179"/>
        <v>7.1534049112238485E-3</v>
      </c>
      <c r="D377" s="92">
        <f t="shared" si="173"/>
        <v>8.3316339301576985</v>
      </c>
      <c r="E377" s="91">
        <f t="shared" si="170"/>
        <v>2.8708987190766422E-3</v>
      </c>
      <c r="F377" s="92">
        <f t="shared" si="174"/>
        <v>2.5658901140991373</v>
      </c>
      <c r="G377" s="98">
        <f t="shared" si="166"/>
        <v>2.5622148204345767</v>
      </c>
      <c r="H377" s="91">
        <f t="shared" si="171"/>
        <v>2.8708987190766422E-3</v>
      </c>
      <c r="I377" s="92">
        <f t="shared" si="175"/>
        <v>2.6730427794354998</v>
      </c>
      <c r="J377" s="98">
        <f t="shared" si="167"/>
        <v>2.6692140039402532</v>
      </c>
      <c r="K377" s="91">
        <f t="shared" si="180"/>
        <v>7.3996302871768282E-3</v>
      </c>
      <c r="L377" s="94">
        <f t="shared" si="176"/>
        <v>2.1828289487889903</v>
      </c>
      <c r="M377" s="94">
        <f t="shared" si="168"/>
        <v>2.1800856993618067</v>
      </c>
      <c r="N377" s="99">
        <f>(O377/O374)^(1/3)-1</f>
        <v>0</v>
      </c>
      <c r="O377" s="97">
        <f t="shared" si="181"/>
        <v>2.6903193490293469</v>
      </c>
      <c r="P377" s="97">
        <f t="shared" si="182"/>
        <v>2.6704401420168149</v>
      </c>
      <c r="Q377" s="91">
        <f t="shared" si="172"/>
        <v>3.2737397821989145E-3</v>
      </c>
      <c r="R377" s="117">
        <f t="shared" si="169"/>
        <v>4.2702467462334415E-3</v>
      </c>
    </row>
    <row r="378" spans="2:18">
      <c r="B378" s="88">
        <f t="shared" si="178"/>
        <v>48518</v>
      </c>
      <c r="C378" s="117">
        <f t="shared" si="179"/>
        <v>7.1534049112238485E-3</v>
      </c>
      <c r="D378" s="92">
        <f t="shared" si="173"/>
        <v>8.3912334812322076</v>
      </c>
      <c r="E378" s="91">
        <f t="shared" si="170"/>
        <v>2.8708987190766422E-3</v>
      </c>
      <c r="F378" s="92">
        <f t="shared" si="174"/>
        <v>2.5732565247409958</v>
      </c>
      <c r="G378" s="98">
        <f t="shared" si="166"/>
        <v>2.5695706796805617</v>
      </c>
      <c r="H378" s="91">
        <f t="shared" si="171"/>
        <v>2.8708987190766422E-3</v>
      </c>
      <c r="I378" s="92">
        <f t="shared" si="175"/>
        <v>2.6807168145270182</v>
      </c>
      <c r="J378" s="98">
        <f t="shared" si="167"/>
        <v>2.6768770470051066</v>
      </c>
      <c r="K378" s="91">
        <f t="shared" si="180"/>
        <v>7.3996302871768282E-3</v>
      </c>
      <c r="L378" s="94">
        <f t="shared" si="176"/>
        <v>2.1883292726021644</v>
      </c>
      <c r="M378" s="94">
        <f t="shared" si="168"/>
        <v>2.1855791106955773</v>
      </c>
      <c r="N378" s="99">
        <f>(O380/O377)^(1/3)-1</f>
        <v>0</v>
      </c>
      <c r="O378" s="97">
        <f t="shared" si="181"/>
        <v>2.6903193490293469</v>
      </c>
      <c r="P378" s="97">
        <f t="shared" si="182"/>
        <v>2.6704401420168149</v>
      </c>
      <c r="Q378" s="91">
        <f t="shared" si="172"/>
        <v>3.2737397821989145E-3</v>
      </c>
      <c r="R378" s="117">
        <f t="shared" si="169"/>
        <v>4.2702467462334415E-3</v>
      </c>
    </row>
    <row r="379" spans="2:18">
      <c r="B379" s="88">
        <f>EOMONTH(B378,1)</f>
        <v>48548</v>
      </c>
      <c r="C379" s="117">
        <f t="shared" si="179"/>
        <v>7.1534049112238485E-3</v>
      </c>
      <c r="D379" s="92">
        <f t="shared" si="173"/>
        <v>8.4512593720280798</v>
      </c>
      <c r="E379" s="91">
        <f t="shared" si="170"/>
        <v>2.8708987190766422E-3</v>
      </c>
      <c r="F379" s="92">
        <f t="shared" si="174"/>
        <v>2.5806440836017304</v>
      </c>
      <c r="G379" s="98">
        <f t="shared" si="166"/>
        <v>2.5769476568534331</v>
      </c>
      <c r="H379" s="91">
        <f t="shared" si="171"/>
        <v>2.8708987190766422E-3</v>
      </c>
      <c r="I379" s="92">
        <f t="shared" si="175"/>
        <v>2.6884128809960508</v>
      </c>
      <c r="J379" s="98">
        <f t="shared" si="167"/>
        <v>2.6845620898904792</v>
      </c>
      <c r="K379" s="91">
        <f t="shared" si="180"/>
        <v>7.3996302871768282E-3</v>
      </c>
      <c r="L379" s="94">
        <f t="shared" si="176"/>
        <v>2.1938434562104758</v>
      </c>
      <c r="M379" s="94">
        <f t="shared" si="168"/>
        <v>2.1910863644063201</v>
      </c>
      <c r="N379" s="99">
        <f>(O380/O377)^(1/3)-1</f>
        <v>0</v>
      </c>
      <c r="O379" s="97">
        <f t="shared" si="181"/>
        <v>2.6903193490293469</v>
      </c>
      <c r="P379" s="97">
        <f t="shared" si="182"/>
        <v>2.6704401420168149</v>
      </c>
      <c r="Q379" s="91">
        <f t="shared" si="172"/>
        <v>3.2737397821989145E-3</v>
      </c>
      <c r="R379" s="117">
        <f t="shared" si="169"/>
        <v>4.2702467462334415E-3</v>
      </c>
    </row>
    <row r="380" spans="2:18">
      <c r="B380" s="88">
        <f>EOMONTH(B379,1)</f>
        <v>48579</v>
      </c>
      <c r="C380" s="117">
        <f t="shared" si="179"/>
        <v>7.1534049112238485E-3</v>
      </c>
      <c r="D380" s="92">
        <f t="shared" si="173"/>
        <v>8.5117146523259724</v>
      </c>
      <c r="E380" s="91">
        <f t="shared" si="170"/>
        <v>2.8708987190766422E-3</v>
      </c>
      <c r="F380" s="92">
        <f t="shared" si="174"/>
        <v>2.5880528513957355</v>
      </c>
      <c r="G380" s="98">
        <f t="shared" si="166"/>
        <v>2.5843458125806213</v>
      </c>
      <c r="H380" s="91">
        <f t="shared" si="171"/>
        <v>2.8708987190766422E-3</v>
      </c>
      <c r="I380" s="92">
        <f t="shared" si="175"/>
        <v>2.6961310420924516</v>
      </c>
      <c r="J380" s="98">
        <f t="shared" si="167"/>
        <v>2.6922691957556273</v>
      </c>
      <c r="K380" s="91">
        <f t="shared" si="180"/>
        <v>7.3996302871768282E-3</v>
      </c>
      <c r="L380" s="94">
        <f t="shared" si="176"/>
        <v>2.1993715345380358</v>
      </c>
      <c r="M380" s="94">
        <f t="shared" si="168"/>
        <v>2.1966074953742556</v>
      </c>
      <c r="N380" s="99">
        <f>(O380/O377)^(1/3)-1</f>
        <v>0</v>
      </c>
      <c r="O380" s="97">
        <f t="shared" si="181"/>
        <v>2.6903193490293469</v>
      </c>
      <c r="P380" s="97">
        <f t="shared" si="182"/>
        <v>2.6704401420168149</v>
      </c>
      <c r="Q380" s="91">
        <f>IF(ISERROR((1+HLOOKUP(B380,$B$5:$EX$36,$A$32,FALSE))^(1/3)-1),#REF!,(1+HLOOKUP(B380,$B$5:$EX$36,$A$32,FALSE))^(1/3)-1)</f>
        <v>3.2737397821989145E-3</v>
      </c>
      <c r="R380" s="117">
        <f t="shared" si="169"/>
        <v>4.2702467462334415E-3</v>
      </c>
    </row>
    <row r="381" spans="2:18">
      <c r="N381" s="99"/>
    </row>
    <row r="382" spans="2:18">
      <c r="N382" s="99"/>
    </row>
    <row r="383" spans="2:18">
      <c r="N383" s="99"/>
    </row>
    <row r="384" spans="2:18">
      <c r="N384" s="99"/>
    </row>
    <row r="385" spans="14:14">
      <c r="N385" s="99"/>
    </row>
    <row r="386" spans="14:14">
      <c r="N386" s="99"/>
    </row>
    <row r="387" spans="14:14">
      <c r="N387" s="99"/>
    </row>
    <row r="388" spans="14:14">
      <c r="N388" s="99"/>
    </row>
    <row r="389" spans="14:14">
      <c r="N389" s="99"/>
    </row>
    <row r="390" spans="14:14">
      <c r="N390" s="99"/>
    </row>
    <row r="391" spans="14:14">
      <c r="N391" s="99"/>
    </row>
    <row r="392" spans="14:14">
      <c r="N392" s="99"/>
    </row>
    <row r="393" spans="14:14">
      <c r="N393" s="99"/>
    </row>
    <row r="394" spans="14:14">
      <c r="N394" s="99"/>
    </row>
    <row r="395" spans="14:14">
      <c r="N395" s="99"/>
    </row>
    <row r="396" spans="14:14">
      <c r="N396" s="99"/>
    </row>
    <row r="397" spans="14:14">
      <c r="N397" s="99"/>
    </row>
    <row r="398" spans="14:14">
      <c r="N398" s="99"/>
    </row>
    <row r="399" spans="14:14">
      <c r="N399" s="99"/>
    </row>
    <row r="400" spans="14:14">
      <c r="N400" s="99"/>
    </row>
    <row r="401" spans="14:14">
      <c r="N401" s="99"/>
    </row>
    <row r="402" spans="14:14">
      <c r="N402" s="99"/>
    </row>
    <row r="403" spans="14:14">
      <c r="N403" s="99"/>
    </row>
    <row r="404" spans="14:14">
      <c r="N404" s="99"/>
    </row>
    <row r="405" spans="14:14">
      <c r="N405" s="99"/>
    </row>
    <row r="406" spans="14:14">
      <c r="N406" s="99"/>
    </row>
    <row r="407" spans="14:14">
      <c r="N407" s="99"/>
    </row>
    <row r="408" spans="14:14">
      <c r="N408" s="99"/>
    </row>
    <row r="409" spans="14:14">
      <c r="N409" s="99"/>
    </row>
    <row r="410" spans="14:14">
      <c r="N410" s="99"/>
    </row>
  </sheetData>
  <customSheetViews>
    <customSheetView guid="{E575866E-AC6D-4394-9CD3-8AED20D96A5E}" scale="85" showGridLines="0" showRuler="0">
      <pane xSplit="2" topLeftCell="C1" activePane="topRight" state="frozen"/>
      <selection pane="topRight" activeCell="A2" sqref="A2"/>
      <pageMargins left="0.75" right="0.75" top="1" bottom="1" header="0.5" footer="0.5"/>
      <headerFooter alignWithMargins="0"/>
    </customSheetView>
    <customSheetView guid="{6280D585-CF22-451E-B29E-288955B1FF75}" showGridLines="0" showRuler="0">
      <pane xSplit="2" ySplit="2" topLeftCell="BT3" activePane="bottomRight" state="frozen"/>
      <selection pane="bottomRight" activeCell="CB16" sqref="CB16"/>
      <pageMargins left="0.75" right="0.75" top="1" bottom="1" header="0.5" footer="0.5"/>
      <pageSetup orientation="portrait" r:id="rId1"/>
      <headerFooter alignWithMargins="0"/>
    </customSheetView>
    <customSheetView guid="{C9CD96BC-B0AB-4293-88EA-EE4E27621B3B}" showGridLines="0" showRuler="0">
      <pane xSplit="2" ySplit="2" topLeftCell="BN3" activePane="bottomRight" state="frozen"/>
      <selection pane="bottomRight" activeCell="BV2" sqref="BV2"/>
      <pageMargins left="0.75" right="0.75" top="1" bottom="1" header="0.5" footer="0.5"/>
      <pageSetup orientation="portrait" r:id="rId2"/>
      <headerFooter alignWithMargins="0"/>
    </customSheetView>
    <customSheetView guid="{4A94A4CF-0F83-423C-83E9-C66A83D3D488}" showGridLines="0" showRuler="0">
      <pane xSplit="2" ySplit="2" topLeftCell="C3" activePane="bottomRight" state="frozen"/>
      <selection pane="bottomRight" activeCell="BG18" sqref="BG18"/>
      <pageMargins left="0.75" right="0.75" top="1" bottom="1" header="0.5" footer="0.5"/>
      <pageSetup orientation="portrait" r:id="rId3"/>
      <headerFooter alignWithMargins="0"/>
    </customSheetView>
    <customSheetView guid="{AF606229-75CD-4176-8017-8565F5ED8E7B}" scale="85" showGridLines="0">
      <pane xSplit="2" topLeftCell="C1" activePane="topRight" state="frozen"/>
      <selection pane="topRight"/>
      <pageMargins left="0.75" right="0.75" top="1" bottom="1" header="0.5" footer="0.5"/>
      <headerFooter alignWithMargins="0"/>
    </customSheetView>
  </customSheetViews>
  <phoneticPr fontId="13" type="noConversion"/>
  <pageMargins left="0.75" right="0.75" top="1" bottom="1" header="0.5" footer="0.5"/>
  <pageSetup paperSize="9" orientation="portrait" r:id="rId4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indexed="8"/>
  </sheetPr>
  <dimension ref="A1"/>
  <sheetViews>
    <sheetView workbookViewId="0">
      <selection activeCell="H127" sqref="H127"/>
    </sheetView>
  </sheetViews>
  <sheetFormatPr defaultRowHeight="12.75"/>
  <cols>
    <col min="1" max="16384" width="9.140625" style="4"/>
  </cols>
  <sheetData/>
  <customSheetViews>
    <customSheetView guid="{E575866E-AC6D-4394-9CD3-8AED20D96A5E}" showRuler="0">
      <pageMargins left="0.75" right="0.75" top="1" bottom="1" header="0.5" footer="0.5"/>
      <headerFooter alignWithMargins="0"/>
    </customSheetView>
    <customSheetView guid="{AF606229-75CD-4176-8017-8565F5ED8E7B}">
      <pageMargins left="0.75" right="0.75" top="1" bottom="1" header="0.5" footer="0.5"/>
      <headerFooter alignWithMargins="0"/>
    </customSheetView>
  </customSheetViews>
  <phoneticPr fontId="13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4"/>
  <dimension ref="B2:V87"/>
  <sheetViews>
    <sheetView showGridLines="0" zoomScale="60" zoomScaleNormal="60" workbookViewId="0">
      <selection activeCell="F24" sqref="F24"/>
    </sheetView>
  </sheetViews>
  <sheetFormatPr defaultRowHeight="15"/>
  <cols>
    <col min="1" max="1" width="2.85546875" style="232" customWidth="1"/>
    <col min="2" max="2" width="20.140625" style="232" customWidth="1"/>
    <col min="3" max="3" width="11.7109375" style="232" bestFit="1" customWidth="1"/>
    <col min="4" max="4" width="9.85546875" style="232" customWidth="1"/>
    <col min="5" max="6" width="9.140625" style="232" customWidth="1"/>
    <col min="7" max="7" width="12.5703125" style="232" bestFit="1" customWidth="1"/>
    <col min="8" max="9" width="13.140625" style="232" customWidth="1"/>
    <col min="10" max="10" width="16" style="232" customWidth="1"/>
    <col min="11" max="15" width="13.140625" style="232" customWidth="1"/>
    <col min="16" max="16" width="12.140625" style="232" customWidth="1"/>
    <col min="17" max="17" width="16.140625" style="232" bestFit="1" customWidth="1"/>
    <col min="18" max="255" width="9.140625" style="232"/>
    <col min="256" max="256" width="14.5703125" style="232" customWidth="1"/>
    <col min="257" max="257" width="11.7109375" style="232" bestFit="1" customWidth="1"/>
    <col min="258" max="258" width="9.85546875" style="232" customWidth="1"/>
    <col min="259" max="260" width="9.140625" style="232" customWidth="1"/>
    <col min="261" max="261" width="12.5703125" style="232" bestFit="1" customWidth="1"/>
    <col min="262" max="262" width="13.42578125" style="232" bestFit="1" customWidth="1"/>
    <col min="263" max="263" width="8.7109375" style="232" customWidth="1"/>
    <col min="264" max="264" width="10" style="232" bestFit="1" customWidth="1"/>
    <col min="265" max="265" width="13" style="232" bestFit="1" customWidth="1"/>
    <col min="266" max="266" width="15" style="232" bestFit="1" customWidth="1"/>
    <col min="267" max="268" width="15.28515625" style="232" bestFit="1" customWidth="1"/>
    <col min="269" max="269" width="15.85546875" style="232" customWidth="1"/>
    <col min="270" max="270" width="9.140625" style="232"/>
    <col min="271" max="271" width="16.28515625" style="232" customWidth="1"/>
    <col min="272" max="272" width="9.140625" style="232"/>
    <col min="273" max="273" width="9.7109375" style="232" bestFit="1" customWidth="1"/>
    <col min="274" max="511" width="9.140625" style="232"/>
    <col min="512" max="512" width="14.5703125" style="232" customWidth="1"/>
    <col min="513" max="513" width="11.7109375" style="232" bestFit="1" customWidth="1"/>
    <col min="514" max="514" width="9.85546875" style="232" customWidth="1"/>
    <col min="515" max="516" width="9.140625" style="232" customWidth="1"/>
    <col min="517" max="517" width="12.5703125" style="232" bestFit="1" customWidth="1"/>
    <col min="518" max="518" width="13.42578125" style="232" bestFit="1" customWidth="1"/>
    <col min="519" max="519" width="8.7109375" style="232" customWidth="1"/>
    <col min="520" max="520" width="10" style="232" bestFit="1" customWidth="1"/>
    <col min="521" max="521" width="13" style="232" bestFit="1" customWidth="1"/>
    <col min="522" max="522" width="15" style="232" bestFit="1" customWidth="1"/>
    <col min="523" max="524" width="15.28515625" style="232" bestFit="1" customWidth="1"/>
    <col min="525" max="525" width="15.85546875" style="232" customWidth="1"/>
    <col min="526" max="526" width="9.140625" style="232"/>
    <col min="527" max="527" width="16.28515625" style="232" customWidth="1"/>
    <col min="528" max="528" width="9.140625" style="232"/>
    <col min="529" max="529" width="9.7109375" style="232" bestFit="1" customWidth="1"/>
    <col min="530" max="767" width="9.140625" style="232"/>
    <col min="768" max="768" width="14.5703125" style="232" customWidth="1"/>
    <col min="769" max="769" width="11.7109375" style="232" bestFit="1" customWidth="1"/>
    <col min="770" max="770" width="9.85546875" style="232" customWidth="1"/>
    <col min="771" max="772" width="9.140625" style="232" customWidth="1"/>
    <col min="773" max="773" width="12.5703125" style="232" bestFit="1" customWidth="1"/>
    <col min="774" max="774" width="13.42578125" style="232" bestFit="1" customWidth="1"/>
    <col min="775" max="775" width="8.7109375" style="232" customWidth="1"/>
    <col min="776" max="776" width="10" style="232" bestFit="1" customWidth="1"/>
    <col min="777" max="777" width="13" style="232" bestFit="1" customWidth="1"/>
    <col min="778" max="778" width="15" style="232" bestFit="1" customWidth="1"/>
    <col min="779" max="780" width="15.28515625" style="232" bestFit="1" customWidth="1"/>
    <col min="781" max="781" width="15.85546875" style="232" customWidth="1"/>
    <col min="782" max="782" width="9.140625" style="232"/>
    <col min="783" max="783" width="16.28515625" style="232" customWidth="1"/>
    <col min="784" max="784" width="9.140625" style="232"/>
    <col min="785" max="785" width="9.7109375" style="232" bestFit="1" customWidth="1"/>
    <col min="786" max="1023" width="9.140625" style="232"/>
    <col min="1024" max="1024" width="14.5703125" style="232" customWidth="1"/>
    <col min="1025" max="1025" width="11.7109375" style="232" bestFit="1" customWidth="1"/>
    <col min="1026" max="1026" width="9.85546875" style="232" customWidth="1"/>
    <col min="1027" max="1028" width="9.140625" style="232" customWidth="1"/>
    <col min="1029" max="1029" width="12.5703125" style="232" bestFit="1" customWidth="1"/>
    <col min="1030" max="1030" width="13.42578125" style="232" bestFit="1" customWidth="1"/>
    <col min="1031" max="1031" width="8.7109375" style="232" customWidth="1"/>
    <col min="1032" max="1032" width="10" style="232" bestFit="1" customWidth="1"/>
    <col min="1033" max="1033" width="13" style="232" bestFit="1" customWidth="1"/>
    <col min="1034" max="1034" width="15" style="232" bestFit="1" customWidth="1"/>
    <col min="1035" max="1036" width="15.28515625" style="232" bestFit="1" customWidth="1"/>
    <col min="1037" max="1037" width="15.85546875" style="232" customWidth="1"/>
    <col min="1038" max="1038" width="9.140625" style="232"/>
    <col min="1039" max="1039" width="16.28515625" style="232" customWidth="1"/>
    <col min="1040" max="1040" width="9.140625" style="232"/>
    <col min="1041" max="1041" width="9.7109375" style="232" bestFit="1" customWidth="1"/>
    <col min="1042" max="1279" width="9.140625" style="232"/>
    <col min="1280" max="1280" width="14.5703125" style="232" customWidth="1"/>
    <col min="1281" max="1281" width="11.7109375" style="232" bestFit="1" customWidth="1"/>
    <col min="1282" max="1282" width="9.85546875" style="232" customWidth="1"/>
    <col min="1283" max="1284" width="9.140625" style="232" customWidth="1"/>
    <col min="1285" max="1285" width="12.5703125" style="232" bestFit="1" customWidth="1"/>
    <col min="1286" max="1286" width="13.42578125" style="232" bestFit="1" customWidth="1"/>
    <col min="1287" max="1287" width="8.7109375" style="232" customWidth="1"/>
    <col min="1288" max="1288" width="10" style="232" bestFit="1" customWidth="1"/>
    <col min="1289" max="1289" width="13" style="232" bestFit="1" customWidth="1"/>
    <col min="1290" max="1290" width="15" style="232" bestFit="1" customWidth="1"/>
    <col min="1291" max="1292" width="15.28515625" style="232" bestFit="1" customWidth="1"/>
    <col min="1293" max="1293" width="15.85546875" style="232" customWidth="1"/>
    <col min="1294" max="1294" width="9.140625" style="232"/>
    <col min="1295" max="1295" width="16.28515625" style="232" customWidth="1"/>
    <col min="1296" max="1296" width="9.140625" style="232"/>
    <col min="1297" max="1297" width="9.7109375" style="232" bestFit="1" customWidth="1"/>
    <col min="1298" max="1535" width="9.140625" style="232"/>
    <col min="1536" max="1536" width="14.5703125" style="232" customWidth="1"/>
    <col min="1537" max="1537" width="11.7109375" style="232" bestFit="1" customWidth="1"/>
    <col min="1538" max="1538" width="9.85546875" style="232" customWidth="1"/>
    <col min="1539" max="1540" width="9.140625" style="232" customWidth="1"/>
    <col min="1541" max="1541" width="12.5703125" style="232" bestFit="1" customWidth="1"/>
    <col min="1542" max="1542" width="13.42578125" style="232" bestFit="1" customWidth="1"/>
    <col min="1543" max="1543" width="8.7109375" style="232" customWidth="1"/>
    <col min="1544" max="1544" width="10" style="232" bestFit="1" customWidth="1"/>
    <col min="1545" max="1545" width="13" style="232" bestFit="1" customWidth="1"/>
    <col min="1546" max="1546" width="15" style="232" bestFit="1" customWidth="1"/>
    <col min="1547" max="1548" width="15.28515625" style="232" bestFit="1" customWidth="1"/>
    <col min="1549" max="1549" width="15.85546875" style="232" customWidth="1"/>
    <col min="1550" max="1550" width="9.140625" style="232"/>
    <col min="1551" max="1551" width="16.28515625" style="232" customWidth="1"/>
    <col min="1552" max="1552" width="9.140625" style="232"/>
    <col min="1553" max="1553" width="9.7109375" style="232" bestFit="1" customWidth="1"/>
    <col min="1554" max="1791" width="9.140625" style="232"/>
    <col min="1792" max="1792" width="14.5703125" style="232" customWidth="1"/>
    <col min="1793" max="1793" width="11.7109375" style="232" bestFit="1" customWidth="1"/>
    <col min="1794" max="1794" width="9.85546875" style="232" customWidth="1"/>
    <col min="1795" max="1796" width="9.140625" style="232" customWidth="1"/>
    <col min="1797" max="1797" width="12.5703125" style="232" bestFit="1" customWidth="1"/>
    <col min="1798" max="1798" width="13.42578125" style="232" bestFit="1" customWidth="1"/>
    <col min="1799" max="1799" width="8.7109375" style="232" customWidth="1"/>
    <col min="1800" max="1800" width="10" style="232" bestFit="1" customWidth="1"/>
    <col min="1801" max="1801" width="13" style="232" bestFit="1" customWidth="1"/>
    <col min="1802" max="1802" width="15" style="232" bestFit="1" customWidth="1"/>
    <col min="1803" max="1804" width="15.28515625" style="232" bestFit="1" customWidth="1"/>
    <col min="1805" max="1805" width="15.85546875" style="232" customWidth="1"/>
    <col min="1806" max="1806" width="9.140625" style="232"/>
    <col min="1807" max="1807" width="16.28515625" style="232" customWidth="1"/>
    <col min="1808" max="1808" width="9.140625" style="232"/>
    <col min="1809" max="1809" width="9.7109375" style="232" bestFit="1" customWidth="1"/>
    <col min="1810" max="2047" width="9.140625" style="232"/>
    <col min="2048" max="2048" width="14.5703125" style="232" customWidth="1"/>
    <col min="2049" max="2049" width="11.7109375" style="232" bestFit="1" customWidth="1"/>
    <col min="2050" max="2050" width="9.85546875" style="232" customWidth="1"/>
    <col min="2051" max="2052" width="9.140625" style="232" customWidth="1"/>
    <col min="2053" max="2053" width="12.5703125" style="232" bestFit="1" customWidth="1"/>
    <col min="2054" max="2054" width="13.42578125" style="232" bestFit="1" customWidth="1"/>
    <col min="2055" max="2055" width="8.7109375" style="232" customWidth="1"/>
    <col min="2056" max="2056" width="10" style="232" bestFit="1" customWidth="1"/>
    <col min="2057" max="2057" width="13" style="232" bestFit="1" customWidth="1"/>
    <col min="2058" max="2058" width="15" style="232" bestFit="1" customWidth="1"/>
    <col min="2059" max="2060" width="15.28515625" style="232" bestFit="1" customWidth="1"/>
    <col min="2061" max="2061" width="15.85546875" style="232" customWidth="1"/>
    <col min="2062" max="2062" width="9.140625" style="232"/>
    <col min="2063" max="2063" width="16.28515625" style="232" customWidth="1"/>
    <col min="2064" max="2064" width="9.140625" style="232"/>
    <col min="2065" max="2065" width="9.7109375" style="232" bestFit="1" customWidth="1"/>
    <col min="2066" max="2303" width="9.140625" style="232"/>
    <col min="2304" max="2304" width="14.5703125" style="232" customWidth="1"/>
    <col min="2305" max="2305" width="11.7109375" style="232" bestFit="1" customWidth="1"/>
    <col min="2306" max="2306" width="9.85546875" style="232" customWidth="1"/>
    <col min="2307" max="2308" width="9.140625" style="232" customWidth="1"/>
    <col min="2309" max="2309" width="12.5703125" style="232" bestFit="1" customWidth="1"/>
    <col min="2310" max="2310" width="13.42578125" style="232" bestFit="1" customWidth="1"/>
    <col min="2311" max="2311" width="8.7109375" style="232" customWidth="1"/>
    <col min="2312" max="2312" width="10" style="232" bestFit="1" customWidth="1"/>
    <col min="2313" max="2313" width="13" style="232" bestFit="1" customWidth="1"/>
    <col min="2314" max="2314" width="15" style="232" bestFit="1" customWidth="1"/>
    <col min="2315" max="2316" width="15.28515625" style="232" bestFit="1" customWidth="1"/>
    <col min="2317" max="2317" width="15.85546875" style="232" customWidth="1"/>
    <col min="2318" max="2318" width="9.140625" style="232"/>
    <col min="2319" max="2319" width="16.28515625" style="232" customWidth="1"/>
    <col min="2320" max="2320" width="9.140625" style="232"/>
    <col min="2321" max="2321" width="9.7109375" style="232" bestFit="1" customWidth="1"/>
    <col min="2322" max="2559" width="9.140625" style="232"/>
    <col min="2560" max="2560" width="14.5703125" style="232" customWidth="1"/>
    <col min="2561" max="2561" width="11.7109375" style="232" bestFit="1" customWidth="1"/>
    <col min="2562" max="2562" width="9.85546875" style="232" customWidth="1"/>
    <col min="2563" max="2564" width="9.140625" style="232" customWidth="1"/>
    <col min="2565" max="2565" width="12.5703125" style="232" bestFit="1" customWidth="1"/>
    <col min="2566" max="2566" width="13.42578125" style="232" bestFit="1" customWidth="1"/>
    <col min="2567" max="2567" width="8.7109375" style="232" customWidth="1"/>
    <col min="2568" max="2568" width="10" style="232" bestFit="1" customWidth="1"/>
    <col min="2569" max="2569" width="13" style="232" bestFit="1" customWidth="1"/>
    <col min="2570" max="2570" width="15" style="232" bestFit="1" customWidth="1"/>
    <col min="2571" max="2572" width="15.28515625" style="232" bestFit="1" customWidth="1"/>
    <col min="2573" max="2573" width="15.85546875" style="232" customWidth="1"/>
    <col min="2574" max="2574" width="9.140625" style="232"/>
    <col min="2575" max="2575" width="16.28515625" style="232" customWidth="1"/>
    <col min="2576" max="2576" width="9.140625" style="232"/>
    <col min="2577" max="2577" width="9.7109375" style="232" bestFit="1" customWidth="1"/>
    <col min="2578" max="2815" width="9.140625" style="232"/>
    <col min="2816" max="2816" width="14.5703125" style="232" customWidth="1"/>
    <col min="2817" max="2817" width="11.7109375" style="232" bestFit="1" customWidth="1"/>
    <col min="2818" max="2818" width="9.85546875" style="232" customWidth="1"/>
    <col min="2819" max="2820" width="9.140625" style="232" customWidth="1"/>
    <col min="2821" max="2821" width="12.5703125" style="232" bestFit="1" customWidth="1"/>
    <col min="2822" max="2822" width="13.42578125" style="232" bestFit="1" customWidth="1"/>
    <col min="2823" max="2823" width="8.7109375" style="232" customWidth="1"/>
    <col min="2824" max="2824" width="10" style="232" bestFit="1" customWidth="1"/>
    <col min="2825" max="2825" width="13" style="232" bestFit="1" customWidth="1"/>
    <col min="2826" max="2826" width="15" style="232" bestFit="1" customWidth="1"/>
    <col min="2827" max="2828" width="15.28515625" style="232" bestFit="1" customWidth="1"/>
    <col min="2829" max="2829" width="15.85546875" style="232" customWidth="1"/>
    <col min="2830" max="2830" width="9.140625" style="232"/>
    <col min="2831" max="2831" width="16.28515625" style="232" customWidth="1"/>
    <col min="2832" max="2832" width="9.140625" style="232"/>
    <col min="2833" max="2833" width="9.7109375" style="232" bestFit="1" customWidth="1"/>
    <col min="2834" max="3071" width="9.140625" style="232"/>
    <col min="3072" max="3072" width="14.5703125" style="232" customWidth="1"/>
    <col min="3073" max="3073" width="11.7109375" style="232" bestFit="1" customWidth="1"/>
    <col min="3074" max="3074" width="9.85546875" style="232" customWidth="1"/>
    <col min="3075" max="3076" width="9.140625" style="232" customWidth="1"/>
    <col min="3077" max="3077" width="12.5703125" style="232" bestFit="1" customWidth="1"/>
    <col min="3078" max="3078" width="13.42578125" style="232" bestFit="1" customWidth="1"/>
    <col min="3079" max="3079" width="8.7109375" style="232" customWidth="1"/>
    <col min="3080" max="3080" width="10" style="232" bestFit="1" customWidth="1"/>
    <col min="3081" max="3081" width="13" style="232" bestFit="1" customWidth="1"/>
    <col min="3082" max="3082" width="15" style="232" bestFit="1" customWidth="1"/>
    <col min="3083" max="3084" width="15.28515625" style="232" bestFit="1" customWidth="1"/>
    <col min="3085" max="3085" width="15.85546875" style="232" customWidth="1"/>
    <col min="3086" max="3086" width="9.140625" style="232"/>
    <col min="3087" max="3087" width="16.28515625" style="232" customWidth="1"/>
    <col min="3088" max="3088" width="9.140625" style="232"/>
    <col min="3089" max="3089" width="9.7109375" style="232" bestFit="1" customWidth="1"/>
    <col min="3090" max="3327" width="9.140625" style="232"/>
    <col min="3328" max="3328" width="14.5703125" style="232" customWidth="1"/>
    <col min="3329" max="3329" width="11.7109375" style="232" bestFit="1" customWidth="1"/>
    <col min="3330" max="3330" width="9.85546875" style="232" customWidth="1"/>
    <col min="3331" max="3332" width="9.140625" style="232" customWidth="1"/>
    <col min="3333" max="3333" width="12.5703125" style="232" bestFit="1" customWidth="1"/>
    <col min="3334" max="3334" width="13.42578125" style="232" bestFit="1" customWidth="1"/>
    <col min="3335" max="3335" width="8.7109375" style="232" customWidth="1"/>
    <col min="3336" max="3336" width="10" style="232" bestFit="1" customWidth="1"/>
    <col min="3337" max="3337" width="13" style="232" bestFit="1" customWidth="1"/>
    <col min="3338" max="3338" width="15" style="232" bestFit="1" customWidth="1"/>
    <col min="3339" max="3340" width="15.28515625" style="232" bestFit="1" customWidth="1"/>
    <col min="3341" max="3341" width="15.85546875" style="232" customWidth="1"/>
    <col min="3342" max="3342" width="9.140625" style="232"/>
    <col min="3343" max="3343" width="16.28515625" style="232" customWidth="1"/>
    <col min="3344" max="3344" width="9.140625" style="232"/>
    <col min="3345" max="3345" width="9.7109375" style="232" bestFit="1" customWidth="1"/>
    <col min="3346" max="3583" width="9.140625" style="232"/>
    <col min="3584" max="3584" width="14.5703125" style="232" customWidth="1"/>
    <col min="3585" max="3585" width="11.7109375" style="232" bestFit="1" customWidth="1"/>
    <col min="3586" max="3586" width="9.85546875" style="232" customWidth="1"/>
    <col min="3587" max="3588" width="9.140625" style="232" customWidth="1"/>
    <col min="3589" max="3589" width="12.5703125" style="232" bestFit="1" customWidth="1"/>
    <col min="3590" max="3590" width="13.42578125" style="232" bestFit="1" customWidth="1"/>
    <col min="3591" max="3591" width="8.7109375" style="232" customWidth="1"/>
    <col min="3592" max="3592" width="10" style="232" bestFit="1" customWidth="1"/>
    <col min="3593" max="3593" width="13" style="232" bestFit="1" customWidth="1"/>
    <col min="3594" max="3594" width="15" style="232" bestFit="1" customWidth="1"/>
    <col min="3595" max="3596" width="15.28515625" style="232" bestFit="1" customWidth="1"/>
    <col min="3597" max="3597" width="15.85546875" style="232" customWidth="1"/>
    <col min="3598" max="3598" width="9.140625" style="232"/>
    <col min="3599" max="3599" width="16.28515625" style="232" customWidth="1"/>
    <col min="3600" max="3600" width="9.140625" style="232"/>
    <col min="3601" max="3601" width="9.7109375" style="232" bestFit="1" customWidth="1"/>
    <col min="3602" max="3839" width="9.140625" style="232"/>
    <col min="3840" max="3840" width="14.5703125" style="232" customWidth="1"/>
    <col min="3841" max="3841" width="11.7109375" style="232" bestFit="1" customWidth="1"/>
    <col min="3842" max="3842" width="9.85546875" style="232" customWidth="1"/>
    <col min="3843" max="3844" width="9.140625" style="232" customWidth="1"/>
    <col min="3845" max="3845" width="12.5703125" style="232" bestFit="1" customWidth="1"/>
    <col min="3846" max="3846" width="13.42578125" style="232" bestFit="1" customWidth="1"/>
    <col min="3847" max="3847" width="8.7109375" style="232" customWidth="1"/>
    <col min="3848" max="3848" width="10" style="232" bestFit="1" customWidth="1"/>
    <col min="3849" max="3849" width="13" style="232" bestFit="1" customWidth="1"/>
    <col min="3850" max="3850" width="15" style="232" bestFit="1" customWidth="1"/>
    <col min="3851" max="3852" width="15.28515625" style="232" bestFit="1" customWidth="1"/>
    <col min="3853" max="3853" width="15.85546875" style="232" customWidth="1"/>
    <col min="3854" max="3854" width="9.140625" style="232"/>
    <col min="3855" max="3855" width="16.28515625" style="232" customWidth="1"/>
    <col min="3856" max="3856" width="9.140625" style="232"/>
    <col min="3857" max="3857" width="9.7109375" style="232" bestFit="1" customWidth="1"/>
    <col min="3858" max="4095" width="9.140625" style="232"/>
    <col min="4096" max="4096" width="14.5703125" style="232" customWidth="1"/>
    <col min="4097" max="4097" width="11.7109375" style="232" bestFit="1" customWidth="1"/>
    <col min="4098" max="4098" width="9.85546875" style="232" customWidth="1"/>
    <col min="4099" max="4100" width="9.140625" style="232" customWidth="1"/>
    <col min="4101" max="4101" width="12.5703125" style="232" bestFit="1" customWidth="1"/>
    <col min="4102" max="4102" width="13.42578125" style="232" bestFit="1" customWidth="1"/>
    <col min="4103" max="4103" width="8.7109375" style="232" customWidth="1"/>
    <col min="4104" max="4104" width="10" style="232" bestFit="1" customWidth="1"/>
    <col min="4105" max="4105" width="13" style="232" bestFit="1" customWidth="1"/>
    <col min="4106" max="4106" width="15" style="232" bestFit="1" customWidth="1"/>
    <col min="4107" max="4108" width="15.28515625" style="232" bestFit="1" customWidth="1"/>
    <col min="4109" max="4109" width="15.85546875" style="232" customWidth="1"/>
    <col min="4110" max="4110" width="9.140625" style="232"/>
    <col min="4111" max="4111" width="16.28515625" style="232" customWidth="1"/>
    <col min="4112" max="4112" width="9.140625" style="232"/>
    <col min="4113" max="4113" width="9.7109375" style="232" bestFit="1" customWidth="1"/>
    <col min="4114" max="4351" width="9.140625" style="232"/>
    <col min="4352" max="4352" width="14.5703125" style="232" customWidth="1"/>
    <col min="4353" max="4353" width="11.7109375" style="232" bestFit="1" customWidth="1"/>
    <col min="4354" max="4354" width="9.85546875" style="232" customWidth="1"/>
    <col min="4355" max="4356" width="9.140625" style="232" customWidth="1"/>
    <col min="4357" max="4357" width="12.5703125" style="232" bestFit="1" customWidth="1"/>
    <col min="4358" max="4358" width="13.42578125" style="232" bestFit="1" customWidth="1"/>
    <col min="4359" max="4359" width="8.7109375" style="232" customWidth="1"/>
    <col min="4360" max="4360" width="10" style="232" bestFit="1" customWidth="1"/>
    <col min="4361" max="4361" width="13" style="232" bestFit="1" customWidth="1"/>
    <col min="4362" max="4362" width="15" style="232" bestFit="1" customWidth="1"/>
    <col min="4363" max="4364" width="15.28515625" style="232" bestFit="1" customWidth="1"/>
    <col min="4365" max="4365" width="15.85546875" style="232" customWidth="1"/>
    <col min="4366" max="4366" width="9.140625" style="232"/>
    <col min="4367" max="4367" width="16.28515625" style="232" customWidth="1"/>
    <col min="4368" max="4368" width="9.140625" style="232"/>
    <col min="4369" max="4369" width="9.7109375" style="232" bestFit="1" customWidth="1"/>
    <col min="4370" max="4607" width="9.140625" style="232"/>
    <col min="4608" max="4608" width="14.5703125" style="232" customWidth="1"/>
    <col min="4609" max="4609" width="11.7109375" style="232" bestFit="1" customWidth="1"/>
    <col min="4610" max="4610" width="9.85546875" style="232" customWidth="1"/>
    <col min="4611" max="4612" width="9.140625" style="232" customWidth="1"/>
    <col min="4613" max="4613" width="12.5703125" style="232" bestFit="1" customWidth="1"/>
    <col min="4614" max="4614" width="13.42578125" style="232" bestFit="1" customWidth="1"/>
    <col min="4615" max="4615" width="8.7109375" style="232" customWidth="1"/>
    <col min="4616" max="4616" width="10" style="232" bestFit="1" customWidth="1"/>
    <col min="4617" max="4617" width="13" style="232" bestFit="1" customWidth="1"/>
    <col min="4618" max="4618" width="15" style="232" bestFit="1" customWidth="1"/>
    <col min="4619" max="4620" width="15.28515625" style="232" bestFit="1" customWidth="1"/>
    <col min="4621" max="4621" width="15.85546875" style="232" customWidth="1"/>
    <col min="4622" max="4622" width="9.140625" style="232"/>
    <col min="4623" max="4623" width="16.28515625" style="232" customWidth="1"/>
    <col min="4624" max="4624" width="9.140625" style="232"/>
    <col min="4625" max="4625" width="9.7109375" style="232" bestFit="1" customWidth="1"/>
    <col min="4626" max="4863" width="9.140625" style="232"/>
    <col min="4864" max="4864" width="14.5703125" style="232" customWidth="1"/>
    <col min="4865" max="4865" width="11.7109375" style="232" bestFit="1" customWidth="1"/>
    <col min="4866" max="4866" width="9.85546875" style="232" customWidth="1"/>
    <col min="4867" max="4868" width="9.140625" style="232" customWidth="1"/>
    <col min="4869" max="4869" width="12.5703125" style="232" bestFit="1" customWidth="1"/>
    <col min="4870" max="4870" width="13.42578125" style="232" bestFit="1" customWidth="1"/>
    <col min="4871" max="4871" width="8.7109375" style="232" customWidth="1"/>
    <col min="4872" max="4872" width="10" style="232" bestFit="1" customWidth="1"/>
    <col min="4873" max="4873" width="13" style="232" bestFit="1" customWidth="1"/>
    <col min="4874" max="4874" width="15" style="232" bestFit="1" customWidth="1"/>
    <col min="4875" max="4876" width="15.28515625" style="232" bestFit="1" customWidth="1"/>
    <col min="4877" max="4877" width="15.85546875" style="232" customWidth="1"/>
    <col min="4878" max="4878" width="9.140625" style="232"/>
    <col min="4879" max="4879" width="16.28515625" style="232" customWidth="1"/>
    <col min="4880" max="4880" width="9.140625" style="232"/>
    <col min="4881" max="4881" width="9.7109375" style="232" bestFit="1" customWidth="1"/>
    <col min="4882" max="5119" width="9.140625" style="232"/>
    <col min="5120" max="5120" width="14.5703125" style="232" customWidth="1"/>
    <col min="5121" max="5121" width="11.7109375" style="232" bestFit="1" customWidth="1"/>
    <col min="5122" max="5122" width="9.85546875" style="232" customWidth="1"/>
    <col min="5123" max="5124" width="9.140625" style="232" customWidth="1"/>
    <col min="5125" max="5125" width="12.5703125" style="232" bestFit="1" customWidth="1"/>
    <col min="5126" max="5126" width="13.42578125" style="232" bestFit="1" customWidth="1"/>
    <col min="5127" max="5127" width="8.7109375" style="232" customWidth="1"/>
    <col min="5128" max="5128" width="10" style="232" bestFit="1" customWidth="1"/>
    <col min="5129" max="5129" width="13" style="232" bestFit="1" customWidth="1"/>
    <col min="5130" max="5130" width="15" style="232" bestFit="1" customWidth="1"/>
    <col min="5131" max="5132" width="15.28515625" style="232" bestFit="1" customWidth="1"/>
    <col min="5133" max="5133" width="15.85546875" style="232" customWidth="1"/>
    <col min="5134" max="5134" width="9.140625" style="232"/>
    <col min="5135" max="5135" width="16.28515625" style="232" customWidth="1"/>
    <col min="5136" max="5136" width="9.140625" style="232"/>
    <col min="5137" max="5137" width="9.7109375" style="232" bestFit="1" customWidth="1"/>
    <col min="5138" max="5375" width="9.140625" style="232"/>
    <col min="5376" max="5376" width="14.5703125" style="232" customWidth="1"/>
    <col min="5377" max="5377" width="11.7109375" style="232" bestFit="1" customWidth="1"/>
    <col min="5378" max="5378" width="9.85546875" style="232" customWidth="1"/>
    <col min="5379" max="5380" width="9.140625" style="232" customWidth="1"/>
    <col min="5381" max="5381" width="12.5703125" style="232" bestFit="1" customWidth="1"/>
    <col min="5382" max="5382" width="13.42578125" style="232" bestFit="1" customWidth="1"/>
    <col min="5383" max="5383" width="8.7109375" style="232" customWidth="1"/>
    <col min="5384" max="5384" width="10" style="232" bestFit="1" customWidth="1"/>
    <col min="5385" max="5385" width="13" style="232" bestFit="1" customWidth="1"/>
    <col min="5386" max="5386" width="15" style="232" bestFit="1" customWidth="1"/>
    <col min="5387" max="5388" width="15.28515625" style="232" bestFit="1" customWidth="1"/>
    <col min="5389" max="5389" width="15.85546875" style="232" customWidth="1"/>
    <col min="5390" max="5390" width="9.140625" style="232"/>
    <col min="5391" max="5391" width="16.28515625" style="232" customWidth="1"/>
    <col min="5392" max="5392" width="9.140625" style="232"/>
    <col min="5393" max="5393" width="9.7109375" style="232" bestFit="1" customWidth="1"/>
    <col min="5394" max="5631" width="9.140625" style="232"/>
    <col min="5632" max="5632" width="14.5703125" style="232" customWidth="1"/>
    <col min="5633" max="5633" width="11.7109375" style="232" bestFit="1" customWidth="1"/>
    <col min="5634" max="5634" width="9.85546875" style="232" customWidth="1"/>
    <col min="5635" max="5636" width="9.140625" style="232" customWidth="1"/>
    <col min="5637" max="5637" width="12.5703125" style="232" bestFit="1" customWidth="1"/>
    <col min="5638" max="5638" width="13.42578125" style="232" bestFit="1" customWidth="1"/>
    <col min="5639" max="5639" width="8.7109375" style="232" customWidth="1"/>
    <col min="5640" max="5640" width="10" style="232" bestFit="1" customWidth="1"/>
    <col min="5641" max="5641" width="13" style="232" bestFit="1" customWidth="1"/>
    <col min="5642" max="5642" width="15" style="232" bestFit="1" customWidth="1"/>
    <col min="5643" max="5644" width="15.28515625" style="232" bestFit="1" customWidth="1"/>
    <col min="5645" max="5645" width="15.85546875" style="232" customWidth="1"/>
    <col min="5646" max="5646" width="9.140625" style="232"/>
    <col min="5647" max="5647" width="16.28515625" style="232" customWidth="1"/>
    <col min="5648" max="5648" width="9.140625" style="232"/>
    <col min="5649" max="5649" width="9.7109375" style="232" bestFit="1" customWidth="1"/>
    <col min="5650" max="5887" width="9.140625" style="232"/>
    <col min="5888" max="5888" width="14.5703125" style="232" customWidth="1"/>
    <col min="5889" max="5889" width="11.7109375" style="232" bestFit="1" customWidth="1"/>
    <col min="5890" max="5890" width="9.85546875" style="232" customWidth="1"/>
    <col min="5891" max="5892" width="9.140625" style="232" customWidth="1"/>
    <col min="5893" max="5893" width="12.5703125" style="232" bestFit="1" customWidth="1"/>
    <col min="5894" max="5894" width="13.42578125" style="232" bestFit="1" customWidth="1"/>
    <col min="5895" max="5895" width="8.7109375" style="232" customWidth="1"/>
    <col min="5896" max="5896" width="10" style="232" bestFit="1" customWidth="1"/>
    <col min="5897" max="5897" width="13" style="232" bestFit="1" customWidth="1"/>
    <col min="5898" max="5898" width="15" style="232" bestFit="1" customWidth="1"/>
    <col min="5899" max="5900" width="15.28515625" style="232" bestFit="1" customWidth="1"/>
    <col min="5901" max="5901" width="15.85546875" style="232" customWidth="1"/>
    <col min="5902" max="5902" width="9.140625" style="232"/>
    <col min="5903" max="5903" width="16.28515625" style="232" customWidth="1"/>
    <col min="5904" max="5904" width="9.140625" style="232"/>
    <col min="5905" max="5905" width="9.7109375" style="232" bestFit="1" customWidth="1"/>
    <col min="5906" max="6143" width="9.140625" style="232"/>
    <col min="6144" max="6144" width="14.5703125" style="232" customWidth="1"/>
    <col min="6145" max="6145" width="11.7109375" style="232" bestFit="1" customWidth="1"/>
    <col min="6146" max="6146" width="9.85546875" style="232" customWidth="1"/>
    <col min="6147" max="6148" width="9.140625" style="232" customWidth="1"/>
    <col min="6149" max="6149" width="12.5703125" style="232" bestFit="1" customWidth="1"/>
    <col min="6150" max="6150" width="13.42578125" style="232" bestFit="1" customWidth="1"/>
    <col min="6151" max="6151" width="8.7109375" style="232" customWidth="1"/>
    <col min="6152" max="6152" width="10" style="232" bestFit="1" customWidth="1"/>
    <col min="6153" max="6153" width="13" style="232" bestFit="1" customWidth="1"/>
    <col min="6154" max="6154" width="15" style="232" bestFit="1" customWidth="1"/>
    <col min="6155" max="6156" width="15.28515625" style="232" bestFit="1" customWidth="1"/>
    <col min="6157" max="6157" width="15.85546875" style="232" customWidth="1"/>
    <col min="6158" max="6158" width="9.140625" style="232"/>
    <col min="6159" max="6159" width="16.28515625" style="232" customWidth="1"/>
    <col min="6160" max="6160" width="9.140625" style="232"/>
    <col min="6161" max="6161" width="9.7109375" style="232" bestFit="1" customWidth="1"/>
    <col min="6162" max="6399" width="9.140625" style="232"/>
    <col min="6400" max="6400" width="14.5703125" style="232" customWidth="1"/>
    <col min="6401" max="6401" width="11.7109375" style="232" bestFit="1" customWidth="1"/>
    <col min="6402" max="6402" width="9.85546875" style="232" customWidth="1"/>
    <col min="6403" max="6404" width="9.140625" style="232" customWidth="1"/>
    <col min="6405" max="6405" width="12.5703125" style="232" bestFit="1" customWidth="1"/>
    <col min="6406" max="6406" width="13.42578125" style="232" bestFit="1" customWidth="1"/>
    <col min="6407" max="6407" width="8.7109375" style="232" customWidth="1"/>
    <col min="6408" max="6408" width="10" style="232" bestFit="1" customWidth="1"/>
    <col min="6409" max="6409" width="13" style="232" bestFit="1" customWidth="1"/>
    <col min="6410" max="6410" width="15" style="232" bestFit="1" customWidth="1"/>
    <col min="6411" max="6412" width="15.28515625" style="232" bestFit="1" customWidth="1"/>
    <col min="6413" max="6413" width="15.85546875" style="232" customWidth="1"/>
    <col min="6414" max="6414" width="9.140625" style="232"/>
    <col min="6415" max="6415" width="16.28515625" style="232" customWidth="1"/>
    <col min="6416" max="6416" width="9.140625" style="232"/>
    <col min="6417" max="6417" width="9.7109375" style="232" bestFit="1" customWidth="1"/>
    <col min="6418" max="6655" width="9.140625" style="232"/>
    <col min="6656" max="6656" width="14.5703125" style="232" customWidth="1"/>
    <col min="6657" max="6657" width="11.7109375" style="232" bestFit="1" customWidth="1"/>
    <col min="6658" max="6658" width="9.85546875" style="232" customWidth="1"/>
    <col min="6659" max="6660" width="9.140625" style="232" customWidth="1"/>
    <col min="6661" max="6661" width="12.5703125" style="232" bestFit="1" customWidth="1"/>
    <col min="6662" max="6662" width="13.42578125" style="232" bestFit="1" customWidth="1"/>
    <col min="6663" max="6663" width="8.7109375" style="232" customWidth="1"/>
    <col min="6664" max="6664" width="10" style="232" bestFit="1" customWidth="1"/>
    <col min="6665" max="6665" width="13" style="232" bestFit="1" customWidth="1"/>
    <col min="6666" max="6666" width="15" style="232" bestFit="1" customWidth="1"/>
    <col min="6667" max="6668" width="15.28515625" style="232" bestFit="1" customWidth="1"/>
    <col min="6669" max="6669" width="15.85546875" style="232" customWidth="1"/>
    <col min="6670" max="6670" width="9.140625" style="232"/>
    <col min="6671" max="6671" width="16.28515625" style="232" customWidth="1"/>
    <col min="6672" max="6672" width="9.140625" style="232"/>
    <col min="6673" max="6673" width="9.7109375" style="232" bestFit="1" customWidth="1"/>
    <col min="6674" max="6911" width="9.140625" style="232"/>
    <col min="6912" max="6912" width="14.5703125" style="232" customWidth="1"/>
    <col min="6913" max="6913" width="11.7109375" style="232" bestFit="1" customWidth="1"/>
    <col min="6914" max="6914" width="9.85546875" style="232" customWidth="1"/>
    <col min="6915" max="6916" width="9.140625" style="232" customWidth="1"/>
    <col min="6917" max="6917" width="12.5703125" style="232" bestFit="1" customWidth="1"/>
    <col min="6918" max="6918" width="13.42578125" style="232" bestFit="1" customWidth="1"/>
    <col min="6919" max="6919" width="8.7109375" style="232" customWidth="1"/>
    <col min="6920" max="6920" width="10" style="232" bestFit="1" customWidth="1"/>
    <col min="6921" max="6921" width="13" style="232" bestFit="1" customWidth="1"/>
    <col min="6922" max="6922" width="15" style="232" bestFit="1" customWidth="1"/>
    <col min="6923" max="6924" width="15.28515625" style="232" bestFit="1" customWidth="1"/>
    <col min="6925" max="6925" width="15.85546875" style="232" customWidth="1"/>
    <col min="6926" max="6926" width="9.140625" style="232"/>
    <col min="6927" max="6927" width="16.28515625" style="232" customWidth="1"/>
    <col min="6928" max="6928" width="9.140625" style="232"/>
    <col min="6929" max="6929" width="9.7109375" style="232" bestFit="1" customWidth="1"/>
    <col min="6930" max="7167" width="9.140625" style="232"/>
    <col min="7168" max="7168" width="14.5703125" style="232" customWidth="1"/>
    <col min="7169" max="7169" width="11.7109375" style="232" bestFit="1" customWidth="1"/>
    <col min="7170" max="7170" width="9.85546875" style="232" customWidth="1"/>
    <col min="7171" max="7172" width="9.140625" style="232" customWidth="1"/>
    <col min="7173" max="7173" width="12.5703125" style="232" bestFit="1" customWidth="1"/>
    <col min="7174" max="7174" width="13.42578125" style="232" bestFit="1" customWidth="1"/>
    <col min="7175" max="7175" width="8.7109375" style="232" customWidth="1"/>
    <col min="7176" max="7176" width="10" style="232" bestFit="1" customWidth="1"/>
    <col min="7177" max="7177" width="13" style="232" bestFit="1" customWidth="1"/>
    <col min="7178" max="7178" width="15" style="232" bestFit="1" customWidth="1"/>
    <col min="7179" max="7180" width="15.28515625" style="232" bestFit="1" customWidth="1"/>
    <col min="7181" max="7181" width="15.85546875" style="232" customWidth="1"/>
    <col min="7182" max="7182" width="9.140625" style="232"/>
    <col min="7183" max="7183" width="16.28515625" style="232" customWidth="1"/>
    <col min="7184" max="7184" width="9.140625" style="232"/>
    <col min="7185" max="7185" width="9.7109375" style="232" bestFit="1" customWidth="1"/>
    <col min="7186" max="7423" width="9.140625" style="232"/>
    <col min="7424" max="7424" width="14.5703125" style="232" customWidth="1"/>
    <col min="7425" max="7425" width="11.7109375" style="232" bestFit="1" customWidth="1"/>
    <col min="7426" max="7426" width="9.85546875" style="232" customWidth="1"/>
    <col min="7427" max="7428" width="9.140625" style="232" customWidth="1"/>
    <col min="7429" max="7429" width="12.5703125" style="232" bestFit="1" customWidth="1"/>
    <col min="7430" max="7430" width="13.42578125" style="232" bestFit="1" customWidth="1"/>
    <col min="7431" max="7431" width="8.7109375" style="232" customWidth="1"/>
    <col min="7432" max="7432" width="10" style="232" bestFit="1" customWidth="1"/>
    <col min="7433" max="7433" width="13" style="232" bestFit="1" customWidth="1"/>
    <col min="7434" max="7434" width="15" style="232" bestFit="1" customWidth="1"/>
    <col min="7435" max="7436" width="15.28515625" style="232" bestFit="1" customWidth="1"/>
    <col min="7437" max="7437" width="15.85546875" style="232" customWidth="1"/>
    <col min="7438" max="7438" width="9.140625" style="232"/>
    <col min="7439" max="7439" width="16.28515625" style="232" customWidth="1"/>
    <col min="7440" max="7440" width="9.140625" style="232"/>
    <col min="7441" max="7441" width="9.7109375" style="232" bestFit="1" customWidth="1"/>
    <col min="7442" max="7679" width="9.140625" style="232"/>
    <col min="7680" max="7680" width="14.5703125" style="232" customWidth="1"/>
    <col min="7681" max="7681" width="11.7109375" style="232" bestFit="1" customWidth="1"/>
    <col min="7682" max="7682" width="9.85546875" style="232" customWidth="1"/>
    <col min="7683" max="7684" width="9.140625" style="232" customWidth="1"/>
    <col min="7685" max="7685" width="12.5703125" style="232" bestFit="1" customWidth="1"/>
    <col min="7686" max="7686" width="13.42578125" style="232" bestFit="1" customWidth="1"/>
    <col min="7687" max="7687" width="8.7109375" style="232" customWidth="1"/>
    <col min="7688" max="7688" width="10" style="232" bestFit="1" customWidth="1"/>
    <col min="7689" max="7689" width="13" style="232" bestFit="1" customWidth="1"/>
    <col min="7690" max="7690" width="15" style="232" bestFit="1" customWidth="1"/>
    <col min="7691" max="7692" width="15.28515625" style="232" bestFit="1" customWidth="1"/>
    <col min="7693" max="7693" width="15.85546875" style="232" customWidth="1"/>
    <col min="7694" max="7694" width="9.140625" style="232"/>
    <col min="7695" max="7695" width="16.28515625" style="232" customWidth="1"/>
    <col min="7696" max="7696" width="9.140625" style="232"/>
    <col min="7697" max="7697" width="9.7109375" style="232" bestFit="1" customWidth="1"/>
    <col min="7698" max="7935" width="9.140625" style="232"/>
    <col min="7936" max="7936" width="14.5703125" style="232" customWidth="1"/>
    <col min="7937" max="7937" width="11.7109375" style="232" bestFit="1" customWidth="1"/>
    <col min="7938" max="7938" width="9.85546875" style="232" customWidth="1"/>
    <col min="7939" max="7940" width="9.140625" style="232" customWidth="1"/>
    <col min="7941" max="7941" width="12.5703125" style="232" bestFit="1" customWidth="1"/>
    <col min="7942" max="7942" width="13.42578125" style="232" bestFit="1" customWidth="1"/>
    <col min="7943" max="7943" width="8.7109375" style="232" customWidth="1"/>
    <col min="7944" max="7944" width="10" style="232" bestFit="1" customWidth="1"/>
    <col min="7945" max="7945" width="13" style="232" bestFit="1" customWidth="1"/>
    <col min="7946" max="7946" width="15" style="232" bestFit="1" customWidth="1"/>
    <col min="7947" max="7948" width="15.28515625" style="232" bestFit="1" customWidth="1"/>
    <col min="7949" max="7949" width="15.85546875" style="232" customWidth="1"/>
    <col min="7950" max="7950" width="9.140625" style="232"/>
    <col min="7951" max="7951" width="16.28515625" style="232" customWidth="1"/>
    <col min="7952" max="7952" width="9.140625" style="232"/>
    <col min="7953" max="7953" width="9.7109375" style="232" bestFit="1" customWidth="1"/>
    <col min="7954" max="8191" width="9.140625" style="232"/>
    <col min="8192" max="8192" width="14.5703125" style="232" customWidth="1"/>
    <col min="8193" max="8193" width="11.7109375" style="232" bestFit="1" customWidth="1"/>
    <col min="8194" max="8194" width="9.85546875" style="232" customWidth="1"/>
    <col min="8195" max="8196" width="9.140625" style="232" customWidth="1"/>
    <col min="8197" max="8197" width="12.5703125" style="232" bestFit="1" customWidth="1"/>
    <col min="8198" max="8198" width="13.42578125" style="232" bestFit="1" customWidth="1"/>
    <col min="8199" max="8199" width="8.7109375" style="232" customWidth="1"/>
    <col min="8200" max="8200" width="10" style="232" bestFit="1" customWidth="1"/>
    <col min="8201" max="8201" width="13" style="232" bestFit="1" customWidth="1"/>
    <col min="8202" max="8202" width="15" style="232" bestFit="1" customWidth="1"/>
    <col min="8203" max="8204" width="15.28515625" style="232" bestFit="1" customWidth="1"/>
    <col min="8205" max="8205" width="15.85546875" style="232" customWidth="1"/>
    <col min="8206" max="8206" width="9.140625" style="232"/>
    <col min="8207" max="8207" width="16.28515625" style="232" customWidth="1"/>
    <col min="8208" max="8208" width="9.140625" style="232"/>
    <col min="8209" max="8209" width="9.7109375" style="232" bestFit="1" customWidth="1"/>
    <col min="8210" max="8447" width="9.140625" style="232"/>
    <col min="8448" max="8448" width="14.5703125" style="232" customWidth="1"/>
    <col min="8449" max="8449" width="11.7109375" style="232" bestFit="1" customWidth="1"/>
    <col min="8450" max="8450" width="9.85546875" style="232" customWidth="1"/>
    <col min="8451" max="8452" width="9.140625" style="232" customWidth="1"/>
    <col min="8453" max="8453" width="12.5703125" style="232" bestFit="1" customWidth="1"/>
    <col min="8454" max="8454" width="13.42578125" style="232" bestFit="1" customWidth="1"/>
    <col min="8455" max="8455" width="8.7109375" style="232" customWidth="1"/>
    <col min="8456" max="8456" width="10" style="232" bestFit="1" customWidth="1"/>
    <col min="8457" max="8457" width="13" style="232" bestFit="1" customWidth="1"/>
    <col min="8458" max="8458" width="15" style="232" bestFit="1" customWidth="1"/>
    <col min="8459" max="8460" width="15.28515625" style="232" bestFit="1" customWidth="1"/>
    <col min="8461" max="8461" width="15.85546875" style="232" customWidth="1"/>
    <col min="8462" max="8462" width="9.140625" style="232"/>
    <col min="8463" max="8463" width="16.28515625" style="232" customWidth="1"/>
    <col min="8464" max="8464" width="9.140625" style="232"/>
    <col min="8465" max="8465" width="9.7109375" style="232" bestFit="1" customWidth="1"/>
    <col min="8466" max="8703" width="9.140625" style="232"/>
    <col min="8704" max="8704" width="14.5703125" style="232" customWidth="1"/>
    <col min="8705" max="8705" width="11.7109375" style="232" bestFit="1" customWidth="1"/>
    <col min="8706" max="8706" width="9.85546875" style="232" customWidth="1"/>
    <col min="8707" max="8708" width="9.140625" style="232" customWidth="1"/>
    <col min="8709" max="8709" width="12.5703125" style="232" bestFit="1" customWidth="1"/>
    <col min="8710" max="8710" width="13.42578125" style="232" bestFit="1" customWidth="1"/>
    <col min="8711" max="8711" width="8.7109375" style="232" customWidth="1"/>
    <col min="8712" max="8712" width="10" style="232" bestFit="1" customWidth="1"/>
    <col min="8713" max="8713" width="13" style="232" bestFit="1" customWidth="1"/>
    <col min="8714" max="8714" width="15" style="232" bestFit="1" customWidth="1"/>
    <col min="8715" max="8716" width="15.28515625" style="232" bestFit="1" customWidth="1"/>
    <col min="8717" max="8717" width="15.85546875" style="232" customWidth="1"/>
    <col min="8718" max="8718" width="9.140625" style="232"/>
    <col min="8719" max="8719" width="16.28515625" style="232" customWidth="1"/>
    <col min="8720" max="8720" width="9.140625" style="232"/>
    <col min="8721" max="8721" width="9.7109375" style="232" bestFit="1" customWidth="1"/>
    <col min="8722" max="8959" width="9.140625" style="232"/>
    <col min="8960" max="8960" width="14.5703125" style="232" customWidth="1"/>
    <col min="8961" max="8961" width="11.7109375" style="232" bestFit="1" customWidth="1"/>
    <col min="8962" max="8962" width="9.85546875" style="232" customWidth="1"/>
    <col min="8963" max="8964" width="9.140625" style="232" customWidth="1"/>
    <col min="8965" max="8965" width="12.5703125" style="232" bestFit="1" customWidth="1"/>
    <col min="8966" max="8966" width="13.42578125" style="232" bestFit="1" customWidth="1"/>
    <col min="8967" max="8967" width="8.7109375" style="232" customWidth="1"/>
    <col min="8968" max="8968" width="10" style="232" bestFit="1" customWidth="1"/>
    <col min="8969" max="8969" width="13" style="232" bestFit="1" customWidth="1"/>
    <col min="8970" max="8970" width="15" style="232" bestFit="1" customWidth="1"/>
    <col min="8971" max="8972" width="15.28515625" style="232" bestFit="1" customWidth="1"/>
    <col min="8973" max="8973" width="15.85546875" style="232" customWidth="1"/>
    <col min="8974" max="8974" width="9.140625" style="232"/>
    <col min="8975" max="8975" width="16.28515625" style="232" customWidth="1"/>
    <col min="8976" max="8976" width="9.140625" style="232"/>
    <col min="8977" max="8977" width="9.7109375" style="232" bestFit="1" customWidth="1"/>
    <col min="8978" max="9215" width="9.140625" style="232"/>
    <col min="9216" max="9216" width="14.5703125" style="232" customWidth="1"/>
    <col min="9217" max="9217" width="11.7109375" style="232" bestFit="1" customWidth="1"/>
    <col min="9218" max="9218" width="9.85546875" style="232" customWidth="1"/>
    <col min="9219" max="9220" width="9.140625" style="232" customWidth="1"/>
    <col min="9221" max="9221" width="12.5703125" style="232" bestFit="1" customWidth="1"/>
    <col min="9222" max="9222" width="13.42578125" style="232" bestFit="1" customWidth="1"/>
    <col min="9223" max="9223" width="8.7109375" style="232" customWidth="1"/>
    <col min="9224" max="9224" width="10" style="232" bestFit="1" customWidth="1"/>
    <col min="9225" max="9225" width="13" style="232" bestFit="1" customWidth="1"/>
    <col min="9226" max="9226" width="15" style="232" bestFit="1" customWidth="1"/>
    <col min="9227" max="9228" width="15.28515625" style="232" bestFit="1" customWidth="1"/>
    <col min="9229" max="9229" width="15.85546875" style="232" customWidth="1"/>
    <col min="9230" max="9230" width="9.140625" style="232"/>
    <col min="9231" max="9231" width="16.28515625" style="232" customWidth="1"/>
    <col min="9232" max="9232" width="9.140625" style="232"/>
    <col min="9233" max="9233" width="9.7109375" style="232" bestFit="1" customWidth="1"/>
    <col min="9234" max="9471" width="9.140625" style="232"/>
    <col min="9472" max="9472" width="14.5703125" style="232" customWidth="1"/>
    <col min="9473" max="9473" width="11.7109375" style="232" bestFit="1" customWidth="1"/>
    <col min="9474" max="9474" width="9.85546875" style="232" customWidth="1"/>
    <col min="9475" max="9476" width="9.140625" style="232" customWidth="1"/>
    <col min="9477" max="9477" width="12.5703125" style="232" bestFit="1" customWidth="1"/>
    <col min="9478" max="9478" width="13.42578125" style="232" bestFit="1" customWidth="1"/>
    <col min="9479" max="9479" width="8.7109375" style="232" customWidth="1"/>
    <col min="9480" max="9480" width="10" style="232" bestFit="1" customWidth="1"/>
    <col min="9481" max="9481" width="13" style="232" bestFit="1" customWidth="1"/>
    <col min="9482" max="9482" width="15" style="232" bestFit="1" customWidth="1"/>
    <col min="9483" max="9484" width="15.28515625" style="232" bestFit="1" customWidth="1"/>
    <col min="9485" max="9485" width="15.85546875" style="232" customWidth="1"/>
    <col min="9486" max="9486" width="9.140625" style="232"/>
    <col min="9487" max="9487" width="16.28515625" style="232" customWidth="1"/>
    <col min="9488" max="9488" width="9.140625" style="232"/>
    <col min="9489" max="9489" width="9.7109375" style="232" bestFit="1" customWidth="1"/>
    <col min="9490" max="9727" width="9.140625" style="232"/>
    <col min="9728" max="9728" width="14.5703125" style="232" customWidth="1"/>
    <col min="9729" max="9729" width="11.7109375" style="232" bestFit="1" customWidth="1"/>
    <col min="9730" max="9730" width="9.85546875" style="232" customWidth="1"/>
    <col min="9731" max="9732" width="9.140625" style="232" customWidth="1"/>
    <col min="9733" max="9733" width="12.5703125" style="232" bestFit="1" customWidth="1"/>
    <col min="9734" max="9734" width="13.42578125" style="232" bestFit="1" customWidth="1"/>
    <col min="9735" max="9735" width="8.7109375" style="232" customWidth="1"/>
    <col min="9736" max="9736" width="10" style="232" bestFit="1" customWidth="1"/>
    <col min="9737" max="9737" width="13" style="232" bestFit="1" customWidth="1"/>
    <col min="9738" max="9738" width="15" style="232" bestFit="1" customWidth="1"/>
    <col min="9739" max="9740" width="15.28515625" style="232" bestFit="1" customWidth="1"/>
    <col min="9741" max="9741" width="15.85546875" style="232" customWidth="1"/>
    <col min="9742" max="9742" width="9.140625" style="232"/>
    <col min="9743" max="9743" width="16.28515625" style="232" customWidth="1"/>
    <col min="9744" max="9744" width="9.140625" style="232"/>
    <col min="9745" max="9745" width="9.7109375" style="232" bestFit="1" customWidth="1"/>
    <col min="9746" max="9983" width="9.140625" style="232"/>
    <col min="9984" max="9984" width="14.5703125" style="232" customWidth="1"/>
    <col min="9985" max="9985" width="11.7109375" style="232" bestFit="1" customWidth="1"/>
    <col min="9986" max="9986" width="9.85546875" style="232" customWidth="1"/>
    <col min="9987" max="9988" width="9.140625" style="232" customWidth="1"/>
    <col min="9989" max="9989" width="12.5703125" style="232" bestFit="1" customWidth="1"/>
    <col min="9990" max="9990" width="13.42578125" style="232" bestFit="1" customWidth="1"/>
    <col min="9991" max="9991" width="8.7109375" style="232" customWidth="1"/>
    <col min="9992" max="9992" width="10" style="232" bestFit="1" customWidth="1"/>
    <col min="9993" max="9993" width="13" style="232" bestFit="1" customWidth="1"/>
    <col min="9994" max="9994" width="15" style="232" bestFit="1" customWidth="1"/>
    <col min="9995" max="9996" width="15.28515625" style="232" bestFit="1" customWidth="1"/>
    <col min="9997" max="9997" width="15.85546875" style="232" customWidth="1"/>
    <col min="9998" max="9998" width="9.140625" style="232"/>
    <col min="9999" max="9999" width="16.28515625" style="232" customWidth="1"/>
    <col min="10000" max="10000" width="9.140625" style="232"/>
    <col min="10001" max="10001" width="9.7109375" style="232" bestFit="1" customWidth="1"/>
    <col min="10002" max="10239" width="9.140625" style="232"/>
    <col min="10240" max="10240" width="14.5703125" style="232" customWidth="1"/>
    <col min="10241" max="10241" width="11.7109375" style="232" bestFit="1" customWidth="1"/>
    <col min="10242" max="10242" width="9.85546875" style="232" customWidth="1"/>
    <col min="10243" max="10244" width="9.140625" style="232" customWidth="1"/>
    <col min="10245" max="10245" width="12.5703125" style="232" bestFit="1" customWidth="1"/>
    <col min="10246" max="10246" width="13.42578125" style="232" bestFit="1" customWidth="1"/>
    <col min="10247" max="10247" width="8.7109375" style="232" customWidth="1"/>
    <col min="10248" max="10248" width="10" style="232" bestFit="1" customWidth="1"/>
    <col min="10249" max="10249" width="13" style="232" bestFit="1" customWidth="1"/>
    <col min="10250" max="10250" width="15" style="232" bestFit="1" customWidth="1"/>
    <col min="10251" max="10252" width="15.28515625" style="232" bestFit="1" customWidth="1"/>
    <col min="10253" max="10253" width="15.85546875" style="232" customWidth="1"/>
    <col min="10254" max="10254" width="9.140625" style="232"/>
    <col min="10255" max="10255" width="16.28515625" style="232" customWidth="1"/>
    <col min="10256" max="10256" width="9.140625" style="232"/>
    <col min="10257" max="10257" width="9.7109375" style="232" bestFit="1" customWidth="1"/>
    <col min="10258" max="10495" width="9.140625" style="232"/>
    <col min="10496" max="10496" width="14.5703125" style="232" customWidth="1"/>
    <col min="10497" max="10497" width="11.7109375" style="232" bestFit="1" customWidth="1"/>
    <col min="10498" max="10498" width="9.85546875" style="232" customWidth="1"/>
    <col min="10499" max="10500" width="9.140625" style="232" customWidth="1"/>
    <col min="10501" max="10501" width="12.5703125" style="232" bestFit="1" customWidth="1"/>
    <col min="10502" max="10502" width="13.42578125" style="232" bestFit="1" customWidth="1"/>
    <col min="10503" max="10503" width="8.7109375" style="232" customWidth="1"/>
    <col min="10504" max="10504" width="10" style="232" bestFit="1" customWidth="1"/>
    <col min="10505" max="10505" width="13" style="232" bestFit="1" customWidth="1"/>
    <col min="10506" max="10506" width="15" style="232" bestFit="1" customWidth="1"/>
    <col min="10507" max="10508" width="15.28515625" style="232" bestFit="1" customWidth="1"/>
    <col min="10509" max="10509" width="15.85546875" style="232" customWidth="1"/>
    <col min="10510" max="10510" width="9.140625" style="232"/>
    <col min="10511" max="10511" width="16.28515625" style="232" customWidth="1"/>
    <col min="10512" max="10512" width="9.140625" style="232"/>
    <col min="10513" max="10513" width="9.7109375" style="232" bestFit="1" customWidth="1"/>
    <col min="10514" max="10751" width="9.140625" style="232"/>
    <col min="10752" max="10752" width="14.5703125" style="232" customWidth="1"/>
    <col min="10753" max="10753" width="11.7109375" style="232" bestFit="1" customWidth="1"/>
    <col min="10754" max="10754" width="9.85546875" style="232" customWidth="1"/>
    <col min="10755" max="10756" width="9.140625" style="232" customWidth="1"/>
    <col min="10757" max="10757" width="12.5703125" style="232" bestFit="1" customWidth="1"/>
    <col min="10758" max="10758" width="13.42578125" style="232" bestFit="1" customWidth="1"/>
    <col min="10759" max="10759" width="8.7109375" style="232" customWidth="1"/>
    <col min="10760" max="10760" width="10" style="232" bestFit="1" customWidth="1"/>
    <col min="10761" max="10761" width="13" style="232" bestFit="1" customWidth="1"/>
    <col min="10762" max="10762" width="15" style="232" bestFit="1" customWidth="1"/>
    <col min="10763" max="10764" width="15.28515625" style="232" bestFit="1" customWidth="1"/>
    <col min="10765" max="10765" width="15.85546875" style="232" customWidth="1"/>
    <col min="10766" max="10766" width="9.140625" style="232"/>
    <col min="10767" max="10767" width="16.28515625" style="232" customWidth="1"/>
    <col min="10768" max="10768" width="9.140625" style="232"/>
    <col min="10769" max="10769" width="9.7109375" style="232" bestFit="1" customWidth="1"/>
    <col min="10770" max="11007" width="9.140625" style="232"/>
    <col min="11008" max="11008" width="14.5703125" style="232" customWidth="1"/>
    <col min="11009" max="11009" width="11.7109375" style="232" bestFit="1" customWidth="1"/>
    <col min="11010" max="11010" width="9.85546875" style="232" customWidth="1"/>
    <col min="11011" max="11012" width="9.140625" style="232" customWidth="1"/>
    <col min="11013" max="11013" width="12.5703125" style="232" bestFit="1" customWidth="1"/>
    <col min="11014" max="11014" width="13.42578125" style="232" bestFit="1" customWidth="1"/>
    <col min="11015" max="11015" width="8.7109375" style="232" customWidth="1"/>
    <col min="11016" max="11016" width="10" style="232" bestFit="1" customWidth="1"/>
    <col min="11017" max="11017" width="13" style="232" bestFit="1" customWidth="1"/>
    <col min="11018" max="11018" width="15" style="232" bestFit="1" customWidth="1"/>
    <col min="11019" max="11020" width="15.28515625" style="232" bestFit="1" customWidth="1"/>
    <col min="11021" max="11021" width="15.85546875" style="232" customWidth="1"/>
    <col min="11022" max="11022" width="9.140625" style="232"/>
    <col min="11023" max="11023" width="16.28515625" style="232" customWidth="1"/>
    <col min="11024" max="11024" width="9.140625" style="232"/>
    <col min="11025" max="11025" width="9.7109375" style="232" bestFit="1" customWidth="1"/>
    <col min="11026" max="11263" width="9.140625" style="232"/>
    <col min="11264" max="11264" width="14.5703125" style="232" customWidth="1"/>
    <col min="11265" max="11265" width="11.7109375" style="232" bestFit="1" customWidth="1"/>
    <col min="11266" max="11266" width="9.85546875" style="232" customWidth="1"/>
    <col min="11267" max="11268" width="9.140625" style="232" customWidth="1"/>
    <col min="11269" max="11269" width="12.5703125" style="232" bestFit="1" customWidth="1"/>
    <col min="11270" max="11270" width="13.42578125" style="232" bestFit="1" customWidth="1"/>
    <col min="11271" max="11271" width="8.7109375" style="232" customWidth="1"/>
    <col min="11272" max="11272" width="10" style="232" bestFit="1" customWidth="1"/>
    <col min="11273" max="11273" width="13" style="232" bestFit="1" customWidth="1"/>
    <col min="11274" max="11274" width="15" style="232" bestFit="1" customWidth="1"/>
    <col min="11275" max="11276" width="15.28515625" style="232" bestFit="1" customWidth="1"/>
    <col min="11277" max="11277" width="15.85546875" style="232" customWidth="1"/>
    <col min="11278" max="11278" width="9.140625" style="232"/>
    <col min="11279" max="11279" width="16.28515625" style="232" customWidth="1"/>
    <col min="11280" max="11280" width="9.140625" style="232"/>
    <col min="11281" max="11281" width="9.7109375" style="232" bestFit="1" customWidth="1"/>
    <col min="11282" max="11519" width="9.140625" style="232"/>
    <col min="11520" max="11520" width="14.5703125" style="232" customWidth="1"/>
    <col min="11521" max="11521" width="11.7109375" style="232" bestFit="1" customWidth="1"/>
    <col min="11522" max="11522" width="9.85546875" style="232" customWidth="1"/>
    <col min="11523" max="11524" width="9.140625" style="232" customWidth="1"/>
    <col min="11525" max="11525" width="12.5703125" style="232" bestFit="1" customWidth="1"/>
    <col min="11526" max="11526" width="13.42578125" style="232" bestFit="1" customWidth="1"/>
    <col min="11527" max="11527" width="8.7109375" style="232" customWidth="1"/>
    <col min="11528" max="11528" width="10" style="232" bestFit="1" customWidth="1"/>
    <col min="11529" max="11529" width="13" style="232" bestFit="1" customWidth="1"/>
    <col min="11530" max="11530" width="15" style="232" bestFit="1" customWidth="1"/>
    <col min="11531" max="11532" width="15.28515625" style="232" bestFit="1" customWidth="1"/>
    <col min="11533" max="11533" width="15.85546875" style="232" customWidth="1"/>
    <col min="11534" max="11534" width="9.140625" style="232"/>
    <col min="11535" max="11535" width="16.28515625" style="232" customWidth="1"/>
    <col min="11536" max="11536" width="9.140625" style="232"/>
    <col min="11537" max="11537" width="9.7109375" style="232" bestFit="1" customWidth="1"/>
    <col min="11538" max="11775" width="9.140625" style="232"/>
    <col min="11776" max="11776" width="14.5703125" style="232" customWidth="1"/>
    <col min="11777" max="11777" width="11.7109375" style="232" bestFit="1" customWidth="1"/>
    <col min="11778" max="11778" width="9.85546875" style="232" customWidth="1"/>
    <col min="11779" max="11780" width="9.140625" style="232" customWidth="1"/>
    <col min="11781" max="11781" width="12.5703125" style="232" bestFit="1" customWidth="1"/>
    <col min="11782" max="11782" width="13.42578125" style="232" bestFit="1" customWidth="1"/>
    <col min="11783" max="11783" width="8.7109375" style="232" customWidth="1"/>
    <col min="11784" max="11784" width="10" style="232" bestFit="1" customWidth="1"/>
    <col min="11785" max="11785" width="13" style="232" bestFit="1" customWidth="1"/>
    <col min="11786" max="11786" width="15" style="232" bestFit="1" customWidth="1"/>
    <col min="11787" max="11788" width="15.28515625" style="232" bestFit="1" customWidth="1"/>
    <col min="11789" max="11789" width="15.85546875" style="232" customWidth="1"/>
    <col min="11790" max="11790" width="9.140625" style="232"/>
    <col min="11791" max="11791" width="16.28515625" style="232" customWidth="1"/>
    <col min="11792" max="11792" width="9.140625" style="232"/>
    <col min="11793" max="11793" width="9.7109375" style="232" bestFit="1" customWidth="1"/>
    <col min="11794" max="12031" width="9.140625" style="232"/>
    <col min="12032" max="12032" width="14.5703125" style="232" customWidth="1"/>
    <col min="12033" max="12033" width="11.7109375" style="232" bestFit="1" customWidth="1"/>
    <col min="12034" max="12034" width="9.85546875" style="232" customWidth="1"/>
    <col min="12035" max="12036" width="9.140625" style="232" customWidth="1"/>
    <col min="12037" max="12037" width="12.5703125" style="232" bestFit="1" customWidth="1"/>
    <col min="12038" max="12038" width="13.42578125" style="232" bestFit="1" customWidth="1"/>
    <col min="12039" max="12039" width="8.7109375" style="232" customWidth="1"/>
    <col min="12040" max="12040" width="10" style="232" bestFit="1" customWidth="1"/>
    <col min="12041" max="12041" width="13" style="232" bestFit="1" customWidth="1"/>
    <col min="12042" max="12042" width="15" style="232" bestFit="1" customWidth="1"/>
    <col min="12043" max="12044" width="15.28515625" style="232" bestFit="1" customWidth="1"/>
    <col min="12045" max="12045" width="15.85546875" style="232" customWidth="1"/>
    <col min="12046" max="12046" width="9.140625" style="232"/>
    <col min="12047" max="12047" width="16.28515625" style="232" customWidth="1"/>
    <col min="12048" max="12048" width="9.140625" style="232"/>
    <col min="12049" max="12049" width="9.7109375" style="232" bestFit="1" customWidth="1"/>
    <col min="12050" max="12287" width="9.140625" style="232"/>
    <col min="12288" max="12288" width="14.5703125" style="232" customWidth="1"/>
    <col min="12289" max="12289" width="11.7109375" style="232" bestFit="1" customWidth="1"/>
    <col min="12290" max="12290" width="9.85546875" style="232" customWidth="1"/>
    <col min="12291" max="12292" width="9.140625" style="232" customWidth="1"/>
    <col min="12293" max="12293" width="12.5703125" style="232" bestFit="1" customWidth="1"/>
    <col min="12294" max="12294" width="13.42578125" style="232" bestFit="1" customWidth="1"/>
    <col min="12295" max="12295" width="8.7109375" style="232" customWidth="1"/>
    <col min="12296" max="12296" width="10" style="232" bestFit="1" customWidth="1"/>
    <col min="12297" max="12297" width="13" style="232" bestFit="1" customWidth="1"/>
    <col min="12298" max="12298" width="15" style="232" bestFit="1" customWidth="1"/>
    <col min="12299" max="12300" width="15.28515625" style="232" bestFit="1" customWidth="1"/>
    <col min="12301" max="12301" width="15.85546875" style="232" customWidth="1"/>
    <col min="12302" max="12302" width="9.140625" style="232"/>
    <col min="12303" max="12303" width="16.28515625" style="232" customWidth="1"/>
    <col min="12304" max="12304" width="9.140625" style="232"/>
    <col min="12305" max="12305" width="9.7109375" style="232" bestFit="1" customWidth="1"/>
    <col min="12306" max="12543" width="9.140625" style="232"/>
    <col min="12544" max="12544" width="14.5703125" style="232" customWidth="1"/>
    <col min="12545" max="12545" width="11.7109375" style="232" bestFit="1" customWidth="1"/>
    <col min="12546" max="12546" width="9.85546875" style="232" customWidth="1"/>
    <col min="12547" max="12548" width="9.140625" style="232" customWidth="1"/>
    <col min="12549" max="12549" width="12.5703125" style="232" bestFit="1" customWidth="1"/>
    <col min="12550" max="12550" width="13.42578125" style="232" bestFit="1" customWidth="1"/>
    <col min="12551" max="12551" width="8.7109375" style="232" customWidth="1"/>
    <col min="12552" max="12552" width="10" style="232" bestFit="1" customWidth="1"/>
    <col min="12553" max="12553" width="13" style="232" bestFit="1" customWidth="1"/>
    <col min="12554" max="12554" width="15" style="232" bestFit="1" customWidth="1"/>
    <col min="12555" max="12556" width="15.28515625" style="232" bestFit="1" customWidth="1"/>
    <col min="12557" max="12557" width="15.85546875" style="232" customWidth="1"/>
    <col min="12558" max="12558" width="9.140625" style="232"/>
    <col min="12559" max="12559" width="16.28515625" style="232" customWidth="1"/>
    <col min="12560" max="12560" width="9.140625" style="232"/>
    <col min="12561" max="12561" width="9.7109375" style="232" bestFit="1" customWidth="1"/>
    <col min="12562" max="12799" width="9.140625" style="232"/>
    <col min="12800" max="12800" width="14.5703125" style="232" customWidth="1"/>
    <col min="12801" max="12801" width="11.7109375" style="232" bestFit="1" customWidth="1"/>
    <col min="12802" max="12802" width="9.85546875" style="232" customWidth="1"/>
    <col min="12803" max="12804" width="9.140625" style="232" customWidth="1"/>
    <col min="12805" max="12805" width="12.5703125" style="232" bestFit="1" customWidth="1"/>
    <col min="12806" max="12806" width="13.42578125" style="232" bestFit="1" customWidth="1"/>
    <col min="12807" max="12807" width="8.7109375" style="232" customWidth="1"/>
    <col min="12808" max="12808" width="10" style="232" bestFit="1" customWidth="1"/>
    <col min="12809" max="12809" width="13" style="232" bestFit="1" customWidth="1"/>
    <col min="12810" max="12810" width="15" style="232" bestFit="1" customWidth="1"/>
    <col min="12811" max="12812" width="15.28515625" style="232" bestFit="1" customWidth="1"/>
    <col min="12813" max="12813" width="15.85546875" style="232" customWidth="1"/>
    <col min="12814" max="12814" width="9.140625" style="232"/>
    <col min="12815" max="12815" width="16.28515625" style="232" customWidth="1"/>
    <col min="12816" max="12816" width="9.140625" style="232"/>
    <col min="12817" max="12817" width="9.7109375" style="232" bestFit="1" customWidth="1"/>
    <col min="12818" max="13055" width="9.140625" style="232"/>
    <col min="13056" max="13056" width="14.5703125" style="232" customWidth="1"/>
    <col min="13057" max="13057" width="11.7109375" style="232" bestFit="1" customWidth="1"/>
    <col min="13058" max="13058" width="9.85546875" style="232" customWidth="1"/>
    <col min="13059" max="13060" width="9.140625" style="232" customWidth="1"/>
    <col min="13061" max="13061" width="12.5703125" style="232" bestFit="1" customWidth="1"/>
    <col min="13062" max="13062" width="13.42578125" style="232" bestFit="1" customWidth="1"/>
    <col min="13063" max="13063" width="8.7109375" style="232" customWidth="1"/>
    <col min="13064" max="13064" width="10" style="232" bestFit="1" customWidth="1"/>
    <col min="13065" max="13065" width="13" style="232" bestFit="1" customWidth="1"/>
    <col min="13066" max="13066" width="15" style="232" bestFit="1" customWidth="1"/>
    <col min="13067" max="13068" width="15.28515625" style="232" bestFit="1" customWidth="1"/>
    <col min="13069" max="13069" width="15.85546875" style="232" customWidth="1"/>
    <col min="13070" max="13070" width="9.140625" style="232"/>
    <col min="13071" max="13071" width="16.28515625" style="232" customWidth="1"/>
    <col min="13072" max="13072" width="9.140625" style="232"/>
    <col min="13073" max="13073" width="9.7109375" style="232" bestFit="1" customWidth="1"/>
    <col min="13074" max="13311" width="9.140625" style="232"/>
    <col min="13312" max="13312" width="14.5703125" style="232" customWidth="1"/>
    <col min="13313" max="13313" width="11.7109375" style="232" bestFit="1" customWidth="1"/>
    <col min="13314" max="13314" width="9.85546875" style="232" customWidth="1"/>
    <col min="13315" max="13316" width="9.140625" style="232" customWidth="1"/>
    <col min="13317" max="13317" width="12.5703125" style="232" bestFit="1" customWidth="1"/>
    <col min="13318" max="13318" width="13.42578125" style="232" bestFit="1" customWidth="1"/>
    <col min="13319" max="13319" width="8.7109375" style="232" customWidth="1"/>
    <col min="13320" max="13320" width="10" style="232" bestFit="1" customWidth="1"/>
    <col min="13321" max="13321" width="13" style="232" bestFit="1" customWidth="1"/>
    <col min="13322" max="13322" width="15" style="232" bestFit="1" customWidth="1"/>
    <col min="13323" max="13324" width="15.28515625" style="232" bestFit="1" customWidth="1"/>
    <col min="13325" max="13325" width="15.85546875" style="232" customWidth="1"/>
    <col min="13326" max="13326" width="9.140625" style="232"/>
    <col min="13327" max="13327" width="16.28515625" style="232" customWidth="1"/>
    <col min="13328" max="13328" width="9.140625" style="232"/>
    <col min="13329" max="13329" width="9.7109375" style="232" bestFit="1" customWidth="1"/>
    <col min="13330" max="13567" width="9.140625" style="232"/>
    <col min="13568" max="13568" width="14.5703125" style="232" customWidth="1"/>
    <col min="13569" max="13569" width="11.7109375" style="232" bestFit="1" customWidth="1"/>
    <col min="13570" max="13570" width="9.85546875" style="232" customWidth="1"/>
    <col min="13571" max="13572" width="9.140625" style="232" customWidth="1"/>
    <col min="13573" max="13573" width="12.5703125" style="232" bestFit="1" customWidth="1"/>
    <col min="13574" max="13574" width="13.42578125" style="232" bestFit="1" customWidth="1"/>
    <col min="13575" max="13575" width="8.7109375" style="232" customWidth="1"/>
    <col min="13576" max="13576" width="10" style="232" bestFit="1" customWidth="1"/>
    <col min="13577" max="13577" width="13" style="232" bestFit="1" customWidth="1"/>
    <col min="13578" max="13578" width="15" style="232" bestFit="1" customWidth="1"/>
    <col min="13579" max="13580" width="15.28515625" style="232" bestFit="1" customWidth="1"/>
    <col min="13581" max="13581" width="15.85546875" style="232" customWidth="1"/>
    <col min="13582" max="13582" width="9.140625" style="232"/>
    <col min="13583" max="13583" width="16.28515625" style="232" customWidth="1"/>
    <col min="13584" max="13584" width="9.140625" style="232"/>
    <col min="13585" max="13585" width="9.7109375" style="232" bestFit="1" customWidth="1"/>
    <col min="13586" max="13823" width="9.140625" style="232"/>
    <col min="13824" max="13824" width="14.5703125" style="232" customWidth="1"/>
    <col min="13825" max="13825" width="11.7109375" style="232" bestFit="1" customWidth="1"/>
    <col min="13826" max="13826" width="9.85546875" style="232" customWidth="1"/>
    <col min="13827" max="13828" width="9.140625" style="232" customWidth="1"/>
    <col min="13829" max="13829" width="12.5703125" style="232" bestFit="1" customWidth="1"/>
    <col min="13830" max="13830" width="13.42578125" style="232" bestFit="1" customWidth="1"/>
    <col min="13831" max="13831" width="8.7109375" style="232" customWidth="1"/>
    <col min="13832" max="13832" width="10" style="232" bestFit="1" customWidth="1"/>
    <col min="13833" max="13833" width="13" style="232" bestFit="1" customWidth="1"/>
    <col min="13834" max="13834" width="15" style="232" bestFit="1" customWidth="1"/>
    <col min="13835" max="13836" width="15.28515625" style="232" bestFit="1" customWidth="1"/>
    <col min="13837" max="13837" width="15.85546875" style="232" customWidth="1"/>
    <col min="13838" max="13838" width="9.140625" style="232"/>
    <col min="13839" max="13839" width="16.28515625" style="232" customWidth="1"/>
    <col min="13840" max="13840" width="9.140625" style="232"/>
    <col min="13841" max="13841" width="9.7109375" style="232" bestFit="1" customWidth="1"/>
    <col min="13842" max="14079" width="9.140625" style="232"/>
    <col min="14080" max="14080" width="14.5703125" style="232" customWidth="1"/>
    <col min="14081" max="14081" width="11.7109375" style="232" bestFit="1" customWidth="1"/>
    <col min="14082" max="14082" width="9.85546875" style="232" customWidth="1"/>
    <col min="14083" max="14084" width="9.140625" style="232" customWidth="1"/>
    <col min="14085" max="14085" width="12.5703125" style="232" bestFit="1" customWidth="1"/>
    <col min="14086" max="14086" width="13.42578125" style="232" bestFit="1" customWidth="1"/>
    <col min="14087" max="14087" width="8.7109375" style="232" customWidth="1"/>
    <col min="14088" max="14088" width="10" style="232" bestFit="1" customWidth="1"/>
    <col min="14089" max="14089" width="13" style="232" bestFit="1" customWidth="1"/>
    <col min="14090" max="14090" width="15" style="232" bestFit="1" customWidth="1"/>
    <col min="14091" max="14092" width="15.28515625" style="232" bestFit="1" customWidth="1"/>
    <col min="14093" max="14093" width="15.85546875" style="232" customWidth="1"/>
    <col min="14094" max="14094" width="9.140625" style="232"/>
    <col min="14095" max="14095" width="16.28515625" style="232" customWidth="1"/>
    <col min="14096" max="14096" width="9.140625" style="232"/>
    <col min="14097" max="14097" width="9.7109375" style="232" bestFit="1" customWidth="1"/>
    <col min="14098" max="14335" width="9.140625" style="232"/>
    <col min="14336" max="14336" width="14.5703125" style="232" customWidth="1"/>
    <col min="14337" max="14337" width="11.7109375" style="232" bestFit="1" customWidth="1"/>
    <col min="14338" max="14338" width="9.85546875" style="232" customWidth="1"/>
    <col min="14339" max="14340" width="9.140625" style="232" customWidth="1"/>
    <col min="14341" max="14341" width="12.5703125" style="232" bestFit="1" customWidth="1"/>
    <col min="14342" max="14342" width="13.42578125" style="232" bestFit="1" customWidth="1"/>
    <col min="14343" max="14343" width="8.7109375" style="232" customWidth="1"/>
    <col min="14344" max="14344" width="10" style="232" bestFit="1" customWidth="1"/>
    <col min="14345" max="14345" width="13" style="232" bestFit="1" customWidth="1"/>
    <col min="14346" max="14346" width="15" style="232" bestFit="1" customWidth="1"/>
    <col min="14347" max="14348" width="15.28515625" style="232" bestFit="1" customWidth="1"/>
    <col min="14349" max="14349" width="15.85546875" style="232" customWidth="1"/>
    <col min="14350" max="14350" width="9.140625" style="232"/>
    <col min="14351" max="14351" width="16.28515625" style="232" customWidth="1"/>
    <col min="14352" max="14352" width="9.140625" style="232"/>
    <col min="14353" max="14353" width="9.7109375" style="232" bestFit="1" customWidth="1"/>
    <col min="14354" max="14591" width="9.140625" style="232"/>
    <col min="14592" max="14592" width="14.5703125" style="232" customWidth="1"/>
    <col min="14593" max="14593" width="11.7109375" style="232" bestFit="1" customWidth="1"/>
    <col min="14594" max="14594" width="9.85546875" style="232" customWidth="1"/>
    <col min="14595" max="14596" width="9.140625" style="232" customWidth="1"/>
    <col min="14597" max="14597" width="12.5703125" style="232" bestFit="1" customWidth="1"/>
    <col min="14598" max="14598" width="13.42578125" style="232" bestFit="1" customWidth="1"/>
    <col min="14599" max="14599" width="8.7109375" style="232" customWidth="1"/>
    <col min="14600" max="14600" width="10" style="232" bestFit="1" customWidth="1"/>
    <col min="14601" max="14601" width="13" style="232" bestFit="1" customWidth="1"/>
    <col min="14602" max="14602" width="15" style="232" bestFit="1" customWidth="1"/>
    <col min="14603" max="14604" width="15.28515625" style="232" bestFit="1" customWidth="1"/>
    <col min="14605" max="14605" width="15.85546875" style="232" customWidth="1"/>
    <col min="14606" max="14606" width="9.140625" style="232"/>
    <col min="14607" max="14607" width="16.28515625" style="232" customWidth="1"/>
    <col min="14608" max="14608" width="9.140625" style="232"/>
    <col min="14609" max="14609" width="9.7109375" style="232" bestFit="1" customWidth="1"/>
    <col min="14610" max="14847" width="9.140625" style="232"/>
    <col min="14848" max="14848" width="14.5703125" style="232" customWidth="1"/>
    <col min="14849" max="14849" width="11.7109375" style="232" bestFit="1" customWidth="1"/>
    <col min="14850" max="14850" width="9.85546875" style="232" customWidth="1"/>
    <col min="14851" max="14852" width="9.140625" style="232" customWidth="1"/>
    <col min="14853" max="14853" width="12.5703125" style="232" bestFit="1" customWidth="1"/>
    <col min="14854" max="14854" width="13.42578125" style="232" bestFit="1" customWidth="1"/>
    <col min="14855" max="14855" width="8.7109375" style="232" customWidth="1"/>
    <col min="14856" max="14856" width="10" style="232" bestFit="1" customWidth="1"/>
    <col min="14857" max="14857" width="13" style="232" bestFit="1" customWidth="1"/>
    <col min="14858" max="14858" width="15" style="232" bestFit="1" customWidth="1"/>
    <col min="14859" max="14860" width="15.28515625" style="232" bestFit="1" customWidth="1"/>
    <col min="14861" max="14861" width="15.85546875" style="232" customWidth="1"/>
    <col min="14862" max="14862" width="9.140625" style="232"/>
    <col min="14863" max="14863" width="16.28515625" style="232" customWidth="1"/>
    <col min="14864" max="14864" width="9.140625" style="232"/>
    <col min="14865" max="14865" width="9.7109375" style="232" bestFit="1" customWidth="1"/>
    <col min="14866" max="15103" width="9.140625" style="232"/>
    <col min="15104" max="15104" width="14.5703125" style="232" customWidth="1"/>
    <col min="15105" max="15105" width="11.7109375" style="232" bestFit="1" customWidth="1"/>
    <col min="15106" max="15106" width="9.85546875" style="232" customWidth="1"/>
    <col min="15107" max="15108" width="9.140625" style="232" customWidth="1"/>
    <col min="15109" max="15109" width="12.5703125" style="232" bestFit="1" customWidth="1"/>
    <col min="15110" max="15110" width="13.42578125" style="232" bestFit="1" customWidth="1"/>
    <col min="15111" max="15111" width="8.7109375" style="232" customWidth="1"/>
    <col min="15112" max="15112" width="10" style="232" bestFit="1" customWidth="1"/>
    <col min="15113" max="15113" width="13" style="232" bestFit="1" customWidth="1"/>
    <col min="15114" max="15114" width="15" style="232" bestFit="1" customWidth="1"/>
    <col min="15115" max="15116" width="15.28515625" style="232" bestFit="1" customWidth="1"/>
    <col min="15117" max="15117" width="15.85546875" style="232" customWidth="1"/>
    <col min="15118" max="15118" width="9.140625" style="232"/>
    <col min="15119" max="15119" width="16.28515625" style="232" customWidth="1"/>
    <col min="15120" max="15120" width="9.140625" style="232"/>
    <col min="15121" max="15121" width="9.7109375" style="232" bestFit="1" customWidth="1"/>
    <col min="15122" max="15359" width="9.140625" style="232"/>
    <col min="15360" max="15360" width="14.5703125" style="232" customWidth="1"/>
    <col min="15361" max="15361" width="11.7109375" style="232" bestFit="1" customWidth="1"/>
    <col min="15362" max="15362" width="9.85546875" style="232" customWidth="1"/>
    <col min="15363" max="15364" width="9.140625" style="232" customWidth="1"/>
    <col min="15365" max="15365" width="12.5703125" style="232" bestFit="1" customWidth="1"/>
    <col min="15366" max="15366" width="13.42578125" style="232" bestFit="1" customWidth="1"/>
    <col min="15367" max="15367" width="8.7109375" style="232" customWidth="1"/>
    <col min="15368" max="15368" width="10" style="232" bestFit="1" customWidth="1"/>
    <col min="15369" max="15369" width="13" style="232" bestFit="1" customWidth="1"/>
    <col min="15370" max="15370" width="15" style="232" bestFit="1" customWidth="1"/>
    <col min="15371" max="15372" width="15.28515625" style="232" bestFit="1" customWidth="1"/>
    <col min="15373" max="15373" width="15.85546875" style="232" customWidth="1"/>
    <col min="15374" max="15374" width="9.140625" style="232"/>
    <col min="15375" max="15375" width="16.28515625" style="232" customWidth="1"/>
    <col min="15376" max="15376" width="9.140625" style="232"/>
    <col min="15377" max="15377" width="9.7109375" style="232" bestFit="1" customWidth="1"/>
    <col min="15378" max="15615" width="9.140625" style="232"/>
    <col min="15616" max="15616" width="14.5703125" style="232" customWidth="1"/>
    <col min="15617" max="15617" width="11.7109375" style="232" bestFit="1" customWidth="1"/>
    <col min="15618" max="15618" width="9.85546875" style="232" customWidth="1"/>
    <col min="15619" max="15620" width="9.140625" style="232" customWidth="1"/>
    <col min="15621" max="15621" width="12.5703125" style="232" bestFit="1" customWidth="1"/>
    <col min="15622" max="15622" width="13.42578125" style="232" bestFit="1" customWidth="1"/>
    <col min="15623" max="15623" width="8.7109375" style="232" customWidth="1"/>
    <col min="15624" max="15624" width="10" style="232" bestFit="1" customWidth="1"/>
    <col min="15625" max="15625" width="13" style="232" bestFit="1" customWidth="1"/>
    <col min="15626" max="15626" width="15" style="232" bestFit="1" customWidth="1"/>
    <col min="15627" max="15628" width="15.28515625" style="232" bestFit="1" customWidth="1"/>
    <col min="15629" max="15629" width="15.85546875" style="232" customWidth="1"/>
    <col min="15630" max="15630" width="9.140625" style="232"/>
    <col min="15631" max="15631" width="16.28515625" style="232" customWidth="1"/>
    <col min="15632" max="15632" width="9.140625" style="232"/>
    <col min="15633" max="15633" width="9.7109375" style="232" bestFit="1" customWidth="1"/>
    <col min="15634" max="15871" width="9.140625" style="232"/>
    <col min="15872" max="15872" width="14.5703125" style="232" customWidth="1"/>
    <col min="15873" max="15873" width="11.7109375" style="232" bestFit="1" customWidth="1"/>
    <col min="15874" max="15874" width="9.85546875" style="232" customWidth="1"/>
    <col min="15875" max="15876" width="9.140625" style="232" customWidth="1"/>
    <col min="15877" max="15877" width="12.5703125" style="232" bestFit="1" customWidth="1"/>
    <col min="15878" max="15878" width="13.42578125" style="232" bestFit="1" customWidth="1"/>
    <col min="15879" max="15879" width="8.7109375" style="232" customWidth="1"/>
    <col min="15880" max="15880" width="10" style="232" bestFit="1" customWidth="1"/>
    <col min="15881" max="15881" width="13" style="232" bestFit="1" customWidth="1"/>
    <col min="15882" max="15882" width="15" style="232" bestFit="1" customWidth="1"/>
    <col min="15883" max="15884" width="15.28515625" style="232" bestFit="1" customWidth="1"/>
    <col min="15885" max="15885" width="15.85546875" style="232" customWidth="1"/>
    <col min="15886" max="15886" width="9.140625" style="232"/>
    <col min="15887" max="15887" width="16.28515625" style="232" customWidth="1"/>
    <col min="15888" max="15888" width="9.140625" style="232"/>
    <col min="15889" max="15889" width="9.7109375" style="232" bestFit="1" customWidth="1"/>
    <col min="15890" max="16127" width="9.140625" style="232"/>
    <col min="16128" max="16128" width="14.5703125" style="232" customWidth="1"/>
    <col min="16129" max="16129" width="11.7109375" style="232" bestFit="1" customWidth="1"/>
    <col min="16130" max="16130" width="9.85546875" style="232" customWidth="1"/>
    <col min="16131" max="16132" width="9.140625" style="232" customWidth="1"/>
    <col min="16133" max="16133" width="12.5703125" style="232" bestFit="1" customWidth="1"/>
    <col min="16134" max="16134" width="13.42578125" style="232" bestFit="1" customWidth="1"/>
    <col min="16135" max="16135" width="8.7109375" style="232" customWidth="1"/>
    <col min="16136" max="16136" width="10" style="232" bestFit="1" customWidth="1"/>
    <col min="16137" max="16137" width="13" style="232" bestFit="1" customWidth="1"/>
    <col min="16138" max="16138" width="15" style="232" bestFit="1" customWidth="1"/>
    <col min="16139" max="16140" width="15.28515625" style="232" bestFit="1" customWidth="1"/>
    <col min="16141" max="16141" width="15.85546875" style="232" customWidth="1"/>
    <col min="16142" max="16142" width="9.140625" style="232"/>
    <col min="16143" max="16143" width="16.28515625" style="232" customWidth="1"/>
    <col min="16144" max="16144" width="9.140625" style="232"/>
    <col min="16145" max="16145" width="9.7109375" style="232" bestFit="1" customWidth="1"/>
    <col min="16146" max="16384" width="9.140625" style="232"/>
  </cols>
  <sheetData>
    <row r="2" spans="2:17" ht="15.75">
      <c r="B2" s="291" t="s">
        <v>463</v>
      </c>
    </row>
    <row r="4" spans="2:17">
      <c r="B4" s="278" t="s">
        <v>479</v>
      </c>
    </row>
    <row r="6" spans="2:17" ht="15.75" thickBot="1">
      <c r="B6" s="909" t="s">
        <v>480</v>
      </c>
      <c r="C6" s="910"/>
      <c r="D6" s="910"/>
      <c r="E6" s="910"/>
      <c r="F6" s="910"/>
      <c r="G6" s="910"/>
      <c r="H6" s="910"/>
      <c r="I6" s="910"/>
      <c r="J6" s="910"/>
      <c r="K6" s="910"/>
      <c r="L6" s="910"/>
      <c r="M6" s="910"/>
      <c r="N6" s="910"/>
      <c r="O6" s="910"/>
      <c r="P6" s="910"/>
      <c r="Q6" s="910"/>
    </row>
    <row r="7" spans="2:17"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4"/>
      <c r="O7" s="234"/>
    </row>
    <row r="8" spans="2:17">
      <c r="B8" s="322" t="s">
        <v>424</v>
      </c>
      <c r="C8" s="323">
        <f>800000/3</f>
        <v>266666.66666666669</v>
      </c>
      <c r="D8" s="233"/>
      <c r="F8" s="325" t="s">
        <v>425</v>
      </c>
      <c r="G8" s="329">
        <f>P13</f>
        <v>3.6961767492203657</v>
      </c>
      <c r="H8" s="322" t="s">
        <v>378</v>
      </c>
      <c r="I8" s="233"/>
      <c r="J8" s="233"/>
      <c r="K8" s="233"/>
      <c r="L8" s="233"/>
      <c r="M8" s="233"/>
      <c r="N8" s="234"/>
      <c r="O8" s="234"/>
    </row>
    <row r="9" spans="2:17">
      <c r="B9" s="322" t="s">
        <v>426</v>
      </c>
      <c r="C9" s="327">
        <v>1.15E-2</v>
      </c>
      <c r="D9" s="233"/>
      <c r="F9" s="325" t="s">
        <v>427</v>
      </c>
      <c r="G9" s="329">
        <f>Q13</f>
        <v>4.4900793650793647</v>
      </c>
      <c r="H9" s="322" t="s">
        <v>378</v>
      </c>
      <c r="I9" s="233"/>
      <c r="J9" s="235"/>
      <c r="K9" s="233"/>
      <c r="L9" s="233"/>
      <c r="M9" s="233"/>
      <c r="N9" s="234"/>
      <c r="O9" s="234"/>
    </row>
    <row r="10" spans="2:17">
      <c r="B10" s="322" t="s">
        <v>464</v>
      </c>
      <c r="C10" s="343">
        <f>(((1+J15)^(1/252))*((1+C9)^(1/252)))^252-1</f>
        <v>9.2935864999988071E-2</v>
      </c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4"/>
      <c r="O10" s="234"/>
    </row>
    <row r="11" spans="2:17">
      <c r="B11" s="233"/>
      <c r="C11" s="236"/>
      <c r="D11" s="233"/>
      <c r="E11" s="233"/>
      <c r="F11" s="233"/>
      <c r="G11" s="233"/>
      <c r="H11" s="233"/>
      <c r="I11" s="292" t="s">
        <v>462</v>
      </c>
      <c r="J11" s="293">
        <v>41039</v>
      </c>
      <c r="K11" s="233"/>
      <c r="L11" s="233"/>
      <c r="M11" s="233"/>
      <c r="N11" s="234"/>
      <c r="O11" s="234"/>
    </row>
    <row r="12" spans="2:17">
      <c r="B12" s="279" t="s">
        <v>428</v>
      </c>
      <c r="C12" s="279" t="s">
        <v>429</v>
      </c>
      <c r="D12" s="279" t="s">
        <v>430</v>
      </c>
      <c r="E12" s="279" t="s">
        <v>431</v>
      </c>
      <c r="F12" s="279" t="s">
        <v>432</v>
      </c>
      <c r="G12" s="279" t="s">
        <v>433</v>
      </c>
      <c r="H12" s="279" t="s">
        <v>374</v>
      </c>
      <c r="I12" s="280" t="s">
        <v>434</v>
      </c>
      <c r="J12" s="280" t="s">
        <v>435</v>
      </c>
      <c r="K12" s="280" t="s">
        <v>436</v>
      </c>
      <c r="L12" s="280" t="s">
        <v>437</v>
      </c>
      <c r="M12" s="280" t="s">
        <v>375</v>
      </c>
      <c r="N12" s="279" t="s">
        <v>376</v>
      </c>
      <c r="O12" s="279" t="s">
        <v>438</v>
      </c>
      <c r="P12" s="279" t="s">
        <v>439</v>
      </c>
      <c r="Q12" s="279" t="s">
        <v>440</v>
      </c>
    </row>
    <row r="13" spans="2:17">
      <c r="B13" s="281">
        <v>41075</v>
      </c>
      <c r="C13" s="281">
        <f t="shared" ref="C13:C23" si="0">WORKDAY(B13,1,FERIADO)</f>
        <v>41078</v>
      </c>
      <c r="D13" s="282">
        <v>0</v>
      </c>
      <c r="E13" s="282"/>
      <c r="F13" s="282"/>
      <c r="G13" s="282"/>
      <c r="H13" s="283">
        <f>C8</f>
        <v>266666.66666666669</v>
      </c>
      <c r="I13" s="284"/>
      <c r="J13" s="290">
        <v>8.6999999999999994E-2</v>
      </c>
      <c r="K13" s="285"/>
      <c r="L13" s="285"/>
      <c r="M13" s="286">
        <f>SUM(M14:M23)</f>
        <v>127200.26621839621</v>
      </c>
      <c r="N13" s="286">
        <f>SUM(N14:N23)</f>
        <v>393866.93288506288</v>
      </c>
      <c r="O13" s="287">
        <f>SUM(O14:O23)</f>
        <v>374622.76898714807</v>
      </c>
      <c r="P13" s="288">
        <f>SUM(P14:P23)</f>
        <v>3.6961767492203657</v>
      </c>
      <c r="Q13" s="289">
        <f>SUM(Q14:Q23)/252</f>
        <v>4.4900793650793647</v>
      </c>
    </row>
    <row r="14" spans="2:17">
      <c r="B14" s="237">
        <f>EDATE(B13,6)</f>
        <v>41258</v>
      </c>
      <c r="C14" s="237">
        <f t="shared" si="0"/>
        <v>41260</v>
      </c>
      <c r="D14" s="269">
        <f t="shared" ref="D14:D23" si="1">NETWORKDAYS($C$13,C14,FERIADO)</f>
        <v>127</v>
      </c>
      <c r="E14" s="269">
        <f t="shared" ref="E14:E23" si="2">+D14-D13</f>
        <v>127</v>
      </c>
      <c r="F14" s="271">
        <v>0</v>
      </c>
      <c r="G14" s="245">
        <f t="shared" ref="G14" si="3">F14*$C$8</f>
        <v>0</v>
      </c>
      <c r="H14" s="246">
        <f t="shared" ref="H14" si="4">H13-G14</f>
        <v>266666.66666666669</v>
      </c>
      <c r="I14" s="230">
        <f>$C$9</f>
        <v>1.15E-2</v>
      </c>
      <c r="J14" s="345">
        <v>8.0439999999999998E-2</v>
      </c>
      <c r="K14" s="272">
        <f>((((1+J14)^(D14/252))/((1+J13)^(D13/252)))^(252/(D14-D13)))-1</f>
        <v>8.0440000000000289E-2</v>
      </c>
      <c r="L14" s="120">
        <f t="shared" ref="L14" si="5">+(((1+K14)^(1/252))*((1+I14)^(1/252)))</f>
        <v>1.0003524539353983</v>
      </c>
      <c r="M14" s="273">
        <f>+H13*(L14^(E14)-1)</f>
        <v>12205.419017213024</v>
      </c>
      <c r="N14" s="274">
        <f>+M14+G14</f>
        <v>12205.419017213024</v>
      </c>
      <c r="O14" s="275">
        <f>+N14/((((J14+1)^(1/252))*((1+I14)^(1/252)))^E14)</f>
        <v>11671.223373283945</v>
      </c>
      <c r="P14" s="276">
        <f t="shared" ref="P14" si="6">+O14/$N$13*D14/252</f>
        <v>1.4933790003701155E-2</v>
      </c>
      <c r="Q14" s="277">
        <f t="shared" ref="Q14" si="7">+G14*D14/$H$13</f>
        <v>0</v>
      </c>
    </row>
    <row r="15" spans="2:17">
      <c r="B15" s="237">
        <f t="shared" ref="B15:B23" si="8">EDATE(B14,6)</f>
        <v>41440</v>
      </c>
      <c r="C15" s="237">
        <f t="shared" si="0"/>
        <v>41442</v>
      </c>
      <c r="D15" s="269">
        <f t="shared" si="1"/>
        <v>250</v>
      </c>
      <c r="E15" s="269">
        <f t="shared" si="2"/>
        <v>123</v>
      </c>
      <c r="F15" s="271">
        <v>0</v>
      </c>
      <c r="G15" s="245">
        <f t="shared" ref="G15:G23" si="9">F15*$C$8</f>
        <v>0</v>
      </c>
      <c r="H15" s="246">
        <f t="shared" ref="H15:H23" si="10">H14-G15</f>
        <v>266666.66666666669</v>
      </c>
      <c r="I15" s="230">
        <f t="shared" ref="I15:I23" si="11">$C$9</f>
        <v>1.15E-2</v>
      </c>
      <c r="J15" s="345">
        <v>8.0509999999999998E-2</v>
      </c>
      <c r="K15" s="272">
        <f t="shared" ref="K15:K23" si="12">((((1+J15)^(D15/252))/((1+J14)^(D14/252)))^(252/(D15-D14)))-1</f>
        <v>8.0582281181583504E-2</v>
      </c>
      <c r="L15" s="120">
        <f t="shared" ref="L15:L23" si="13">+(((1+K15)^(1/252))*((1+I15)^(1/252)))</f>
        <v>1.000352976657459</v>
      </c>
      <c r="M15" s="273">
        <f t="shared" ref="M15:M23" si="14">+H14*(L15^(E15)-1)</f>
        <v>11830.505977405301</v>
      </c>
      <c r="N15" s="274">
        <f t="shared" ref="N15:N23" si="15">+M15+G15</f>
        <v>11830.505977405301</v>
      </c>
      <c r="O15" s="275">
        <f t="shared" ref="O15:O23" si="16">+N15/((((J15+1)^(1/252))*((1+I15)^(1/252)))^E15)</f>
        <v>11328.318240221473</v>
      </c>
      <c r="P15" s="276">
        <f t="shared" ref="P15:P23" si="17">+O15/$N$13*D15/252</f>
        <v>2.8533522401283252E-2</v>
      </c>
      <c r="Q15" s="277">
        <f t="shared" ref="Q15:Q23" si="18">+G15*D15/$H$13</f>
        <v>0</v>
      </c>
    </row>
    <row r="16" spans="2:17">
      <c r="B16" s="237">
        <f t="shared" si="8"/>
        <v>41623</v>
      </c>
      <c r="C16" s="237">
        <f t="shared" si="0"/>
        <v>41624</v>
      </c>
      <c r="D16" s="269">
        <f t="shared" si="1"/>
        <v>379</v>
      </c>
      <c r="E16" s="269">
        <f t="shared" si="2"/>
        <v>129</v>
      </c>
      <c r="F16" s="271">
        <v>0</v>
      </c>
      <c r="G16" s="245">
        <f t="shared" si="9"/>
        <v>0</v>
      </c>
      <c r="H16" s="246">
        <f t="shared" si="10"/>
        <v>266666.66666666669</v>
      </c>
      <c r="I16" s="230">
        <f t="shared" si="11"/>
        <v>1.15E-2</v>
      </c>
      <c r="J16" s="345">
        <v>8.3559999999999995E-2</v>
      </c>
      <c r="K16" s="272">
        <f t="shared" si="12"/>
        <v>8.9495384195801941E-2</v>
      </c>
      <c r="L16" s="120">
        <f t="shared" si="13"/>
        <v>1.0003855862891031</v>
      </c>
      <c r="M16" s="273">
        <f t="shared" si="14"/>
        <v>13596.903690149276</v>
      </c>
      <c r="N16" s="274">
        <f t="shared" si="15"/>
        <v>13596.903690149276</v>
      </c>
      <c r="O16" s="275">
        <f t="shared" si="16"/>
        <v>12973.482238684388</v>
      </c>
      <c r="P16" s="276">
        <f t="shared" si="17"/>
        <v>4.953882593666771E-2</v>
      </c>
      <c r="Q16" s="277">
        <f t="shared" si="18"/>
        <v>0</v>
      </c>
    </row>
    <row r="17" spans="2:17">
      <c r="B17" s="237">
        <f t="shared" si="8"/>
        <v>41805</v>
      </c>
      <c r="C17" s="237">
        <f t="shared" si="0"/>
        <v>41806</v>
      </c>
      <c r="D17" s="269">
        <f t="shared" si="1"/>
        <v>502</v>
      </c>
      <c r="E17" s="269">
        <f t="shared" si="2"/>
        <v>123</v>
      </c>
      <c r="F17" s="271">
        <v>0</v>
      </c>
      <c r="G17" s="245">
        <f t="shared" si="9"/>
        <v>0</v>
      </c>
      <c r="H17" s="246">
        <f t="shared" si="10"/>
        <v>266666.66666666669</v>
      </c>
      <c r="I17" s="230">
        <f t="shared" si="11"/>
        <v>1.15E-2</v>
      </c>
      <c r="J17" s="345">
        <v>8.6690000000000003E-2</v>
      </c>
      <c r="K17" s="272">
        <f t="shared" si="12"/>
        <v>9.6391436605768765E-2</v>
      </c>
      <c r="L17" s="120">
        <f t="shared" si="13"/>
        <v>1.0004106344959072</v>
      </c>
      <c r="M17" s="273">
        <f t="shared" si="14"/>
        <v>13811.844967107887</v>
      </c>
      <c r="N17" s="274">
        <f t="shared" si="15"/>
        <v>13811.844967107887</v>
      </c>
      <c r="O17" s="275">
        <f t="shared" si="16"/>
        <v>13188.787265836798</v>
      </c>
      <c r="P17" s="276">
        <f t="shared" si="17"/>
        <v>6.6705019952848527E-2</v>
      </c>
      <c r="Q17" s="277">
        <f t="shared" si="18"/>
        <v>0</v>
      </c>
    </row>
    <row r="18" spans="2:17">
      <c r="B18" s="237">
        <f t="shared" si="8"/>
        <v>41988</v>
      </c>
      <c r="C18" s="237">
        <f t="shared" si="0"/>
        <v>41989</v>
      </c>
      <c r="D18" s="269">
        <f t="shared" si="1"/>
        <v>632</v>
      </c>
      <c r="E18" s="269">
        <f t="shared" si="2"/>
        <v>130</v>
      </c>
      <c r="F18" s="271">
        <v>0</v>
      </c>
      <c r="G18" s="245">
        <f t="shared" si="9"/>
        <v>0</v>
      </c>
      <c r="H18" s="246">
        <f t="shared" si="10"/>
        <v>266666.66666666669</v>
      </c>
      <c r="I18" s="230">
        <f t="shared" si="11"/>
        <v>1.15E-2</v>
      </c>
      <c r="J18" s="345">
        <v>8.9719999999999994E-2</v>
      </c>
      <c r="K18" s="272">
        <f t="shared" si="12"/>
        <v>0.10149997463937099</v>
      </c>
      <c r="L18" s="120">
        <f t="shared" si="13"/>
        <v>1.0004290890238861</v>
      </c>
      <c r="M18" s="273">
        <f t="shared" si="14"/>
        <v>15294.41352171066</v>
      </c>
      <c r="N18" s="274">
        <f t="shared" si="15"/>
        <v>15294.41352171066</v>
      </c>
      <c r="O18" s="275">
        <f t="shared" si="16"/>
        <v>14545.253672925903</v>
      </c>
      <c r="P18" s="276">
        <f t="shared" si="17"/>
        <v>9.2616489625884701E-2</v>
      </c>
      <c r="Q18" s="277">
        <f t="shared" si="18"/>
        <v>0</v>
      </c>
    </row>
    <row r="19" spans="2:17">
      <c r="B19" s="237">
        <f t="shared" si="8"/>
        <v>42170</v>
      </c>
      <c r="C19" s="237">
        <f t="shared" si="0"/>
        <v>42171</v>
      </c>
      <c r="D19" s="269">
        <f t="shared" si="1"/>
        <v>754</v>
      </c>
      <c r="E19" s="269">
        <f t="shared" si="2"/>
        <v>122</v>
      </c>
      <c r="F19" s="271">
        <v>0</v>
      </c>
      <c r="G19" s="245">
        <f t="shared" si="9"/>
        <v>0</v>
      </c>
      <c r="H19" s="246">
        <f t="shared" si="10"/>
        <v>266666.66666666669</v>
      </c>
      <c r="I19" s="230">
        <f t="shared" si="11"/>
        <v>1.15E-2</v>
      </c>
      <c r="J19" s="345">
        <v>9.2130000000000004E-2</v>
      </c>
      <c r="K19" s="272">
        <f t="shared" si="12"/>
        <v>0.10470017495383943</v>
      </c>
      <c r="L19" s="120">
        <f t="shared" si="13"/>
        <v>1.0004406063277269</v>
      </c>
      <c r="M19" s="273">
        <f t="shared" si="14"/>
        <v>14723.323440673397</v>
      </c>
      <c r="N19" s="274">
        <f t="shared" si="15"/>
        <v>14723.323440673397</v>
      </c>
      <c r="O19" s="275">
        <f t="shared" si="16"/>
        <v>14030.46592753495</v>
      </c>
      <c r="P19" s="276">
        <f t="shared" si="17"/>
        <v>0.10658433438652887</v>
      </c>
      <c r="Q19" s="277">
        <f t="shared" si="18"/>
        <v>0</v>
      </c>
    </row>
    <row r="20" spans="2:17">
      <c r="B20" s="237">
        <f t="shared" si="8"/>
        <v>42353</v>
      </c>
      <c r="C20" s="237">
        <f t="shared" si="0"/>
        <v>42354</v>
      </c>
      <c r="D20" s="269">
        <f t="shared" si="1"/>
        <v>882</v>
      </c>
      <c r="E20" s="269">
        <f t="shared" si="2"/>
        <v>128</v>
      </c>
      <c r="F20" s="271">
        <v>0</v>
      </c>
      <c r="G20" s="245">
        <f t="shared" si="9"/>
        <v>0</v>
      </c>
      <c r="H20" s="246">
        <f t="shared" si="10"/>
        <v>266666.66666666669</v>
      </c>
      <c r="I20" s="230">
        <f t="shared" si="11"/>
        <v>1.15E-2</v>
      </c>
      <c r="J20" s="345">
        <v>9.4420000000000004E-2</v>
      </c>
      <c r="K20" s="272">
        <f t="shared" si="12"/>
        <v>0.10800731611529346</v>
      </c>
      <c r="L20" s="120">
        <f t="shared" si="13"/>
        <v>1.000452473640572</v>
      </c>
      <c r="M20" s="273">
        <f t="shared" si="14"/>
        <v>15896.7378218757</v>
      </c>
      <c r="N20" s="274">
        <f t="shared" si="15"/>
        <v>15896.7378218757</v>
      </c>
      <c r="O20" s="275">
        <f t="shared" si="16"/>
        <v>15096.722130630702</v>
      </c>
      <c r="P20" s="276">
        <f t="shared" si="17"/>
        <v>0.13415324579336199</v>
      </c>
      <c r="Q20" s="277">
        <f t="shared" si="18"/>
        <v>0</v>
      </c>
    </row>
    <row r="21" spans="2:17">
      <c r="B21" s="237">
        <f t="shared" si="8"/>
        <v>42536</v>
      </c>
      <c r="C21" s="237">
        <f t="shared" si="0"/>
        <v>42537</v>
      </c>
      <c r="D21" s="269">
        <f t="shared" si="1"/>
        <v>1006</v>
      </c>
      <c r="E21" s="269">
        <f t="shared" si="2"/>
        <v>124</v>
      </c>
      <c r="F21" s="271">
        <v>0.5</v>
      </c>
      <c r="G21" s="245">
        <f t="shared" si="9"/>
        <v>133333.33333333334</v>
      </c>
      <c r="H21" s="246">
        <f t="shared" si="10"/>
        <v>133333.33333333334</v>
      </c>
      <c r="I21" s="230">
        <f t="shared" si="11"/>
        <v>1.15E-2</v>
      </c>
      <c r="J21" s="345">
        <v>9.5589999999999994E-2</v>
      </c>
      <c r="K21" s="272">
        <f t="shared" si="12"/>
        <v>0.10394826500045729</v>
      </c>
      <c r="L21" s="120">
        <f t="shared" si="13"/>
        <v>1.0004379032443818</v>
      </c>
      <c r="M21" s="273">
        <f t="shared" si="14"/>
        <v>14876.999655390875</v>
      </c>
      <c r="N21" s="274">
        <f t="shared" si="15"/>
        <v>148210.33298872423</v>
      </c>
      <c r="O21" s="275">
        <f t="shared" si="16"/>
        <v>140904.73536292798</v>
      </c>
      <c r="P21" s="276">
        <f t="shared" si="17"/>
        <v>1.4281489582811966</v>
      </c>
      <c r="Q21" s="277">
        <f t="shared" si="18"/>
        <v>503</v>
      </c>
    </row>
    <row r="22" spans="2:17">
      <c r="B22" s="237">
        <f t="shared" si="8"/>
        <v>42719</v>
      </c>
      <c r="C22" s="237">
        <f t="shared" si="0"/>
        <v>42720</v>
      </c>
      <c r="D22" s="269">
        <f t="shared" si="1"/>
        <v>1133</v>
      </c>
      <c r="E22" s="269">
        <f t="shared" si="2"/>
        <v>127</v>
      </c>
      <c r="F22" s="271">
        <v>0</v>
      </c>
      <c r="G22" s="245">
        <f t="shared" si="9"/>
        <v>0</v>
      </c>
      <c r="H22" s="246">
        <f t="shared" si="10"/>
        <v>133333.33333333334</v>
      </c>
      <c r="I22" s="230">
        <f t="shared" si="11"/>
        <v>1.15E-2</v>
      </c>
      <c r="J22" s="345">
        <v>9.6829999999999999E-2</v>
      </c>
      <c r="K22" s="272">
        <f t="shared" si="12"/>
        <v>0.10670208095523925</v>
      </c>
      <c r="L22" s="120">
        <f t="shared" si="13"/>
        <v>1.0004477941673364</v>
      </c>
      <c r="M22" s="273">
        <f t="shared" si="14"/>
        <v>7800.6094804225759</v>
      </c>
      <c r="N22" s="274">
        <f t="shared" si="15"/>
        <v>7800.6094804225759</v>
      </c>
      <c r="O22" s="275">
        <f t="shared" si="16"/>
        <v>7402.8158087855654</v>
      </c>
      <c r="P22" s="276">
        <f t="shared" si="17"/>
        <v>8.450390755711959E-2</v>
      </c>
      <c r="Q22" s="277">
        <f t="shared" si="18"/>
        <v>0</v>
      </c>
    </row>
    <row r="23" spans="2:17">
      <c r="B23" s="237">
        <f t="shared" si="8"/>
        <v>42901</v>
      </c>
      <c r="C23" s="237">
        <f t="shared" si="0"/>
        <v>42902</v>
      </c>
      <c r="D23" s="269">
        <f t="shared" si="1"/>
        <v>1257</v>
      </c>
      <c r="E23" s="269">
        <f t="shared" si="2"/>
        <v>124</v>
      </c>
      <c r="F23" s="271">
        <v>0.5</v>
      </c>
      <c r="G23" s="245">
        <f t="shared" si="9"/>
        <v>133333.33333333334</v>
      </c>
      <c r="H23" s="246">
        <f t="shared" si="10"/>
        <v>0</v>
      </c>
      <c r="I23" s="230">
        <f t="shared" si="11"/>
        <v>1.15E-2</v>
      </c>
      <c r="J23" s="345">
        <v>9.7100000000000006E-2</v>
      </c>
      <c r="K23" s="272">
        <f t="shared" si="12"/>
        <v>9.9570096266023311E-2</v>
      </c>
      <c r="L23" s="120">
        <f t="shared" si="13"/>
        <v>1.0004221274019087</v>
      </c>
      <c r="M23" s="273">
        <f t="shared" si="14"/>
        <v>7163.5086464474962</v>
      </c>
      <c r="N23" s="274">
        <f t="shared" si="15"/>
        <v>140496.84197978085</v>
      </c>
      <c r="O23" s="275">
        <f t="shared" si="16"/>
        <v>133480.96496631633</v>
      </c>
      <c r="P23" s="276">
        <f t="shared" si="17"/>
        <v>1.6904586552817733</v>
      </c>
      <c r="Q23" s="277">
        <f t="shared" si="18"/>
        <v>628.5</v>
      </c>
    </row>
    <row r="24" spans="2:17">
      <c r="C24" s="248"/>
      <c r="D24" s="249"/>
      <c r="E24" s="249"/>
      <c r="F24" s="250"/>
      <c r="G24" s="251"/>
      <c r="H24" s="238"/>
      <c r="I24" s="243"/>
      <c r="J24" s="244"/>
      <c r="K24" s="241"/>
      <c r="L24" s="240"/>
      <c r="M24" s="242"/>
      <c r="N24" s="245"/>
      <c r="O24" s="246"/>
    </row>
    <row r="25" spans="2:17">
      <c r="C25" s="248"/>
      <c r="D25" s="249"/>
      <c r="E25" s="249"/>
      <c r="F25" s="250"/>
      <c r="G25" s="251"/>
      <c r="H25" s="238"/>
      <c r="I25" s="243"/>
      <c r="J25" s="244"/>
      <c r="K25" s="241"/>
      <c r="L25" s="294"/>
      <c r="M25" s="242"/>
      <c r="N25" s="245"/>
      <c r="O25" s="246"/>
    </row>
    <row r="26" spans="2:17">
      <c r="C26" s="248"/>
      <c r="D26" s="249"/>
      <c r="E26" s="249"/>
      <c r="F26" s="250"/>
      <c r="G26" s="251"/>
      <c r="H26" s="238"/>
      <c r="I26" s="243"/>
      <c r="J26" s="244"/>
      <c r="K26" s="241"/>
      <c r="L26" s="240"/>
      <c r="M26" s="242"/>
      <c r="N26" s="245"/>
      <c r="O26" s="246"/>
    </row>
    <row r="27" spans="2:17" ht="15.75" thickBot="1">
      <c r="B27" s="909" t="s">
        <v>481</v>
      </c>
      <c r="C27" s="910"/>
      <c r="D27" s="910"/>
      <c r="E27" s="910"/>
      <c r="F27" s="910"/>
      <c r="G27" s="910"/>
      <c r="H27" s="910"/>
      <c r="I27" s="910"/>
      <c r="J27" s="910"/>
      <c r="K27" s="910"/>
      <c r="L27" s="910"/>
      <c r="M27" s="910"/>
      <c r="N27" s="910"/>
      <c r="O27" s="910"/>
      <c r="P27" s="910"/>
      <c r="Q27" s="910"/>
    </row>
    <row r="28" spans="2:17"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4"/>
      <c r="O28" s="234"/>
    </row>
    <row r="29" spans="2:17">
      <c r="B29" s="322" t="s">
        <v>424</v>
      </c>
      <c r="C29" s="323">
        <f>C8</f>
        <v>266666.66666666669</v>
      </c>
      <c r="D29" s="233"/>
      <c r="F29" s="325" t="s">
        <v>425</v>
      </c>
      <c r="G29" s="329">
        <f>P34</f>
        <v>5.8882458365676751</v>
      </c>
      <c r="H29" s="322" t="s">
        <v>378</v>
      </c>
      <c r="I29" s="233"/>
      <c r="J29" s="233"/>
      <c r="K29" s="233"/>
      <c r="L29" s="233"/>
      <c r="M29" s="233"/>
      <c r="N29" s="234"/>
      <c r="O29" s="234"/>
    </row>
    <row r="30" spans="2:17">
      <c r="B30" s="322" t="s">
        <v>426</v>
      </c>
      <c r="C30" s="327">
        <v>1.4E-2</v>
      </c>
      <c r="D30" s="233"/>
      <c r="F30" s="325" t="s">
        <v>427</v>
      </c>
      <c r="G30" s="329">
        <f>Q34</f>
        <v>6.4761904761904763</v>
      </c>
      <c r="H30" s="322" t="s">
        <v>378</v>
      </c>
      <c r="I30" s="233"/>
      <c r="J30" s="235"/>
      <c r="K30" s="233"/>
      <c r="L30" s="233"/>
      <c r="M30" s="233"/>
      <c r="N30" s="234"/>
      <c r="O30" s="234"/>
    </row>
    <row r="31" spans="2:17">
      <c r="B31" s="322" t="s">
        <v>464</v>
      </c>
      <c r="C31" s="343">
        <f>(((1+J36)^(1/252))*((1+C30)^(1/252)))^252-1</f>
        <v>9.5637139999966037E-2</v>
      </c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4"/>
      <c r="O31" s="234"/>
    </row>
    <row r="32" spans="2:17">
      <c r="B32" s="233"/>
      <c r="C32" s="236"/>
      <c r="D32" s="233"/>
      <c r="E32" s="233"/>
      <c r="F32" s="233"/>
      <c r="G32" s="233"/>
      <c r="H32" s="233"/>
      <c r="I32" s="292" t="s">
        <v>462</v>
      </c>
      <c r="J32" s="293">
        <v>41039</v>
      </c>
      <c r="K32" s="233"/>
      <c r="L32" s="233"/>
      <c r="M32" s="233"/>
      <c r="N32" s="234"/>
      <c r="O32" s="234"/>
    </row>
    <row r="33" spans="2:17">
      <c r="B33" s="279" t="s">
        <v>428</v>
      </c>
      <c r="C33" s="279" t="s">
        <v>429</v>
      </c>
      <c r="D33" s="279" t="s">
        <v>430</v>
      </c>
      <c r="E33" s="279" t="s">
        <v>431</v>
      </c>
      <c r="F33" s="279" t="s">
        <v>432</v>
      </c>
      <c r="G33" s="279" t="s">
        <v>433</v>
      </c>
      <c r="H33" s="279" t="s">
        <v>374</v>
      </c>
      <c r="I33" s="280" t="s">
        <v>434</v>
      </c>
      <c r="J33" s="280" t="s">
        <v>435</v>
      </c>
      <c r="K33" s="280" t="s">
        <v>436</v>
      </c>
      <c r="L33" s="280" t="s">
        <v>437</v>
      </c>
      <c r="M33" s="280" t="s">
        <v>375</v>
      </c>
      <c r="N33" s="279" t="s">
        <v>376</v>
      </c>
      <c r="O33" s="279" t="s">
        <v>438</v>
      </c>
      <c r="P33" s="279" t="s">
        <v>439</v>
      </c>
      <c r="Q33" s="279" t="s">
        <v>440</v>
      </c>
    </row>
    <row r="34" spans="2:17">
      <c r="B34" s="281">
        <v>41075</v>
      </c>
      <c r="C34" s="281">
        <f t="shared" ref="C34:C48" si="19">WORKDAY(B34,1,FERIADO)</f>
        <v>41078</v>
      </c>
      <c r="D34" s="282">
        <v>0</v>
      </c>
      <c r="E34" s="282"/>
      <c r="F34" s="282"/>
      <c r="G34" s="282"/>
      <c r="H34" s="283">
        <f>C29</f>
        <v>266666.66666666669</v>
      </c>
      <c r="I34" s="284"/>
      <c r="J34" s="290">
        <v>8.6999999999999994E-2</v>
      </c>
      <c r="K34" s="285"/>
      <c r="L34" s="285"/>
      <c r="M34" s="286">
        <f>SUM(M35:M48)</f>
        <v>197025.03529067541</v>
      </c>
      <c r="N34" s="286">
        <f>SUM(N35:N48)</f>
        <v>463691.7019573421</v>
      </c>
      <c r="O34" s="287">
        <f>SUM(O35:O48)</f>
        <v>439712.71142765298</v>
      </c>
      <c r="P34" s="288">
        <f>SUM(P35:P48)</f>
        <v>5.8882458365676751</v>
      </c>
      <c r="Q34" s="289">
        <f>SUM(Q35:Q48)/252</f>
        <v>6.4761904761904763</v>
      </c>
    </row>
    <row r="35" spans="2:17">
      <c r="B35" s="237">
        <f>EDATE(B34,6)</f>
        <v>41258</v>
      </c>
      <c r="C35" s="237">
        <f t="shared" si="19"/>
        <v>41260</v>
      </c>
      <c r="D35" s="269">
        <f t="shared" ref="D35:D48" si="20">NETWORKDAYS($C$13,C35,FERIADO)</f>
        <v>127</v>
      </c>
      <c r="E35" s="269">
        <f t="shared" ref="E35:E48" si="21">+D35-D34</f>
        <v>127</v>
      </c>
      <c r="F35" s="271">
        <v>0</v>
      </c>
      <c r="G35" s="245">
        <f t="shared" ref="G35:G42" si="22">F35*$C$8</f>
        <v>0</v>
      </c>
      <c r="H35" s="246">
        <f t="shared" ref="H35:H42" si="23">H34-G35</f>
        <v>266666.66666666669</v>
      </c>
      <c r="I35" s="230">
        <f>$C$30</f>
        <v>1.4E-2</v>
      </c>
      <c r="J35" s="345">
        <v>8.0439999999999998E-2</v>
      </c>
      <c r="K35" s="272">
        <f>((((1+J35)^(D35/252))/((1+J34)^(D34/252)))^(252/(D35-D34)))-1</f>
        <v>8.0440000000000289E-2</v>
      </c>
      <c r="L35" s="120">
        <f t="shared" ref="L35:L42" si="24">+(((1+K35)^(1/252))*((1+I35)^(1/252)))</f>
        <v>1.0003622531801617</v>
      </c>
      <c r="M35" s="273">
        <f>+H34*(L35^(E35)-1)</f>
        <v>12552.568381580662</v>
      </c>
      <c r="N35" s="274">
        <f>+M35+G35</f>
        <v>12552.568381580662</v>
      </c>
      <c r="O35" s="275">
        <f>+N35/((((J35+1)^(1/252))*((1+I35)^(1/252)))^E35)</f>
        <v>11988.255636625852</v>
      </c>
      <c r="P35" s="276">
        <f t="shared" ref="P35:P42" si="25">+O35/$N$13*D35/252</f>
        <v>1.5339445271681339E-2</v>
      </c>
      <c r="Q35" s="277">
        <f t="shared" ref="Q35:Q42" si="26">+G35*D35/$H$13</f>
        <v>0</v>
      </c>
    </row>
    <row r="36" spans="2:17">
      <c r="B36" s="237">
        <f t="shared" ref="B36:B48" si="27">EDATE(B35,6)</f>
        <v>41440</v>
      </c>
      <c r="C36" s="237">
        <f t="shared" si="19"/>
        <v>41442</v>
      </c>
      <c r="D36" s="269">
        <f t="shared" si="20"/>
        <v>250</v>
      </c>
      <c r="E36" s="269">
        <f t="shared" si="21"/>
        <v>123</v>
      </c>
      <c r="F36" s="271">
        <v>0</v>
      </c>
      <c r="G36" s="245">
        <f t="shared" si="22"/>
        <v>0</v>
      </c>
      <c r="H36" s="246">
        <f t="shared" si="23"/>
        <v>266666.66666666669</v>
      </c>
      <c r="I36" s="230">
        <f t="shared" ref="I36:I48" si="28">$C$30</f>
        <v>1.4E-2</v>
      </c>
      <c r="J36" s="345">
        <v>8.0509999999999998E-2</v>
      </c>
      <c r="K36" s="272">
        <f t="shared" ref="K36:K42" si="29">((((1+J36)^(D36/252))/((1+J35)^(D35/252)))^(252/(D36-D35)))-1</f>
        <v>8.0582281181583504E-2</v>
      </c>
      <c r="L36" s="120">
        <f t="shared" si="24"/>
        <v>1.000362775907343</v>
      </c>
      <c r="M36" s="273">
        <f t="shared" ref="M36:M42" si="30">+H35*(L36^(E36)-1)</f>
        <v>12166.262919113477</v>
      </c>
      <c r="N36" s="274">
        <f t="shared" ref="N36:N42" si="31">+M36+G36</f>
        <v>12166.262919113477</v>
      </c>
      <c r="O36" s="275">
        <f t="shared" ref="O36:O42" si="32">+N36/((((J36+1)^(1/252))*((1+I36)^(1/252)))^E36)</f>
        <v>11635.794643706684</v>
      </c>
      <c r="P36" s="276">
        <f t="shared" si="25"/>
        <v>2.9307987300720938E-2</v>
      </c>
      <c r="Q36" s="277">
        <f t="shared" si="26"/>
        <v>0</v>
      </c>
    </row>
    <row r="37" spans="2:17">
      <c r="B37" s="237">
        <f t="shared" si="27"/>
        <v>41623</v>
      </c>
      <c r="C37" s="237">
        <f t="shared" si="19"/>
        <v>41624</v>
      </c>
      <c r="D37" s="269">
        <f t="shared" si="20"/>
        <v>379</v>
      </c>
      <c r="E37" s="269">
        <f t="shared" si="21"/>
        <v>129</v>
      </c>
      <c r="F37" s="271">
        <v>0</v>
      </c>
      <c r="G37" s="245">
        <f t="shared" si="22"/>
        <v>0</v>
      </c>
      <c r="H37" s="246">
        <f t="shared" si="23"/>
        <v>266666.66666666669</v>
      </c>
      <c r="I37" s="230">
        <f t="shared" si="28"/>
        <v>1.4E-2</v>
      </c>
      <c r="J37" s="345">
        <v>8.3559999999999995E-2</v>
      </c>
      <c r="K37" s="272">
        <f t="shared" si="29"/>
        <v>8.9495384195801941E-2</v>
      </c>
      <c r="L37" s="120">
        <f t="shared" si="24"/>
        <v>1.0003953858584242</v>
      </c>
      <c r="M37" s="273">
        <f t="shared" si="30"/>
        <v>13951.282890960867</v>
      </c>
      <c r="N37" s="274">
        <f t="shared" si="31"/>
        <v>13951.282890960867</v>
      </c>
      <c r="O37" s="275">
        <f t="shared" si="32"/>
        <v>13294.802454464652</v>
      </c>
      <c r="P37" s="276">
        <f t="shared" si="25"/>
        <v>5.0765776877565227E-2</v>
      </c>
      <c r="Q37" s="277">
        <f t="shared" si="26"/>
        <v>0</v>
      </c>
    </row>
    <row r="38" spans="2:17">
      <c r="B38" s="237">
        <f t="shared" si="27"/>
        <v>41805</v>
      </c>
      <c r="C38" s="237">
        <f t="shared" si="19"/>
        <v>41806</v>
      </c>
      <c r="D38" s="269">
        <f t="shared" si="20"/>
        <v>502</v>
      </c>
      <c r="E38" s="269">
        <f t="shared" si="21"/>
        <v>123</v>
      </c>
      <c r="F38" s="271">
        <v>0</v>
      </c>
      <c r="G38" s="245">
        <f t="shared" si="22"/>
        <v>0</v>
      </c>
      <c r="H38" s="246">
        <f t="shared" si="23"/>
        <v>266666.66666666669</v>
      </c>
      <c r="I38" s="230">
        <f t="shared" si="28"/>
        <v>1.4E-2</v>
      </c>
      <c r="J38" s="345">
        <v>8.6690000000000003E-2</v>
      </c>
      <c r="K38" s="272">
        <f t="shared" si="29"/>
        <v>9.6391436605768765E-2</v>
      </c>
      <c r="L38" s="120">
        <f t="shared" si="24"/>
        <v>1.0004204343105954</v>
      </c>
      <c r="M38" s="273">
        <f t="shared" si="30"/>
        <v>14149.990616442547</v>
      </c>
      <c r="N38" s="274">
        <f t="shared" si="31"/>
        <v>14149.990616442547</v>
      </c>
      <c r="O38" s="275">
        <f t="shared" si="32"/>
        <v>13495.408931972603</v>
      </c>
      <c r="P38" s="276">
        <f t="shared" si="25"/>
        <v>6.8255822459955817E-2</v>
      </c>
      <c r="Q38" s="277">
        <f t="shared" si="26"/>
        <v>0</v>
      </c>
    </row>
    <row r="39" spans="2:17">
      <c r="B39" s="237">
        <f t="shared" si="27"/>
        <v>41988</v>
      </c>
      <c r="C39" s="237">
        <f t="shared" si="19"/>
        <v>41989</v>
      </c>
      <c r="D39" s="269">
        <f t="shared" si="20"/>
        <v>632</v>
      </c>
      <c r="E39" s="269">
        <f t="shared" si="21"/>
        <v>130</v>
      </c>
      <c r="F39" s="271">
        <v>0</v>
      </c>
      <c r="G39" s="245">
        <f t="shared" si="22"/>
        <v>0</v>
      </c>
      <c r="H39" s="246">
        <f t="shared" si="23"/>
        <v>266666.66666666669</v>
      </c>
      <c r="I39" s="230">
        <f t="shared" si="28"/>
        <v>1.4E-2</v>
      </c>
      <c r="J39" s="345">
        <v>8.9719999999999994E-2</v>
      </c>
      <c r="K39" s="272">
        <f t="shared" si="29"/>
        <v>0.10149997463937099</v>
      </c>
      <c r="L39" s="120">
        <f t="shared" si="24"/>
        <v>1.000438889019351</v>
      </c>
      <c r="M39" s="273">
        <f t="shared" si="30"/>
        <v>15653.704663004577</v>
      </c>
      <c r="N39" s="274">
        <f t="shared" si="31"/>
        <v>15653.704663004577</v>
      </c>
      <c r="O39" s="275">
        <f t="shared" si="32"/>
        <v>14868.000139773805</v>
      </c>
      <c r="P39" s="276">
        <f t="shared" si="25"/>
        <v>9.4671568586401508E-2</v>
      </c>
      <c r="Q39" s="277">
        <f t="shared" si="26"/>
        <v>0</v>
      </c>
    </row>
    <row r="40" spans="2:17">
      <c r="B40" s="237">
        <f t="shared" si="27"/>
        <v>42170</v>
      </c>
      <c r="C40" s="237">
        <f t="shared" si="19"/>
        <v>42171</v>
      </c>
      <c r="D40" s="269">
        <f t="shared" si="20"/>
        <v>754</v>
      </c>
      <c r="E40" s="269">
        <f t="shared" si="21"/>
        <v>122</v>
      </c>
      <c r="F40" s="271">
        <v>0</v>
      </c>
      <c r="G40" s="245">
        <f t="shared" si="22"/>
        <v>0</v>
      </c>
      <c r="H40" s="246">
        <f t="shared" si="23"/>
        <v>266666.66666666669</v>
      </c>
      <c r="I40" s="230">
        <f t="shared" si="28"/>
        <v>1.4E-2</v>
      </c>
      <c r="J40" s="345">
        <v>9.2130000000000004E-2</v>
      </c>
      <c r="K40" s="272">
        <f t="shared" si="29"/>
        <v>0.10470017495383943</v>
      </c>
      <c r="L40" s="120">
        <f t="shared" si="24"/>
        <v>1.0004504064360129</v>
      </c>
      <c r="M40" s="273">
        <f t="shared" si="30"/>
        <v>15059.808236904893</v>
      </c>
      <c r="N40" s="274">
        <f t="shared" si="31"/>
        <v>15059.808236904893</v>
      </c>
      <c r="O40" s="275">
        <f t="shared" si="32"/>
        <v>14333.975754813368</v>
      </c>
      <c r="P40" s="276">
        <f t="shared" si="25"/>
        <v>0.10888998788993494</v>
      </c>
      <c r="Q40" s="277">
        <f t="shared" si="26"/>
        <v>0</v>
      </c>
    </row>
    <row r="41" spans="2:17">
      <c r="B41" s="237">
        <f t="shared" si="27"/>
        <v>42353</v>
      </c>
      <c r="C41" s="237">
        <f t="shared" si="19"/>
        <v>42354</v>
      </c>
      <c r="D41" s="269">
        <f t="shared" si="20"/>
        <v>882</v>
      </c>
      <c r="E41" s="269">
        <f t="shared" si="21"/>
        <v>128</v>
      </c>
      <c r="F41" s="271">
        <v>0</v>
      </c>
      <c r="G41" s="245">
        <f t="shared" si="22"/>
        <v>0</v>
      </c>
      <c r="H41" s="246">
        <f t="shared" si="23"/>
        <v>266666.66666666669</v>
      </c>
      <c r="I41" s="230">
        <f t="shared" si="28"/>
        <v>1.4E-2</v>
      </c>
      <c r="J41" s="345">
        <v>9.4420000000000004E-2</v>
      </c>
      <c r="K41" s="272">
        <f t="shared" si="29"/>
        <v>0.10800731611529346</v>
      </c>
      <c r="L41" s="120">
        <f t="shared" si="24"/>
        <v>1.0004622738651077</v>
      </c>
      <c r="M41" s="273">
        <f t="shared" si="30"/>
        <v>16251.253642217795</v>
      </c>
      <c r="N41" s="274">
        <f t="shared" si="31"/>
        <v>16251.253642217795</v>
      </c>
      <c r="O41" s="275">
        <f t="shared" si="32"/>
        <v>15414.057547833634</v>
      </c>
      <c r="P41" s="276">
        <f t="shared" si="25"/>
        <v>0.13697316761841752</v>
      </c>
      <c r="Q41" s="277">
        <f t="shared" si="26"/>
        <v>0</v>
      </c>
    </row>
    <row r="42" spans="2:17">
      <c r="B42" s="237">
        <f t="shared" si="27"/>
        <v>42536</v>
      </c>
      <c r="C42" s="237">
        <f t="shared" si="19"/>
        <v>42537</v>
      </c>
      <c r="D42" s="269">
        <f t="shared" si="20"/>
        <v>1006</v>
      </c>
      <c r="E42" s="269">
        <f t="shared" si="21"/>
        <v>124</v>
      </c>
      <c r="F42" s="271">
        <v>0</v>
      </c>
      <c r="G42" s="245">
        <f t="shared" si="22"/>
        <v>0</v>
      </c>
      <c r="H42" s="246">
        <f t="shared" si="23"/>
        <v>266666.66666666669</v>
      </c>
      <c r="I42" s="230">
        <f t="shared" si="28"/>
        <v>1.4E-2</v>
      </c>
      <c r="J42" s="345">
        <v>9.5589999999999994E-2</v>
      </c>
      <c r="K42" s="272">
        <f t="shared" si="29"/>
        <v>0.10394826500045729</v>
      </c>
      <c r="L42" s="120">
        <f t="shared" si="24"/>
        <v>1.0004477033261889</v>
      </c>
      <c r="M42" s="273">
        <f t="shared" si="30"/>
        <v>15219.19072631987</v>
      </c>
      <c r="N42" s="274">
        <f t="shared" si="31"/>
        <v>15219.19072631987</v>
      </c>
      <c r="O42" s="275">
        <f t="shared" si="32"/>
        <v>14451.440520899916</v>
      </c>
      <c r="P42" s="276">
        <f t="shared" si="25"/>
        <v>0.14647349978995777</v>
      </c>
      <c r="Q42" s="277">
        <f t="shared" si="26"/>
        <v>0</v>
      </c>
    </row>
    <row r="43" spans="2:17">
      <c r="B43" s="237">
        <f t="shared" si="27"/>
        <v>42719</v>
      </c>
      <c r="C43" s="237">
        <f t="shared" si="19"/>
        <v>42720</v>
      </c>
      <c r="D43" s="269">
        <f t="shared" si="20"/>
        <v>1133</v>
      </c>
      <c r="E43" s="269">
        <f t="shared" si="21"/>
        <v>127</v>
      </c>
      <c r="F43" s="271">
        <v>0</v>
      </c>
      <c r="G43" s="245">
        <f t="shared" ref="G43:G48" si="33">F43*$C$8</f>
        <v>0</v>
      </c>
      <c r="H43" s="246">
        <f t="shared" ref="H43:H48" si="34">H42-G43</f>
        <v>266666.66666666669</v>
      </c>
      <c r="I43" s="230">
        <f t="shared" si="28"/>
        <v>1.4E-2</v>
      </c>
      <c r="J43" s="345">
        <v>9.6829999999999999E-2</v>
      </c>
      <c r="K43" s="272">
        <f t="shared" ref="K43:K48" si="35">((((1+J43)^(D43/252))/((1+J42)^(D42/252)))^(252/(D43-D42)))-1</f>
        <v>0.10670208095523925</v>
      </c>
      <c r="L43" s="120">
        <f t="shared" ref="L43:L48" si="36">+(((1+K43)^(1/252))*((1+I43)^(1/252)))</f>
        <v>1.000457594346033</v>
      </c>
      <c r="M43" s="273">
        <f t="shared" ref="M43:M48" si="37">+H42*(L43^(E43)-1)</f>
        <v>15952.595531350926</v>
      </c>
      <c r="N43" s="274">
        <f t="shared" ref="N43:N48" si="38">+M43+G43</f>
        <v>15952.595531350926</v>
      </c>
      <c r="O43" s="275">
        <f t="shared" ref="O43:O48" si="39">+N43/((((J43+1)^(1/252))*((1+I43)^(1/252)))^E43)</f>
        <v>15120.267450033312</v>
      </c>
      <c r="P43" s="276">
        <f t="shared" ref="P43:P48" si="40">+O43/$N$13*D43/252</f>
        <v>0.17259941566020809</v>
      </c>
      <c r="Q43" s="277">
        <f t="shared" ref="Q43:Q48" si="41">+G43*D43/$H$13</f>
        <v>0</v>
      </c>
    </row>
    <row r="44" spans="2:17">
      <c r="B44" s="237">
        <f t="shared" si="27"/>
        <v>42901</v>
      </c>
      <c r="C44" s="237">
        <f t="shared" si="19"/>
        <v>42902</v>
      </c>
      <c r="D44" s="269">
        <f t="shared" si="20"/>
        <v>1257</v>
      </c>
      <c r="E44" s="269">
        <f t="shared" si="21"/>
        <v>124</v>
      </c>
      <c r="F44" s="271">
        <v>0</v>
      </c>
      <c r="G44" s="245">
        <f t="shared" si="33"/>
        <v>0</v>
      </c>
      <c r="H44" s="246">
        <f t="shared" si="34"/>
        <v>266666.66666666669</v>
      </c>
      <c r="I44" s="230">
        <f t="shared" si="28"/>
        <v>1.4E-2</v>
      </c>
      <c r="J44" s="345">
        <v>9.7100000000000006E-2</v>
      </c>
      <c r="K44" s="272">
        <f t="shared" si="35"/>
        <v>9.9570096266023311E-2</v>
      </c>
      <c r="L44" s="120">
        <f t="shared" si="36"/>
        <v>1.0004319273291791</v>
      </c>
      <c r="M44" s="273">
        <f t="shared" si="37"/>
        <v>14668.539909597794</v>
      </c>
      <c r="N44" s="274">
        <f t="shared" si="38"/>
        <v>14668.539909597794</v>
      </c>
      <c r="O44" s="275">
        <f t="shared" si="39"/>
        <v>13919.131456085597</v>
      </c>
      <c r="P44" s="276">
        <f t="shared" si="40"/>
        <v>0.17627769060466686</v>
      </c>
      <c r="Q44" s="277">
        <f t="shared" si="41"/>
        <v>0</v>
      </c>
    </row>
    <row r="45" spans="2:17">
      <c r="B45" s="237">
        <f t="shared" si="27"/>
        <v>43084</v>
      </c>
      <c r="C45" s="237">
        <f t="shared" si="19"/>
        <v>43087</v>
      </c>
      <c r="D45" s="269">
        <f t="shared" si="20"/>
        <v>1384</v>
      </c>
      <c r="E45" s="269">
        <f t="shared" si="21"/>
        <v>127</v>
      </c>
      <c r="F45" s="271">
        <v>0</v>
      </c>
      <c r="G45" s="245">
        <f t="shared" si="33"/>
        <v>0</v>
      </c>
      <c r="H45" s="246">
        <f t="shared" si="34"/>
        <v>266666.66666666669</v>
      </c>
      <c r="I45" s="230">
        <f t="shared" si="28"/>
        <v>1.4E-2</v>
      </c>
      <c r="J45" s="345">
        <v>9.9430000000000004E-2</v>
      </c>
      <c r="K45" s="272">
        <f t="shared" si="35"/>
        <v>0.12276005399119461</v>
      </c>
      <c r="L45" s="120">
        <f t="shared" si="36"/>
        <v>1.000514786794191</v>
      </c>
      <c r="M45" s="273">
        <f t="shared" si="37"/>
        <v>18011.852249141335</v>
      </c>
      <c r="N45" s="274">
        <f t="shared" si="38"/>
        <v>18011.852249141335</v>
      </c>
      <c r="O45" s="275">
        <f t="shared" si="39"/>
        <v>17051.723550377465</v>
      </c>
      <c r="P45" s="276">
        <f t="shared" si="40"/>
        <v>0.23776849633405447</v>
      </c>
      <c r="Q45" s="277">
        <f t="shared" si="41"/>
        <v>0</v>
      </c>
    </row>
    <row r="46" spans="2:17">
      <c r="B46" s="237">
        <f t="shared" si="27"/>
        <v>43266</v>
      </c>
      <c r="C46" s="237">
        <f t="shared" si="19"/>
        <v>43269</v>
      </c>
      <c r="D46" s="269">
        <f t="shared" si="20"/>
        <v>1507</v>
      </c>
      <c r="E46" s="269">
        <f t="shared" si="21"/>
        <v>123</v>
      </c>
      <c r="F46" s="271">
        <v>0.5</v>
      </c>
      <c r="G46" s="245">
        <f t="shared" si="33"/>
        <v>133333.33333333334</v>
      </c>
      <c r="H46" s="246">
        <f t="shared" si="34"/>
        <v>133333.33333333334</v>
      </c>
      <c r="I46" s="230">
        <f t="shared" si="28"/>
        <v>1.4E-2</v>
      </c>
      <c r="J46" s="345">
        <v>0.10384</v>
      </c>
      <c r="K46" s="272">
        <f t="shared" si="35"/>
        <v>0.15469765631027355</v>
      </c>
      <c r="L46" s="120">
        <f t="shared" si="36"/>
        <v>1.0006261540695183</v>
      </c>
      <c r="M46" s="273">
        <f t="shared" si="37"/>
        <v>21342.493963189394</v>
      </c>
      <c r="N46" s="274">
        <f t="shared" si="38"/>
        <v>154675.82729652274</v>
      </c>
      <c r="O46" s="275">
        <f t="shared" si="39"/>
        <v>146397.30228863799</v>
      </c>
      <c r="P46" s="276">
        <f t="shared" si="40"/>
        <v>2.2227788937249144</v>
      </c>
      <c r="Q46" s="277">
        <f t="shared" si="41"/>
        <v>753.5</v>
      </c>
    </row>
    <row r="47" spans="2:17">
      <c r="B47" s="237">
        <f t="shared" si="27"/>
        <v>43449</v>
      </c>
      <c r="C47" s="237">
        <f t="shared" si="19"/>
        <v>43451</v>
      </c>
      <c r="D47" s="269">
        <f t="shared" si="20"/>
        <v>1633</v>
      </c>
      <c r="E47" s="269">
        <f t="shared" si="21"/>
        <v>126</v>
      </c>
      <c r="F47" s="271">
        <v>0</v>
      </c>
      <c r="G47" s="245">
        <f t="shared" si="33"/>
        <v>0</v>
      </c>
      <c r="H47" s="246">
        <f t="shared" si="34"/>
        <v>133333.33333333334</v>
      </c>
      <c r="I47" s="230">
        <f t="shared" si="28"/>
        <v>1.4E-2</v>
      </c>
      <c r="J47" s="345">
        <v>0.10491</v>
      </c>
      <c r="K47" s="272">
        <f t="shared" si="35"/>
        <v>0.11778821279154172</v>
      </c>
      <c r="L47" s="120">
        <f t="shared" si="36"/>
        <v>1.0004971665144202</v>
      </c>
      <c r="M47" s="273">
        <f t="shared" si="37"/>
        <v>8617.3465379553181</v>
      </c>
      <c r="N47" s="274">
        <f t="shared" si="38"/>
        <v>8617.3465379553181</v>
      </c>
      <c r="O47" s="275">
        <f t="shared" si="39"/>
        <v>8141.2506981667784</v>
      </c>
      <c r="P47" s="276">
        <f t="shared" si="40"/>
        <v>0.13394522967362582</v>
      </c>
      <c r="Q47" s="277">
        <f t="shared" si="41"/>
        <v>0</v>
      </c>
    </row>
    <row r="48" spans="2:17">
      <c r="B48" s="237">
        <f t="shared" si="27"/>
        <v>43631</v>
      </c>
      <c r="C48" s="237">
        <f t="shared" si="19"/>
        <v>43633</v>
      </c>
      <c r="D48" s="269">
        <f t="shared" si="20"/>
        <v>1757</v>
      </c>
      <c r="E48" s="269">
        <f t="shared" si="21"/>
        <v>124</v>
      </c>
      <c r="F48" s="271">
        <v>0.5</v>
      </c>
      <c r="G48" s="245">
        <f t="shared" si="33"/>
        <v>133333.33333333334</v>
      </c>
      <c r="H48" s="246">
        <f t="shared" si="34"/>
        <v>0</v>
      </c>
      <c r="I48" s="230">
        <f t="shared" si="28"/>
        <v>1.4E-2</v>
      </c>
      <c r="J48" s="345">
        <v>0.10008</v>
      </c>
      <c r="K48" s="272">
        <f t="shared" si="35"/>
        <v>3.8407442340874676E-2</v>
      </c>
      <c r="L48" s="120">
        <f t="shared" si="36"/>
        <v>1.000204747700943</v>
      </c>
      <c r="M48" s="273">
        <f t="shared" si="37"/>
        <v>3428.1450228959307</v>
      </c>
      <c r="N48" s="274">
        <f t="shared" si="38"/>
        <v>136761.47835622929</v>
      </c>
      <c r="O48" s="275">
        <f t="shared" si="39"/>
        <v>129601.30035426133</v>
      </c>
      <c r="P48" s="276">
        <f t="shared" si="40"/>
        <v>2.2941988547755701</v>
      </c>
      <c r="Q48" s="277">
        <f t="shared" si="41"/>
        <v>878.5</v>
      </c>
    </row>
    <row r="49" spans="2:17">
      <c r="B49" s="270"/>
      <c r="C49" s="248"/>
      <c r="D49" s="249"/>
      <c r="E49" s="249"/>
      <c r="F49" s="250"/>
      <c r="G49" s="251"/>
      <c r="H49" s="238"/>
      <c r="I49" s="243"/>
      <c r="J49" s="244"/>
      <c r="K49" s="241"/>
      <c r="L49" s="240"/>
      <c r="M49" s="242"/>
      <c r="N49" s="245"/>
      <c r="O49" s="246"/>
    </row>
    <row r="50" spans="2:17">
      <c r="B50" s="270"/>
      <c r="C50" s="248"/>
      <c r="D50" s="249"/>
      <c r="E50" s="249"/>
      <c r="F50" s="250"/>
      <c r="G50" s="251"/>
      <c r="H50" s="238"/>
      <c r="I50" s="243"/>
      <c r="J50" s="244"/>
      <c r="K50" s="241"/>
      <c r="L50" s="240"/>
      <c r="M50" s="242"/>
      <c r="N50" s="245"/>
      <c r="O50" s="246"/>
    </row>
    <row r="51" spans="2:17" ht="15.75" thickBot="1">
      <c r="B51" s="909" t="s">
        <v>487</v>
      </c>
      <c r="C51" s="910"/>
      <c r="D51" s="910"/>
      <c r="E51" s="910"/>
      <c r="F51" s="910"/>
      <c r="G51" s="910"/>
      <c r="H51" s="910"/>
      <c r="I51" s="910"/>
      <c r="J51" s="910"/>
      <c r="K51" s="910"/>
      <c r="L51" s="910"/>
      <c r="M51" s="910"/>
      <c r="N51" s="910"/>
      <c r="O51" s="910"/>
      <c r="P51" s="910"/>
      <c r="Q51" s="910"/>
    </row>
    <row r="52" spans="2:17">
      <c r="B52" s="321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</row>
    <row r="53" spans="2:17">
      <c r="B53" s="322" t="s">
        <v>424</v>
      </c>
      <c r="C53" s="323">
        <f>C8</f>
        <v>266666.66666666669</v>
      </c>
      <c r="D53" s="324"/>
      <c r="E53" s="324"/>
      <c r="F53" s="324"/>
      <c r="G53" s="324"/>
      <c r="H53" s="324"/>
      <c r="I53" s="324"/>
      <c r="J53" s="324"/>
      <c r="K53" s="324"/>
      <c r="L53" s="324"/>
      <c r="M53" s="324"/>
      <c r="N53" s="324"/>
      <c r="O53" s="326"/>
      <c r="P53" s="326"/>
    </row>
    <row r="54" spans="2:17">
      <c r="B54" s="322" t="s">
        <v>482</v>
      </c>
      <c r="C54" s="327">
        <f>J58</f>
        <v>4.4156916671166682E-2</v>
      </c>
      <c r="D54" s="324"/>
      <c r="E54" s="328"/>
      <c r="F54" s="325" t="s">
        <v>425</v>
      </c>
      <c r="G54" s="329">
        <f>O58</f>
        <v>6.0241219869887406</v>
      </c>
      <c r="H54" s="322" t="s">
        <v>378</v>
      </c>
      <c r="I54" s="324"/>
      <c r="J54" s="324"/>
      <c r="K54" s="324"/>
      <c r="L54" s="324"/>
      <c r="M54" s="324"/>
      <c r="N54" s="324"/>
      <c r="O54" s="326"/>
      <c r="P54" s="326"/>
    </row>
    <row r="55" spans="2:17">
      <c r="B55" s="322" t="s">
        <v>483</v>
      </c>
      <c r="C55" s="327">
        <v>6.8000000000000005E-2</v>
      </c>
      <c r="D55" s="324"/>
      <c r="E55" s="328"/>
      <c r="F55" s="325" t="s">
        <v>427</v>
      </c>
      <c r="G55" s="329">
        <f>P58</f>
        <v>8.9670313492063478</v>
      </c>
      <c r="H55" s="322" t="s">
        <v>378</v>
      </c>
      <c r="I55" s="324"/>
      <c r="J55" s="324"/>
      <c r="K55" s="330"/>
      <c r="L55" s="324"/>
      <c r="M55" s="324"/>
      <c r="N55" s="324"/>
      <c r="O55" s="326"/>
      <c r="P55" s="326"/>
    </row>
    <row r="56" spans="2:17">
      <c r="B56" s="322" t="s">
        <v>488</v>
      </c>
      <c r="C56" s="343">
        <f>(((1+J59)^(1/252))*((1+C55)^(1/252)))^252-1</f>
        <v>0.12763036054938603</v>
      </c>
      <c r="D56" s="324"/>
      <c r="E56" s="328"/>
      <c r="I56" s="324"/>
      <c r="J56" s="324"/>
      <c r="K56" s="324"/>
      <c r="L56" s="324"/>
      <c r="M56" s="324"/>
      <c r="N56" s="324"/>
      <c r="O56" s="326"/>
      <c r="P56" s="326"/>
    </row>
    <row r="57" spans="2:17" ht="30">
      <c r="B57" s="279" t="s">
        <v>428</v>
      </c>
      <c r="C57" s="279" t="s">
        <v>429</v>
      </c>
      <c r="D57" s="279" t="s">
        <v>430</v>
      </c>
      <c r="E57" s="279" t="s">
        <v>431</v>
      </c>
      <c r="F57" s="279" t="s">
        <v>432</v>
      </c>
      <c r="G57" s="279" t="s">
        <v>484</v>
      </c>
      <c r="H57" s="279" t="s">
        <v>374</v>
      </c>
      <c r="I57" s="280" t="s">
        <v>485</v>
      </c>
      <c r="J57" s="280" t="s">
        <v>489</v>
      </c>
      <c r="K57" s="280" t="s">
        <v>377</v>
      </c>
      <c r="L57" s="280" t="s">
        <v>375</v>
      </c>
      <c r="M57" s="280" t="s">
        <v>376</v>
      </c>
      <c r="N57" s="279" t="s">
        <v>438</v>
      </c>
      <c r="O57" s="279" t="s">
        <v>439</v>
      </c>
      <c r="P57" s="340" t="s">
        <v>486</v>
      </c>
    </row>
    <row r="58" spans="2:17">
      <c r="B58" s="281">
        <v>41075</v>
      </c>
      <c r="C58" s="281">
        <f>WORKDAY(B58,1,FERIADO)</f>
        <v>41078</v>
      </c>
      <c r="D58" s="282">
        <v>0</v>
      </c>
      <c r="E58" s="282">
        <f>SUM(E59:E68)</f>
        <v>2512</v>
      </c>
      <c r="F58" s="282"/>
      <c r="G58" s="282"/>
      <c r="H58" s="283">
        <f>C53</f>
        <v>266666.66666666669</v>
      </c>
      <c r="I58" s="342">
        <f>VLOOKUP(EOMONTH(C58,0),Macroeconomics!$B$67:$R$380,Macroeconomics!$J$66,0)</f>
        <v>1.2048105699923151</v>
      </c>
      <c r="J58" s="290">
        <f>SUMPRODUCT(E59:E68,J59:J68)/E58</f>
        <v>4.4156916671166682E-2</v>
      </c>
      <c r="K58" s="285"/>
      <c r="L58" s="341">
        <f>SUM(L59:L68)</f>
        <v>275314.63493100047</v>
      </c>
      <c r="M58" s="286">
        <f>SUM(M59:M68)</f>
        <v>541981.30159766716</v>
      </c>
      <c r="N58" s="286">
        <f>SUM(N59:N68)</f>
        <v>266666.66666666674</v>
      </c>
      <c r="O58" s="289">
        <f>SUM(O59:O68)</f>
        <v>6.0241219869887406</v>
      </c>
      <c r="P58" s="288">
        <f>SUM(P59:P68)/252</f>
        <v>8.9670313492063478</v>
      </c>
    </row>
    <row r="59" spans="2:17">
      <c r="B59" s="237">
        <f>EDATE(B58,12)</f>
        <v>41440</v>
      </c>
      <c r="C59" s="331">
        <f>WORKDAY(B59,1,FERIADO)</f>
        <v>41442</v>
      </c>
      <c r="D59" s="328">
        <f t="shared" ref="D59:D68" si="42">NETWORKDAYS($B$58,B59,FERIADO)</f>
        <v>250</v>
      </c>
      <c r="E59" s="328">
        <f t="shared" ref="E59:E68" si="43">+D59-D58</f>
        <v>250</v>
      </c>
      <c r="F59" s="332">
        <v>0</v>
      </c>
      <c r="G59" s="333">
        <f t="shared" ref="G59:G68" si="44">F59*$C$53</f>
        <v>0</v>
      </c>
      <c r="H59" s="334">
        <f t="shared" ref="H59:H68" si="45">H58-G59</f>
        <v>266666.66666666669</v>
      </c>
      <c r="I59" s="335">
        <f>VLOOKUP(EOMONTH(C59,0),Macroeconomics!$B$67:$R$380,Macroeconomics!$J$66,0)</f>
        <v>1.271531169826883</v>
      </c>
      <c r="J59" s="344">
        <f>(((I59/I58)^(1/E59)))^252-1</f>
        <v>5.5833670926353829E-2</v>
      </c>
      <c r="K59" s="336">
        <f t="shared" ref="K59:K68" si="46">(((1+$C$54)^(1/252))*((1+$C$55)^(1/252)))^252</f>
        <v>1.1151595870048316</v>
      </c>
      <c r="L59" s="337">
        <f t="shared" ref="L59:L68" si="47">+H58*(K59^(E59/252)-1)</f>
        <v>30452.086538932836</v>
      </c>
      <c r="M59" s="333">
        <f t="shared" ref="M59:M68" si="48">+L59+G59</f>
        <v>30452.086538932836</v>
      </c>
      <c r="N59" s="338">
        <f t="shared" ref="N59:N68" si="49">+M59/K59^(D59/252)</f>
        <v>27331.012676816285</v>
      </c>
      <c r="O59" s="333">
        <f>+N59/$N$58*D59/252</f>
        <v>0.10167787454172722</v>
      </c>
      <c r="P59" s="339">
        <f>+G59*D59/$H$58</f>
        <v>0</v>
      </c>
    </row>
    <row r="60" spans="2:17">
      <c r="B60" s="237">
        <f t="shared" ref="B60:B68" si="50">EDATE(B59,12)</f>
        <v>41805</v>
      </c>
      <c r="C60" s="331">
        <f t="shared" ref="C60:C65" si="51">WORKDAY(B60-1,1,FERIADO)</f>
        <v>41806</v>
      </c>
      <c r="D60" s="328">
        <f t="shared" si="42"/>
        <v>502</v>
      </c>
      <c r="E60" s="328">
        <f t="shared" si="43"/>
        <v>252</v>
      </c>
      <c r="F60" s="332">
        <v>0</v>
      </c>
      <c r="G60" s="333">
        <f t="shared" si="44"/>
        <v>0</v>
      </c>
      <c r="H60" s="334">
        <f t="shared" si="45"/>
        <v>266666.66666666669</v>
      </c>
      <c r="I60" s="335">
        <f>VLOOKUP(EOMONTH(C60,0),Macroeconomics!$B$67:$R$380,Macroeconomics!$J$66,0)</f>
        <v>1.3377169986198403</v>
      </c>
      <c r="J60" s="344">
        <f t="shared" ref="J60:J68" si="52">(((I60/I59)^(1/E60)))^252-1</f>
        <v>5.2052069476222762E-2</v>
      </c>
      <c r="K60" s="336">
        <f t="shared" si="46"/>
        <v>1.1151595870048316</v>
      </c>
      <c r="L60" s="337">
        <f t="shared" si="47"/>
        <v>30709.223201288441</v>
      </c>
      <c r="M60" s="333">
        <f t="shared" si="48"/>
        <v>30709.223201288441</v>
      </c>
      <c r="N60" s="338">
        <f t="shared" si="49"/>
        <v>24715.561243597185</v>
      </c>
      <c r="O60" s="333">
        <f t="shared" ref="O60:O68" si="53">+N60/$N$58*D60/252</f>
        <v>0.18463112714710986</v>
      </c>
      <c r="P60" s="339">
        <f t="shared" ref="P60:P68" si="54">+G60*D60/$H$58</f>
        <v>0</v>
      </c>
    </row>
    <row r="61" spans="2:17">
      <c r="B61" s="237">
        <f t="shared" si="50"/>
        <v>42170</v>
      </c>
      <c r="C61" s="331">
        <f t="shared" si="51"/>
        <v>42170</v>
      </c>
      <c r="D61" s="328">
        <f t="shared" si="42"/>
        <v>754</v>
      </c>
      <c r="E61" s="328">
        <f t="shared" si="43"/>
        <v>252</v>
      </c>
      <c r="F61" s="332">
        <v>0</v>
      </c>
      <c r="G61" s="333">
        <f t="shared" si="44"/>
        <v>0</v>
      </c>
      <c r="H61" s="334">
        <f t="shared" si="45"/>
        <v>266666.66666666669</v>
      </c>
      <c r="I61" s="335">
        <f>VLOOKUP(EOMONTH(C61,0),Macroeconomics!$B$67:$R$380,Macroeconomics!$J$66,0)</f>
        <v>1.3979142635577344</v>
      </c>
      <c r="J61" s="344">
        <f t="shared" si="52"/>
        <v>4.5000000000017026E-2</v>
      </c>
      <c r="K61" s="336">
        <f t="shared" si="46"/>
        <v>1.1151595870048316</v>
      </c>
      <c r="L61" s="337">
        <f t="shared" si="47"/>
        <v>30709.223201288441</v>
      </c>
      <c r="M61" s="333">
        <f t="shared" si="48"/>
        <v>30709.223201288441</v>
      </c>
      <c r="N61" s="338">
        <f t="shared" si="49"/>
        <v>22163.250472499505</v>
      </c>
      <c r="O61" s="333">
        <f t="shared" si="53"/>
        <v>0.24867694726584261</v>
      </c>
      <c r="P61" s="339">
        <f t="shared" si="54"/>
        <v>0</v>
      </c>
    </row>
    <row r="62" spans="2:17">
      <c r="B62" s="237">
        <f t="shared" si="50"/>
        <v>42536</v>
      </c>
      <c r="C62" s="331">
        <f t="shared" si="51"/>
        <v>42536</v>
      </c>
      <c r="D62" s="328">
        <f t="shared" si="42"/>
        <v>1006</v>
      </c>
      <c r="E62" s="328">
        <f t="shared" si="43"/>
        <v>252</v>
      </c>
      <c r="F62" s="332">
        <v>0</v>
      </c>
      <c r="G62" s="333">
        <f t="shared" si="44"/>
        <v>0</v>
      </c>
      <c r="H62" s="334">
        <f t="shared" si="45"/>
        <v>266666.66666666669</v>
      </c>
      <c r="I62" s="335">
        <f>VLOOKUP(EOMONTH(C62,0),Macroeconomics!$B$67:$R$380,Macroeconomics!$J$66,0)</f>
        <v>1.4608204054178342</v>
      </c>
      <c r="J62" s="344">
        <f t="shared" si="52"/>
        <v>4.5000000000017026E-2</v>
      </c>
      <c r="K62" s="336">
        <f t="shared" si="46"/>
        <v>1.1151595870048316</v>
      </c>
      <c r="L62" s="337">
        <f t="shared" si="47"/>
        <v>30709.223201288441</v>
      </c>
      <c r="M62" s="333">
        <f t="shared" si="48"/>
        <v>30709.223201288441</v>
      </c>
      <c r="N62" s="338">
        <f t="shared" si="49"/>
        <v>19874.510097722432</v>
      </c>
      <c r="O62" s="333">
        <f t="shared" si="53"/>
        <v>0.29752614818911849</v>
      </c>
      <c r="P62" s="339">
        <f t="shared" si="54"/>
        <v>0</v>
      </c>
    </row>
    <row r="63" spans="2:17">
      <c r="B63" s="237">
        <f t="shared" si="50"/>
        <v>42901</v>
      </c>
      <c r="C63" s="331">
        <f t="shared" si="51"/>
        <v>42902</v>
      </c>
      <c r="D63" s="328">
        <f t="shared" si="42"/>
        <v>1257</v>
      </c>
      <c r="E63" s="328">
        <f t="shared" si="43"/>
        <v>251</v>
      </c>
      <c r="F63" s="332">
        <v>0</v>
      </c>
      <c r="G63" s="333">
        <f t="shared" si="44"/>
        <v>0</v>
      </c>
      <c r="H63" s="334">
        <f t="shared" si="45"/>
        <v>266666.66666666669</v>
      </c>
      <c r="I63" s="335">
        <f>VLOOKUP(EOMONTH(C63,0),Macroeconomics!$B$67:$R$380,Macroeconomics!$J$66,0)</f>
        <v>1.5232052613879974</v>
      </c>
      <c r="J63" s="344">
        <f t="shared" si="52"/>
        <v>4.2879094004269147E-2</v>
      </c>
      <c r="K63" s="336">
        <f t="shared" si="46"/>
        <v>1.1151595870048316</v>
      </c>
      <c r="L63" s="337">
        <f t="shared" si="47"/>
        <v>30580.627065290621</v>
      </c>
      <c r="M63" s="333">
        <f t="shared" si="48"/>
        <v>30580.627065290621</v>
      </c>
      <c r="N63" s="338">
        <f t="shared" si="49"/>
        <v>17755.169011202044</v>
      </c>
      <c r="O63" s="333">
        <f t="shared" si="53"/>
        <v>0.33211677748632384</v>
      </c>
      <c r="P63" s="339">
        <f t="shared" si="54"/>
        <v>0</v>
      </c>
    </row>
    <row r="64" spans="2:17">
      <c r="B64" s="237">
        <f t="shared" si="50"/>
        <v>43266</v>
      </c>
      <c r="C64" s="331">
        <f t="shared" si="51"/>
        <v>43266</v>
      </c>
      <c r="D64" s="328">
        <f t="shared" si="42"/>
        <v>1507</v>
      </c>
      <c r="E64" s="328">
        <f t="shared" si="43"/>
        <v>250</v>
      </c>
      <c r="F64" s="332">
        <v>0</v>
      </c>
      <c r="G64" s="333">
        <f t="shared" si="44"/>
        <v>0</v>
      </c>
      <c r="H64" s="334">
        <f t="shared" si="45"/>
        <v>266666.66666666669</v>
      </c>
      <c r="I64" s="335">
        <f>VLOOKUP(EOMONTH(C64,0),Macroeconomics!$B$67:$R$380,Macroeconomics!$J$66,0)</f>
        <v>1.5841334718435183</v>
      </c>
      <c r="J64" s="344">
        <f t="shared" si="52"/>
        <v>4.0326367532202312E-2</v>
      </c>
      <c r="K64" s="336">
        <f t="shared" si="46"/>
        <v>1.1151595870048316</v>
      </c>
      <c r="L64" s="337">
        <f t="shared" si="47"/>
        <v>30452.086538932836</v>
      </c>
      <c r="M64" s="333">
        <f t="shared" si="48"/>
        <v>30452.086538932836</v>
      </c>
      <c r="N64" s="338">
        <f t="shared" si="49"/>
        <v>15868.436846900446</v>
      </c>
      <c r="O64" s="333">
        <f t="shared" si="53"/>
        <v>0.3558591417898655</v>
      </c>
      <c r="P64" s="339">
        <f t="shared" si="54"/>
        <v>0</v>
      </c>
    </row>
    <row r="65" spans="2:22">
      <c r="B65" s="237">
        <f t="shared" si="50"/>
        <v>43631</v>
      </c>
      <c r="C65" s="331">
        <f t="shared" si="51"/>
        <v>43633</v>
      </c>
      <c r="D65" s="328">
        <f t="shared" si="42"/>
        <v>1757</v>
      </c>
      <c r="E65" s="328">
        <f t="shared" si="43"/>
        <v>250</v>
      </c>
      <c r="F65" s="332">
        <v>0</v>
      </c>
      <c r="G65" s="333">
        <f t="shared" si="44"/>
        <v>0</v>
      </c>
      <c r="H65" s="334">
        <f t="shared" si="45"/>
        <v>266666.66666666669</v>
      </c>
      <c r="I65" s="335">
        <f>VLOOKUP(EOMONTH(C65,0),Macroeconomics!$B$67:$R$380,Macroeconomics!$J$66,0)</f>
        <v>1.6474988107172601</v>
      </c>
      <c r="J65" s="344">
        <f t="shared" si="52"/>
        <v>4.0326367532202312E-2</v>
      </c>
      <c r="K65" s="336">
        <f t="shared" si="46"/>
        <v>1.1151595870048316</v>
      </c>
      <c r="L65" s="337">
        <f t="shared" si="47"/>
        <v>30452.086538932836</v>
      </c>
      <c r="M65" s="333">
        <f t="shared" si="48"/>
        <v>30452.086538932836</v>
      </c>
      <c r="N65" s="338">
        <f t="shared" si="49"/>
        <v>14242.060164560842</v>
      </c>
      <c r="O65" s="333">
        <f t="shared" si="53"/>
        <v>0.37237053138591358</v>
      </c>
      <c r="P65" s="339">
        <f t="shared" si="54"/>
        <v>0</v>
      </c>
    </row>
    <row r="66" spans="2:22">
      <c r="B66" s="237">
        <f>EDATE(B65,12)</f>
        <v>43997</v>
      </c>
      <c r="C66" s="331">
        <f t="shared" ref="C66:C68" si="55">WORKDAY(B66-1,1,FERIADO)</f>
        <v>43997</v>
      </c>
      <c r="D66" s="328">
        <f t="shared" si="42"/>
        <v>2008</v>
      </c>
      <c r="E66" s="328">
        <f t="shared" si="43"/>
        <v>251</v>
      </c>
      <c r="F66" s="332">
        <v>0.33329999999999999</v>
      </c>
      <c r="G66" s="333">
        <f t="shared" si="44"/>
        <v>88880</v>
      </c>
      <c r="H66" s="334">
        <f t="shared" si="45"/>
        <v>177786.66666666669</v>
      </c>
      <c r="I66" s="335">
        <f>VLOOKUP(EOMONTH(C66,0),Macroeconomics!$B$67:$R$380,Macroeconomics!$J$66,0)</f>
        <v>1.7133987631459517</v>
      </c>
      <c r="J66" s="344">
        <f t="shared" si="52"/>
        <v>4.0162520831447557E-2</v>
      </c>
      <c r="K66" s="336">
        <f t="shared" si="46"/>
        <v>1.1151595870048316</v>
      </c>
      <c r="L66" s="337">
        <f t="shared" si="47"/>
        <v>30580.627065290621</v>
      </c>
      <c r="M66" s="333">
        <f t="shared" si="48"/>
        <v>119460.62706529062</v>
      </c>
      <c r="N66" s="338">
        <f t="shared" si="49"/>
        <v>50122.344116642409</v>
      </c>
      <c r="O66" s="333">
        <f t="shared" si="53"/>
        <v>1.4977033777711002</v>
      </c>
      <c r="P66" s="339">
        <f t="shared" si="54"/>
        <v>669.26639999999998</v>
      </c>
    </row>
    <row r="67" spans="2:22">
      <c r="B67" s="237">
        <f t="shared" si="50"/>
        <v>44362</v>
      </c>
      <c r="C67" s="331">
        <f t="shared" si="55"/>
        <v>44362</v>
      </c>
      <c r="D67" s="328">
        <f t="shared" si="42"/>
        <v>2259</v>
      </c>
      <c r="E67" s="328">
        <f t="shared" si="43"/>
        <v>251</v>
      </c>
      <c r="F67" s="332">
        <v>0.33329999999999999</v>
      </c>
      <c r="G67" s="333">
        <f t="shared" si="44"/>
        <v>88880</v>
      </c>
      <c r="H67" s="334">
        <f t="shared" si="45"/>
        <v>88906.666666666686</v>
      </c>
      <c r="I67" s="335">
        <f>VLOOKUP(EOMONTH(C67,0),Macroeconomics!$B$67:$R$380,Macroeconomics!$J$66,0)</f>
        <v>1.7819347136717911</v>
      </c>
      <c r="J67" s="344">
        <f t="shared" si="52"/>
        <v>4.0162520831447557E-2</v>
      </c>
      <c r="K67" s="336">
        <f t="shared" si="46"/>
        <v>1.1151595870048316</v>
      </c>
      <c r="L67" s="337">
        <f t="shared" si="47"/>
        <v>20388.104064429259</v>
      </c>
      <c r="M67" s="333">
        <f t="shared" si="48"/>
        <v>109268.10406442927</v>
      </c>
      <c r="N67" s="338">
        <f t="shared" si="49"/>
        <v>41129.252290062213</v>
      </c>
      <c r="O67" s="333">
        <f t="shared" si="53"/>
        <v>1.382603882786466</v>
      </c>
      <c r="P67" s="339">
        <f t="shared" si="54"/>
        <v>752.92469999999992</v>
      </c>
    </row>
    <row r="68" spans="2:22">
      <c r="B68" s="237">
        <f t="shared" si="50"/>
        <v>44727</v>
      </c>
      <c r="C68" s="331">
        <f t="shared" si="55"/>
        <v>44727</v>
      </c>
      <c r="D68" s="328">
        <f t="shared" si="42"/>
        <v>2512</v>
      </c>
      <c r="E68" s="328">
        <f t="shared" si="43"/>
        <v>253</v>
      </c>
      <c r="F68" s="332">
        <v>0.33339999999999997</v>
      </c>
      <c r="G68" s="333">
        <f t="shared" si="44"/>
        <v>88906.666666666672</v>
      </c>
      <c r="H68" s="334">
        <f t="shared" si="45"/>
        <v>0</v>
      </c>
      <c r="I68" s="335">
        <f>VLOOKUP(EOMONTH(C68,0),Macroeconomics!$B$67:$R$380,Macroeconomics!$J$66,0)</f>
        <v>1.8532121022186638</v>
      </c>
      <c r="J68" s="344">
        <f t="shared" si="52"/>
        <v>3.9838789011091391E-2</v>
      </c>
      <c r="K68" s="336">
        <f t="shared" si="46"/>
        <v>1.1151595870048316</v>
      </c>
      <c r="L68" s="337">
        <f t="shared" si="47"/>
        <v>10281.347515326175</v>
      </c>
      <c r="M68" s="333">
        <f t="shared" si="48"/>
        <v>99188.014181992854</v>
      </c>
      <c r="N68" s="338">
        <f t="shared" si="49"/>
        <v>33465.069746663379</v>
      </c>
      <c r="O68" s="333">
        <f t="shared" si="53"/>
        <v>1.2509561786252734</v>
      </c>
      <c r="P68" s="339">
        <f t="shared" si="54"/>
        <v>837.50080000000003</v>
      </c>
    </row>
    <row r="69" spans="2:22">
      <c r="U69" s="247"/>
      <c r="V69" s="252"/>
    </row>
    <row r="70" spans="2:22">
      <c r="U70" s="247"/>
      <c r="V70" s="252"/>
    </row>
    <row r="71" spans="2:22">
      <c r="F71" s="239"/>
      <c r="U71" s="247"/>
      <c r="V71" s="252"/>
    </row>
    <row r="72" spans="2:22">
      <c r="F72" s="239"/>
    </row>
    <row r="73" spans="2:22">
      <c r="F73" s="239"/>
    </row>
    <row r="74" spans="2:22">
      <c r="F74" s="239"/>
    </row>
    <row r="75" spans="2:22">
      <c r="F75" s="239"/>
    </row>
    <row r="76" spans="2:22">
      <c r="F76" s="239"/>
      <c r="G76" s="349"/>
    </row>
    <row r="77" spans="2:22">
      <c r="H77" s="348"/>
    </row>
    <row r="78" spans="2:22">
      <c r="H78" s="348"/>
    </row>
    <row r="79" spans="2:22">
      <c r="H79" s="348"/>
    </row>
    <row r="80" spans="2:22">
      <c r="H80" s="348"/>
    </row>
    <row r="81" spans="8:8">
      <c r="H81" s="348"/>
    </row>
    <row r="82" spans="8:8">
      <c r="H82" s="348"/>
    </row>
    <row r="83" spans="8:8">
      <c r="H83" s="348"/>
    </row>
    <row r="84" spans="8:8">
      <c r="H84" s="348"/>
    </row>
    <row r="85" spans="8:8">
      <c r="H85" s="348"/>
    </row>
    <row r="86" spans="8:8">
      <c r="H86" s="348"/>
    </row>
    <row r="87" spans="8:8">
      <c r="H87" s="348"/>
    </row>
  </sheetData>
  <mergeCells count="3">
    <mergeCell ref="B6:Q6"/>
    <mergeCell ref="B27:Q27"/>
    <mergeCell ref="B51:Q51"/>
  </mergeCells>
  <conditionalFormatting sqref="U69:U71 B58:C68 B22:B23 B13:C21 C18:C23 B34:C48">
    <cfRule type="cellIs" dxfId="0" priority="9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33"/>
  <dimension ref="A1:IV4"/>
  <sheetViews>
    <sheetView workbookViewId="0"/>
  </sheetViews>
  <sheetFormatPr defaultRowHeight="12.75"/>
  <sheetData>
    <row r="1" spans="1:256">
      <c r="A1" t="s">
        <v>275</v>
      </c>
    </row>
    <row r="2" spans="1:256" s="2" customFormat="1">
      <c r="A2" s="2" t="s">
        <v>51</v>
      </c>
      <c r="B2" s="2" t="s">
        <v>321</v>
      </c>
      <c r="C2" s="2" t="s">
        <v>209</v>
      </c>
      <c r="D2" s="2" t="s">
        <v>321</v>
      </c>
      <c r="E2" s="2" t="s">
        <v>143</v>
      </c>
      <c r="F2" s="2" t="s">
        <v>321</v>
      </c>
      <c r="G2" s="2" t="s">
        <v>144</v>
      </c>
      <c r="H2" s="2" t="s">
        <v>321</v>
      </c>
      <c r="I2" s="2" t="s">
        <v>145</v>
      </c>
      <c r="J2" s="2" t="s">
        <v>321</v>
      </c>
      <c r="K2" s="2" t="s">
        <v>83</v>
      </c>
      <c r="L2" s="2" t="s">
        <v>321</v>
      </c>
      <c r="M2" s="2" t="s">
        <v>218</v>
      </c>
      <c r="N2" s="2" t="s">
        <v>276</v>
      </c>
      <c r="O2" s="2" t="s">
        <v>90</v>
      </c>
      <c r="P2" s="2" t="s">
        <v>321</v>
      </c>
      <c r="Q2" s="2" t="s">
        <v>146</v>
      </c>
      <c r="R2" s="2" t="s">
        <v>321</v>
      </c>
      <c r="S2" s="2" t="s">
        <v>134</v>
      </c>
      <c r="T2" s="2" t="s">
        <v>321</v>
      </c>
      <c r="U2" s="2" t="s">
        <v>147</v>
      </c>
      <c r="V2" s="2" t="s">
        <v>321</v>
      </c>
      <c r="W2" s="2" t="s">
        <v>108</v>
      </c>
      <c r="X2" s="2" t="s">
        <v>321</v>
      </c>
      <c r="Y2" s="2" t="s">
        <v>148</v>
      </c>
      <c r="Z2" s="2" t="s">
        <v>321</v>
      </c>
      <c r="AA2" s="2" t="s">
        <v>97</v>
      </c>
      <c r="AB2" s="2" t="s">
        <v>321</v>
      </c>
      <c r="AC2" s="2" t="s">
        <v>49</v>
      </c>
      <c r="AD2" s="2" t="s">
        <v>321</v>
      </c>
      <c r="AE2" s="2" t="s">
        <v>110</v>
      </c>
      <c r="AF2" s="2" t="s">
        <v>321</v>
      </c>
      <c r="AG2" s="2" t="s">
        <v>220</v>
      </c>
      <c r="AH2" s="2" t="s">
        <v>277</v>
      </c>
      <c r="AI2" s="2" t="s">
        <v>221</v>
      </c>
      <c r="AJ2" s="2" t="s">
        <v>278</v>
      </c>
      <c r="AK2" s="2" t="s">
        <v>66</v>
      </c>
      <c r="AL2" s="2" t="s">
        <v>321</v>
      </c>
      <c r="AM2" s="2" t="s">
        <v>149</v>
      </c>
      <c r="AN2" s="2" t="s">
        <v>321</v>
      </c>
      <c r="AO2" s="2" t="s">
        <v>11</v>
      </c>
      <c r="AP2" s="2" t="s">
        <v>316</v>
      </c>
      <c r="AQ2" s="2" t="s">
        <v>105</v>
      </c>
      <c r="AR2" s="2" t="s">
        <v>321</v>
      </c>
      <c r="AS2" s="2" t="s">
        <v>228</v>
      </c>
      <c r="AT2" s="2" t="s">
        <v>321</v>
      </c>
      <c r="AU2" s="2" t="s">
        <v>210</v>
      </c>
      <c r="AV2" s="2" t="s">
        <v>321</v>
      </c>
      <c r="AW2" s="2" t="s">
        <v>150</v>
      </c>
      <c r="AX2" s="2" t="s">
        <v>321</v>
      </c>
      <c r="AY2" s="2" t="s">
        <v>222</v>
      </c>
      <c r="AZ2" s="2" t="s">
        <v>321</v>
      </c>
      <c r="BA2" s="2" t="s">
        <v>38</v>
      </c>
      <c r="BB2" s="2" t="s">
        <v>321</v>
      </c>
      <c r="BC2" s="2" t="s">
        <v>151</v>
      </c>
      <c r="BD2" s="2" t="s">
        <v>321</v>
      </c>
      <c r="BE2" s="2" t="s">
        <v>70</v>
      </c>
      <c r="BF2" s="2" t="s">
        <v>321</v>
      </c>
      <c r="BG2" s="2" t="s">
        <v>152</v>
      </c>
      <c r="BH2" s="2" t="s">
        <v>321</v>
      </c>
      <c r="BI2" s="2" t="s">
        <v>244</v>
      </c>
      <c r="BJ2" s="2" t="s">
        <v>294</v>
      </c>
      <c r="BK2" s="2" t="s">
        <v>153</v>
      </c>
      <c r="BL2" s="2" t="s">
        <v>321</v>
      </c>
      <c r="BM2" s="2" t="s">
        <v>32</v>
      </c>
      <c r="BN2" s="2" t="s">
        <v>321</v>
      </c>
      <c r="BO2" s="2" t="s">
        <v>270</v>
      </c>
      <c r="BP2" s="2" t="s">
        <v>308</v>
      </c>
      <c r="BQ2" s="2" t="s">
        <v>245</v>
      </c>
      <c r="BR2" s="2" t="s">
        <v>321</v>
      </c>
      <c r="BS2" s="2" t="s">
        <v>224</v>
      </c>
      <c r="BT2" s="2" t="s">
        <v>279</v>
      </c>
      <c r="BU2" s="2" t="s">
        <v>225</v>
      </c>
      <c r="BV2" s="2" t="s">
        <v>280</v>
      </c>
      <c r="BW2" s="2" t="s">
        <v>155</v>
      </c>
      <c r="BX2" s="2" t="s">
        <v>321</v>
      </c>
      <c r="BY2" s="2" t="s">
        <v>10</v>
      </c>
      <c r="BZ2" s="2" t="s">
        <v>15</v>
      </c>
      <c r="CA2" s="2" t="s">
        <v>27</v>
      </c>
      <c r="CB2" s="2" t="s">
        <v>321</v>
      </c>
      <c r="CC2" s="2" t="s">
        <v>226</v>
      </c>
      <c r="CD2" s="2" t="s">
        <v>315</v>
      </c>
      <c r="CE2" s="2" t="s">
        <v>264</v>
      </c>
      <c r="CF2" s="2" t="s">
        <v>304</v>
      </c>
      <c r="CG2" s="2" t="s">
        <v>227</v>
      </c>
      <c r="CH2" s="2" t="s">
        <v>281</v>
      </c>
      <c r="CI2" s="2" t="s">
        <v>112</v>
      </c>
      <c r="CJ2" s="2" t="s">
        <v>321</v>
      </c>
      <c r="CK2" s="2" t="s">
        <v>229</v>
      </c>
      <c r="CL2" s="2" t="s">
        <v>315</v>
      </c>
      <c r="CM2" s="2" t="s">
        <v>230</v>
      </c>
      <c r="CN2" s="2" t="s">
        <v>282</v>
      </c>
      <c r="CO2" s="2" t="s">
        <v>125</v>
      </c>
      <c r="CP2" s="2" t="s">
        <v>321</v>
      </c>
      <c r="CQ2" s="2" t="s">
        <v>6</v>
      </c>
      <c r="CR2" s="2" t="s">
        <v>321</v>
      </c>
      <c r="CS2" s="2" t="s">
        <v>157</v>
      </c>
      <c r="CT2" s="2" t="s">
        <v>203</v>
      </c>
      <c r="CU2" s="2" t="s">
        <v>127</v>
      </c>
      <c r="CV2" s="2" t="s">
        <v>321</v>
      </c>
      <c r="CW2" s="2" t="s">
        <v>85</v>
      </c>
      <c r="CX2" s="2" t="s">
        <v>321</v>
      </c>
      <c r="CY2" s="2" t="s">
        <v>121</v>
      </c>
      <c r="CZ2" s="2" t="s">
        <v>321</v>
      </c>
      <c r="DA2" s="2" t="s">
        <v>8</v>
      </c>
      <c r="DB2" s="2" t="s">
        <v>9</v>
      </c>
      <c r="DC2" s="2" t="s">
        <v>231</v>
      </c>
      <c r="DD2" s="2" t="s">
        <v>283</v>
      </c>
      <c r="DE2" s="2" t="s">
        <v>158</v>
      </c>
      <c r="DF2" s="2" t="s">
        <v>321</v>
      </c>
      <c r="DG2" s="2" t="s">
        <v>41</v>
      </c>
      <c r="DH2" s="2" t="s">
        <v>321</v>
      </c>
      <c r="DI2" s="2" t="s">
        <v>232</v>
      </c>
      <c r="DJ2" s="2" t="s">
        <v>284</v>
      </c>
      <c r="DK2" s="2" t="s">
        <v>159</v>
      </c>
      <c r="DL2" s="2" t="s">
        <v>204</v>
      </c>
      <c r="DM2" s="2" t="s">
        <v>55</v>
      </c>
      <c r="DN2" s="2" t="s">
        <v>321</v>
      </c>
      <c r="DO2" s="2" t="s">
        <v>71</v>
      </c>
      <c r="DP2" s="2" t="s">
        <v>321</v>
      </c>
      <c r="DQ2" s="2" t="s">
        <v>75</v>
      </c>
      <c r="DR2" s="2" t="s">
        <v>321</v>
      </c>
      <c r="DS2" s="2" t="s">
        <v>54</v>
      </c>
      <c r="DT2" s="2" t="s">
        <v>321</v>
      </c>
      <c r="DU2" s="2" t="s">
        <v>233</v>
      </c>
      <c r="DV2" s="2" t="s">
        <v>321</v>
      </c>
      <c r="DW2" s="2" t="s">
        <v>56</v>
      </c>
      <c r="DX2" s="2" t="s">
        <v>321</v>
      </c>
      <c r="DY2" s="2" t="s">
        <v>100</v>
      </c>
      <c r="DZ2" s="2" t="s">
        <v>321</v>
      </c>
      <c r="EA2" s="2" t="s">
        <v>24</v>
      </c>
      <c r="EB2" s="2" t="s">
        <v>321</v>
      </c>
      <c r="EC2" s="2" t="s">
        <v>261</v>
      </c>
      <c r="ED2" s="2" t="s">
        <v>302</v>
      </c>
      <c r="EE2" s="2" t="s">
        <v>2</v>
      </c>
      <c r="EF2" s="2" t="s">
        <v>321</v>
      </c>
      <c r="EG2" s="2" t="s">
        <v>235</v>
      </c>
      <c r="EH2" s="2" t="s">
        <v>286</v>
      </c>
      <c r="EI2" s="2" t="s">
        <v>160</v>
      </c>
      <c r="EJ2" s="2" t="s">
        <v>321</v>
      </c>
      <c r="EK2" s="2" t="s">
        <v>78</v>
      </c>
      <c r="EL2" s="2" t="s">
        <v>139</v>
      </c>
      <c r="EM2" s="2" t="s">
        <v>161</v>
      </c>
      <c r="EN2" s="2" t="s">
        <v>321</v>
      </c>
      <c r="EO2" s="2" t="s">
        <v>88</v>
      </c>
      <c r="EP2" s="2" t="s">
        <v>321</v>
      </c>
      <c r="EQ2" s="2" t="s">
        <v>211</v>
      </c>
      <c r="ER2" s="2" t="s">
        <v>138</v>
      </c>
      <c r="ES2" s="2" t="s">
        <v>65</v>
      </c>
      <c r="ET2" s="2" t="s">
        <v>321</v>
      </c>
      <c r="EU2" s="2" t="s">
        <v>39</v>
      </c>
      <c r="EV2" s="2" t="s">
        <v>321</v>
      </c>
      <c r="EW2" s="2" t="s">
        <v>28</v>
      </c>
      <c r="EX2" s="2" t="s">
        <v>321</v>
      </c>
      <c r="EY2" s="2" t="s">
        <v>35</v>
      </c>
      <c r="EZ2" s="2" t="s">
        <v>321</v>
      </c>
      <c r="FA2" s="2" t="s">
        <v>156</v>
      </c>
      <c r="FB2" s="2" t="s">
        <v>321</v>
      </c>
      <c r="FC2" s="2" t="s">
        <v>1</v>
      </c>
      <c r="FD2" s="2" t="s">
        <v>321</v>
      </c>
      <c r="FE2" s="2" t="s">
        <v>95</v>
      </c>
      <c r="FF2" s="2" t="s">
        <v>321</v>
      </c>
      <c r="FG2" s="2" t="s">
        <v>162</v>
      </c>
      <c r="FH2" s="2" t="s">
        <v>321</v>
      </c>
      <c r="FI2" s="2" t="s">
        <v>163</v>
      </c>
      <c r="FJ2" s="2" t="s">
        <v>321</v>
      </c>
      <c r="FK2" s="2" t="s">
        <v>164</v>
      </c>
      <c r="FL2" s="2" t="s">
        <v>321</v>
      </c>
      <c r="FM2" s="2" t="s">
        <v>236</v>
      </c>
      <c r="FN2" s="2" t="s">
        <v>287</v>
      </c>
      <c r="FO2" s="2" t="s">
        <v>61</v>
      </c>
      <c r="FP2" s="2" t="s">
        <v>321</v>
      </c>
      <c r="FQ2" s="2" t="s">
        <v>91</v>
      </c>
      <c r="FR2" s="2" t="s">
        <v>321</v>
      </c>
      <c r="FS2" s="2" t="s">
        <v>165</v>
      </c>
      <c r="FT2" s="2" t="s">
        <v>321</v>
      </c>
      <c r="FU2" s="2" t="s">
        <v>22</v>
      </c>
      <c r="FV2" s="2" t="s">
        <v>321</v>
      </c>
      <c r="FW2" s="2" t="s">
        <v>237</v>
      </c>
      <c r="FX2" s="2" t="s">
        <v>288</v>
      </c>
      <c r="FY2" s="2" t="s">
        <v>135</v>
      </c>
      <c r="FZ2" s="2" t="s">
        <v>321</v>
      </c>
      <c r="GA2" s="2" t="s">
        <v>238</v>
      </c>
      <c r="GB2" s="2" t="s">
        <v>289</v>
      </c>
      <c r="GC2" s="2" t="s">
        <v>58</v>
      </c>
      <c r="GD2" s="2" t="s">
        <v>321</v>
      </c>
      <c r="GE2" s="2" t="s">
        <v>239</v>
      </c>
      <c r="GF2" s="2" t="s">
        <v>290</v>
      </c>
      <c r="GG2" s="2" t="s">
        <v>50</v>
      </c>
      <c r="GH2" s="2" t="s">
        <v>321</v>
      </c>
      <c r="GI2" s="2" t="s">
        <v>77</v>
      </c>
      <c r="GJ2" s="2" t="s">
        <v>321</v>
      </c>
      <c r="GK2" s="2" t="s">
        <v>117</v>
      </c>
      <c r="GL2" s="2" t="s">
        <v>321</v>
      </c>
      <c r="GM2" s="2" t="s">
        <v>167</v>
      </c>
      <c r="GN2" s="2" t="s">
        <v>205</v>
      </c>
      <c r="GO2" s="2" t="s">
        <v>240</v>
      </c>
      <c r="GP2" s="2" t="s">
        <v>291</v>
      </c>
      <c r="GQ2" s="2" t="s">
        <v>212</v>
      </c>
      <c r="GR2" s="2" t="s">
        <v>321</v>
      </c>
      <c r="GS2" s="2" t="s">
        <v>241</v>
      </c>
      <c r="GT2" s="2" t="s">
        <v>321</v>
      </c>
      <c r="GU2" s="2" t="s">
        <v>168</v>
      </c>
      <c r="GV2" s="2" t="s">
        <v>206</v>
      </c>
      <c r="GW2" s="2" t="s">
        <v>14</v>
      </c>
      <c r="GX2" s="2" t="s">
        <v>17</v>
      </c>
      <c r="GY2" s="2" t="s">
        <v>169</v>
      </c>
      <c r="GZ2" s="2" t="s">
        <v>321</v>
      </c>
      <c r="HA2" s="2" t="s">
        <v>170</v>
      </c>
      <c r="HB2" s="2" t="s">
        <v>321</v>
      </c>
      <c r="HC2" s="2" t="s">
        <v>171</v>
      </c>
      <c r="HD2" s="2" t="s">
        <v>321</v>
      </c>
      <c r="HE2" s="2" t="s">
        <v>128</v>
      </c>
      <c r="HF2" s="2" t="s">
        <v>321</v>
      </c>
      <c r="HG2" s="2" t="s">
        <v>243</v>
      </c>
      <c r="HH2" s="2" t="s">
        <v>293</v>
      </c>
      <c r="HI2" s="2" t="s">
        <v>94</v>
      </c>
      <c r="HJ2" s="2" t="s">
        <v>321</v>
      </c>
      <c r="HK2" s="2" t="s">
        <v>246</v>
      </c>
      <c r="HL2" s="2" t="s">
        <v>295</v>
      </c>
      <c r="HM2" s="2" t="s">
        <v>247</v>
      </c>
      <c r="HN2" s="2" t="s">
        <v>280</v>
      </c>
      <c r="HO2" s="2" t="s">
        <v>172</v>
      </c>
      <c r="HP2" s="2" t="s">
        <v>321</v>
      </c>
      <c r="HQ2" s="2" t="s">
        <v>86</v>
      </c>
      <c r="HR2" s="2" t="s">
        <v>321</v>
      </c>
      <c r="HS2" s="2" t="s">
        <v>21</v>
      </c>
      <c r="HT2" s="2" t="s">
        <v>321</v>
      </c>
      <c r="HU2" s="2" t="s">
        <v>52</v>
      </c>
      <c r="HV2" s="2" t="s">
        <v>321</v>
      </c>
      <c r="HW2" s="2" t="s">
        <v>320</v>
      </c>
      <c r="HX2" s="2" t="s">
        <v>321</v>
      </c>
      <c r="HY2" s="2" t="s">
        <v>173</v>
      </c>
      <c r="HZ2" s="2" t="s">
        <v>321</v>
      </c>
      <c r="IA2" s="2" t="s">
        <v>60</v>
      </c>
      <c r="IB2" s="2" t="s">
        <v>137</v>
      </c>
      <c r="IC2" s="2" t="s">
        <v>248</v>
      </c>
      <c r="ID2" s="2" t="s">
        <v>138</v>
      </c>
      <c r="IE2" s="2" t="s">
        <v>113</v>
      </c>
      <c r="IF2" s="2" t="s">
        <v>321</v>
      </c>
      <c r="IG2" s="2" t="s">
        <v>174</v>
      </c>
      <c r="IH2" s="2" t="s">
        <v>321</v>
      </c>
      <c r="II2" s="2" t="s">
        <v>98</v>
      </c>
      <c r="IJ2" s="2" t="s">
        <v>321</v>
      </c>
      <c r="IK2" s="2" t="s">
        <v>19</v>
      </c>
      <c r="IL2" s="2" t="s">
        <v>321</v>
      </c>
      <c r="IM2" s="2" t="s">
        <v>249</v>
      </c>
      <c r="IN2" s="2" t="s">
        <v>296</v>
      </c>
      <c r="IO2" s="2" t="s">
        <v>73</v>
      </c>
      <c r="IP2" s="2" t="s">
        <v>321</v>
      </c>
      <c r="IQ2" s="2" t="s">
        <v>76</v>
      </c>
      <c r="IR2" s="2" t="s">
        <v>321</v>
      </c>
      <c r="IS2" s="2" t="s">
        <v>176</v>
      </c>
      <c r="IT2" s="2" t="s">
        <v>321</v>
      </c>
      <c r="IU2" s="2" t="s">
        <v>103</v>
      </c>
      <c r="IV2" s="2" t="s">
        <v>321</v>
      </c>
    </row>
    <row r="3" spans="1:256" s="2" customFormat="1">
      <c r="A3" s="2" t="s">
        <v>13</v>
      </c>
      <c r="B3" s="2" t="s">
        <v>16</v>
      </c>
      <c r="C3" s="2" t="s">
        <v>31</v>
      </c>
      <c r="D3" s="2" t="s">
        <v>321</v>
      </c>
      <c r="E3" s="2" t="s">
        <v>177</v>
      </c>
      <c r="F3" s="2" t="s">
        <v>321</v>
      </c>
      <c r="G3" s="2" t="s">
        <v>178</v>
      </c>
      <c r="H3" s="2" t="s">
        <v>321</v>
      </c>
      <c r="I3" s="2" t="s">
        <v>46</v>
      </c>
      <c r="J3" s="2" t="s">
        <v>321</v>
      </c>
      <c r="K3" s="2" t="s">
        <v>122</v>
      </c>
      <c r="L3" s="2" t="s">
        <v>321</v>
      </c>
      <c r="M3" s="2" t="s">
        <v>250</v>
      </c>
      <c r="N3" s="2" t="s">
        <v>297</v>
      </c>
      <c r="O3" s="2" t="s">
        <v>101</v>
      </c>
      <c r="P3" s="2" t="s">
        <v>321</v>
      </c>
      <c r="Q3" s="2" t="s">
        <v>179</v>
      </c>
      <c r="R3" s="2" t="s">
        <v>321</v>
      </c>
      <c r="S3" s="2" t="s">
        <v>180</v>
      </c>
      <c r="T3" s="2" t="s">
        <v>321</v>
      </c>
      <c r="U3" s="2" t="s">
        <v>269</v>
      </c>
      <c r="V3" s="2" t="s">
        <v>280</v>
      </c>
      <c r="W3" s="2" t="s">
        <v>181</v>
      </c>
      <c r="X3" s="2" t="s">
        <v>321</v>
      </c>
      <c r="Y3" s="2" t="s">
        <v>120</v>
      </c>
      <c r="Z3" s="2" t="s">
        <v>321</v>
      </c>
      <c r="AA3" s="2" t="s">
        <v>3</v>
      </c>
      <c r="AB3" s="2" t="s">
        <v>321</v>
      </c>
      <c r="AC3" s="2" t="s">
        <v>79</v>
      </c>
      <c r="AD3" s="2" t="s">
        <v>321</v>
      </c>
      <c r="AE3" s="2" t="s">
        <v>59</v>
      </c>
      <c r="AF3" s="2" t="s">
        <v>321</v>
      </c>
      <c r="AG3" s="2" t="s">
        <v>130</v>
      </c>
      <c r="AH3" s="2" t="s">
        <v>321</v>
      </c>
      <c r="AI3" s="2" t="s">
        <v>23</v>
      </c>
      <c r="AJ3" s="2" t="s">
        <v>321</v>
      </c>
      <c r="AK3" s="2" t="s">
        <v>74</v>
      </c>
      <c r="AL3" s="2" t="s">
        <v>321</v>
      </c>
      <c r="AM3" s="2" t="s">
        <v>42</v>
      </c>
      <c r="AN3" s="2" t="s">
        <v>321</v>
      </c>
      <c r="AO3" s="2" t="s">
        <v>20</v>
      </c>
      <c r="AP3" s="2" t="s">
        <v>321</v>
      </c>
      <c r="AQ3" s="2" t="s">
        <v>84</v>
      </c>
      <c r="AR3" s="2" t="s">
        <v>140</v>
      </c>
      <c r="AS3" s="2" t="s">
        <v>182</v>
      </c>
      <c r="AT3" s="2" t="s">
        <v>321</v>
      </c>
      <c r="AU3" s="2" t="s">
        <v>183</v>
      </c>
      <c r="AV3" s="2" t="s">
        <v>321</v>
      </c>
      <c r="AW3" s="2" t="s">
        <v>131</v>
      </c>
      <c r="AX3" s="2" t="s">
        <v>321</v>
      </c>
      <c r="AY3" s="2" t="s">
        <v>251</v>
      </c>
      <c r="AZ3" s="2" t="s">
        <v>321</v>
      </c>
      <c r="BA3" s="2" t="s">
        <v>116</v>
      </c>
      <c r="BB3" s="2" t="s">
        <v>321</v>
      </c>
      <c r="BC3" s="2" t="s">
        <v>166</v>
      </c>
      <c r="BD3" s="2" t="s">
        <v>321</v>
      </c>
      <c r="BE3" s="2" t="s">
        <v>154</v>
      </c>
      <c r="BF3" s="2" t="s">
        <v>321</v>
      </c>
      <c r="BG3" s="2" t="s">
        <v>119</v>
      </c>
      <c r="BH3" s="2" t="s">
        <v>321</v>
      </c>
      <c r="BI3" s="2" t="s">
        <v>126</v>
      </c>
      <c r="BJ3" s="2" t="s">
        <v>321</v>
      </c>
      <c r="BK3" s="2" t="s">
        <v>253</v>
      </c>
      <c r="BL3" s="2" t="s">
        <v>298</v>
      </c>
      <c r="BM3" s="2" t="s">
        <v>213</v>
      </c>
      <c r="BN3" s="2" t="s">
        <v>138</v>
      </c>
      <c r="BO3" s="2" t="s">
        <v>214</v>
      </c>
      <c r="BP3" s="2" t="s">
        <v>138</v>
      </c>
      <c r="BQ3" s="2" t="s">
        <v>254</v>
      </c>
      <c r="BR3" s="2" t="s">
        <v>138</v>
      </c>
      <c r="BS3" s="2" t="s">
        <v>25</v>
      </c>
      <c r="BT3" s="2" t="s">
        <v>321</v>
      </c>
      <c r="BU3" s="2" t="s">
        <v>255</v>
      </c>
      <c r="BV3" s="2" t="s">
        <v>321</v>
      </c>
      <c r="BW3" s="2" t="s">
        <v>185</v>
      </c>
      <c r="BX3" s="2" t="s">
        <v>321</v>
      </c>
      <c r="BY3" s="2" t="s">
        <v>68</v>
      </c>
      <c r="BZ3" s="2" t="s">
        <v>321</v>
      </c>
      <c r="CA3" s="2" t="s">
        <v>234</v>
      </c>
      <c r="CB3" s="2" t="s">
        <v>285</v>
      </c>
      <c r="CC3" s="2" t="s">
        <v>184</v>
      </c>
      <c r="CD3" s="2" t="s">
        <v>321</v>
      </c>
      <c r="CE3" s="2" t="s">
        <v>102</v>
      </c>
      <c r="CF3" s="2" t="s">
        <v>321</v>
      </c>
      <c r="CG3" s="2" t="s">
        <v>186</v>
      </c>
      <c r="CH3" s="2" t="s">
        <v>321</v>
      </c>
      <c r="CI3" s="2" t="s">
        <v>107</v>
      </c>
      <c r="CJ3" s="2" t="s">
        <v>321</v>
      </c>
      <c r="CK3" s="2" t="s">
        <v>252</v>
      </c>
      <c r="CL3" s="2" t="s">
        <v>321</v>
      </c>
      <c r="CM3" s="2" t="s">
        <v>256</v>
      </c>
      <c r="CN3" s="2" t="s">
        <v>299</v>
      </c>
      <c r="CO3" s="2" t="s">
        <v>87</v>
      </c>
      <c r="CP3" s="2" t="s">
        <v>321</v>
      </c>
      <c r="CQ3" s="2" t="s">
        <v>99</v>
      </c>
      <c r="CR3" s="2" t="s">
        <v>321</v>
      </c>
      <c r="CS3" s="2" t="s">
        <v>67</v>
      </c>
      <c r="CT3" s="2" t="s">
        <v>321</v>
      </c>
      <c r="CU3" s="2" t="s">
        <v>69</v>
      </c>
      <c r="CV3" s="2" t="s">
        <v>321</v>
      </c>
      <c r="CW3" s="2" t="s">
        <v>257</v>
      </c>
      <c r="CX3" s="2" t="s">
        <v>300</v>
      </c>
      <c r="CY3" s="2" t="s">
        <v>111</v>
      </c>
      <c r="CZ3" s="2" t="s">
        <v>321</v>
      </c>
      <c r="DA3" s="2" t="s">
        <v>219</v>
      </c>
      <c r="DB3" s="2" t="s">
        <v>321</v>
      </c>
      <c r="DC3" s="2" t="s">
        <v>258</v>
      </c>
      <c r="DD3" s="2" t="s">
        <v>280</v>
      </c>
      <c r="DE3" s="2" t="s">
        <v>114</v>
      </c>
      <c r="DF3" s="2" t="s">
        <v>321</v>
      </c>
      <c r="DG3" s="2" t="s">
        <v>259</v>
      </c>
      <c r="DH3" s="2" t="s">
        <v>301</v>
      </c>
      <c r="DI3" s="2" t="s">
        <v>5</v>
      </c>
      <c r="DJ3" s="2" t="s">
        <v>321</v>
      </c>
      <c r="DK3" s="2" t="s">
        <v>187</v>
      </c>
      <c r="DL3" s="2" t="s">
        <v>321</v>
      </c>
      <c r="DM3" s="2" t="s">
        <v>188</v>
      </c>
      <c r="DN3" s="2" t="s">
        <v>321</v>
      </c>
      <c r="DO3" s="2" t="s">
        <v>109</v>
      </c>
      <c r="DP3" s="2" t="s">
        <v>321</v>
      </c>
      <c r="DQ3" s="2" t="s">
        <v>318</v>
      </c>
      <c r="DR3" s="2" t="s">
        <v>319</v>
      </c>
      <c r="DS3" s="2" t="s">
        <v>44</v>
      </c>
      <c r="DT3" s="2" t="s">
        <v>321</v>
      </c>
      <c r="DU3" s="2" t="s">
        <v>40</v>
      </c>
      <c r="DV3" s="2" t="s">
        <v>321</v>
      </c>
      <c r="DW3" s="2" t="s">
        <v>47</v>
      </c>
      <c r="DX3" s="2" t="s">
        <v>321</v>
      </c>
      <c r="DY3" s="2" t="s">
        <v>175</v>
      </c>
      <c r="DZ3" s="2" t="s">
        <v>321</v>
      </c>
      <c r="EA3" s="2" t="s">
        <v>63</v>
      </c>
      <c r="EB3" s="2" t="s">
        <v>321</v>
      </c>
      <c r="EC3" s="2" t="s">
        <v>189</v>
      </c>
      <c r="ED3" s="2" t="s">
        <v>321</v>
      </c>
      <c r="EE3" s="2" t="s">
        <v>190</v>
      </c>
      <c r="EF3" s="2" t="s">
        <v>321</v>
      </c>
      <c r="EG3" s="2" t="s">
        <v>132</v>
      </c>
      <c r="EH3" s="2" t="s">
        <v>142</v>
      </c>
      <c r="EI3" s="2" t="s">
        <v>37</v>
      </c>
      <c r="EJ3" s="2" t="s">
        <v>321</v>
      </c>
      <c r="EK3" s="2" t="s">
        <v>260</v>
      </c>
      <c r="EL3" s="2" t="s">
        <v>321</v>
      </c>
      <c r="EM3" s="2" t="s">
        <v>89</v>
      </c>
      <c r="EN3" s="2" t="s">
        <v>321</v>
      </c>
      <c r="EO3" s="2" t="s">
        <v>129</v>
      </c>
      <c r="EP3" s="2" t="s">
        <v>141</v>
      </c>
      <c r="EQ3" s="2" t="s">
        <v>18</v>
      </c>
      <c r="ER3" s="2" t="s">
        <v>321</v>
      </c>
      <c r="ES3" s="2" t="s">
        <v>262</v>
      </c>
      <c r="ET3" s="2" t="s">
        <v>315</v>
      </c>
      <c r="EU3" s="2" t="s">
        <v>191</v>
      </c>
      <c r="EV3" s="2" t="s">
        <v>321</v>
      </c>
      <c r="EW3" s="2" t="s">
        <v>192</v>
      </c>
      <c r="EX3" s="2" t="s">
        <v>321</v>
      </c>
      <c r="EY3" s="2" t="s">
        <v>82</v>
      </c>
      <c r="EZ3" s="2" t="s">
        <v>321</v>
      </c>
      <c r="FA3" s="2" t="s">
        <v>115</v>
      </c>
      <c r="FB3" s="2" t="s">
        <v>321</v>
      </c>
      <c r="FC3" s="2" t="s">
        <v>80</v>
      </c>
      <c r="FD3" s="2" t="s">
        <v>321</v>
      </c>
      <c r="FE3" s="2" t="s">
        <v>263</v>
      </c>
      <c r="FF3" s="2" t="s">
        <v>303</v>
      </c>
      <c r="FG3" s="2" t="s">
        <v>193</v>
      </c>
      <c r="FH3" s="2" t="s">
        <v>321</v>
      </c>
      <c r="FI3" s="2" t="s">
        <v>29</v>
      </c>
      <c r="FJ3" s="2" t="s">
        <v>321</v>
      </c>
      <c r="FK3" s="2" t="s">
        <v>36</v>
      </c>
      <c r="FL3" s="2" t="s">
        <v>321</v>
      </c>
      <c r="FM3" s="2" t="s">
        <v>215</v>
      </c>
      <c r="FN3" s="2" t="s">
        <v>321</v>
      </c>
      <c r="FO3" s="2" t="s">
        <v>104</v>
      </c>
      <c r="FP3" s="2" t="s">
        <v>321</v>
      </c>
      <c r="FQ3" s="2" t="s">
        <v>48</v>
      </c>
      <c r="FR3" s="2" t="s">
        <v>321</v>
      </c>
      <c r="FS3" s="2" t="s">
        <v>43</v>
      </c>
      <c r="FT3" s="2" t="s">
        <v>321</v>
      </c>
      <c r="FU3" s="2" t="s">
        <v>194</v>
      </c>
      <c r="FV3" s="2" t="s">
        <v>321</v>
      </c>
      <c r="FW3" s="2" t="s">
        <v>118</v>
      </c>
      <c r="FX3" s="2" t="s">
        <v>321</v>
      </c>
      <c r="FY3" s="2" t="s">
        <v>123</v>
      </c>
      <c r="FZ3" s="2" t="s">
        <v>321</v>
      </c>
      <c r="GA3" s="2" t="s">
        <v>195</v>
      </c>
      <c r="GB3" s="2" t="s">
        <v>207</v>
      </c>
      <c r="GC3" s="2" t="s">
        <v>265</v>
      </c>
      <c r="GD3" s="2" t="s">
        <v>305</v>
      </c>
      <c r="GE3" s="2" t="s">
        <v>93</v>
      </c>
      <c r="GF3" s="2" t="s">
        <v>321</v>
      </c>
      <c r="GG3" s="2" t="s">
        <v>45</v>
      </c>
      <c r="GH3" s="2" t="s">
        <v>321</v>
      </c>
      <c r="GI3" s="2" t="s">
        <v>196</v>
      </c>
      <c r="GJ3" s="2" t="s">
        <v>321</v>
      </c>
      <c r="GK3" s="2" t="s">
        <v>106</v>
      </c>
      <c r="GL3" s="2" t="s">
        <v>321</v>
      </c>
      <c r="GM3" s="2" t="s">
        <v>53</v>
      </c>
      <c r="GN3" s="2" t="s">
        <v>321</v>
      </c>
      <c r="GO3" s="2" t="s">
        <v>266</v>
      </c>
      <c r="GP3" s="2" t="s">
        <v>138</v>
      </c>
      <c r="GQ3" s="2" t="s">
        <v>216</v>
      </c>
      <c r="GR3" s="2" t="s">
        <v>321</v>
      </c>
      <c r="GS3" s="2" t="s">
        <v>197</v>
      </c>
      <c r="GT3" s="2" t="s">
        <v>321</v>
      </c>
      <c r="GU3" s="2" t="s">
        <v>133</v>
      </c>
      <c r="GV3" s="2" t="s">
        <v>321</v>
      </c>
      <c r="GW3" s="2" t="s">
        <v>198</v>
      </c>
      <c r="GX3" s="2" t="s">
        <v>321</v>
      </c>
      <c r="GY3" s="2" t="s">
        <v>34</v>
      </c>
      <c r="GZ3" s="2" t="s">
        <v>136</v>
      </c>
      <c r="HA3" s="2" t="s">
        <v>223</v>
      </c>
      <c r="HB3" s="2" t="s">
        <v>321</v>
      </c>
      <c r="HC3" s="2" t="s">
        <v>81</v>
      </c>
      <c r="HD3" s="2" t="s">
        <v>321</v>
      </c>
      <c r="HE3" s="2" t="s">
        <v>96</v>
      </c>
      <c r="HF3" s="2" t="s">
        <v>321</v>
      </c>
      <c r="HG3" s="2" t="s">
        <v>267</v>
      </c>
      <c r="HH3" s="2" t="s">
        <v>306</v>
      </c>
      <c r="HI3" s="2" t="s">
        <v>199</v>
      </c>
      <c r="HJ3" s="2" t="s">
        <v>321</v>
      </c>
      <c r="HK3" s="2" t="s">
        <v>64</v>
      </c>
      <c r="HL3" s="2" t="s">
        <v>321</v>
      </c>
      <c r="HM3" s="2" t="s">
        <v>7</v>
      </c>
      <c r="HN3" s="2" t="s">
        <v>316</v>
      </c>
      <c r="HO3" s="2" t="s">
        <v>268</v>
      </c>
      <c r="HP3" s="2" t="s">
        <v>307</v>
      </c>
      <c r="HQ3" s="2" t="s">
        <v>62</v>
      </c>
      <c r="HR3" s="2" t="s">
        <v>321</v>
      </c>
      <c r="HS3" s="2" t="s">
        <v>92</v>
      </c>
      <c r="HT3" s="2" t="s">
        <v>321</v>
      </c>
      <c r="HU3" s="2" t="s">
        <v>200</v>
      </c>
      <c r="HV3" s="2" t="s">
        <v>208</v>
      </c>
      <c r="HW3" s="2" t="s">
        <v>57</v>
      </c>
      <c r="HX3" s="2" t="s">
        <v>321</v>
      </c>
      <c r="HY3" s="2" t="s">
        <v>217</v>
      </c>
      <c r="HZ3" s="2" t="s">
        <v>321</v>
      </c>
      <c r="IA3" s="2" t="s">
        <v>72</v>
      </c>
      <c r="IB3" s="2" t="s">
        <v>321</v>
      </c>
      <c r="IC3" s="2" t="s">
        <v>12</v>
      </c>
      <c r="ID3" s="2" t="s">
        <v>4</v>
      </c>
      <c r="IE3" s="2" t="s">
        <v>124</v>
      </c>
      <c r="IF3" s="2" t="s">
        <v>321</v>
      </c>
      <c r="IG3" s="2" t="s">
        <v>201</v>
      </c>
      <c r="IH3" s="2" t="s">
        <v>321</v>
      </c>
      <c r="II3" s="2" t="s">
        <v>242</v>
      </c>
      <c r="IJ3" s="2" t="s">
        <v>292</v>
      </c>
      <c r="IK3" s="2" t="s">
        <v>33</v>
      </c>
      <c r="IL3" s="2" t="s">
        <v>321</v>
      </c>
      <c r="IM3" s="2" t="s">
        <v>271</v>
      </c>
      <c r="IN3" s="2" t="s">
        <v>321</v>
      </c>
      <c r="IO3" s="2" t="s">
        <v>0</v>
      </c>
      <c r="IP3" s="2" t="s">
        <v>321</v>
      </c>
      <c r="IQ3" s="2" t="s">
        <v>272</v>
      </c>
      <c r="IR3" s="2" t="s">
        <v>309</v>
      </c>
      <c r="IS3" s="2" t="s">
        <v>26</v>
      </c>
      <c r="IT3" s="2" t="s">
        <v>321</v>
      </c>
      <c r="IU3" s="2" t="s">
        <v>273</v>
      </c>
      <c r="IV3" s="2" t="s">
        <v>321</v>
      </c>
    </row>
    <row r="4" spans="1:256" s="2" customFormat="1">
      <c r="A4" s="2" t="s">
        <v>202</v>
      </c>
      <c r="B4" s="2" t="s">
        <v>321</v>
      </c>
      <c r="C4" s="2" t="s">
        <v>274</v>
      </c>
      <c r="D4" s="2" t="s">
        <v>280</v>
      </c>
    </row>
  </sheetData>
  <customSheetViews>
    <customSheetView guid="{E575866E-AC6D-4394-9CD3-8AED20D96A5E}" state="veryHidden" showRuler="0">
      <pageMargins left="0.75" right="0.75" top="1" bottom="1" header="0.5" footer="0.5"/>
      <headerFooter alignWithMargins="0"/>
    </customSheetView>
    <customSheetView guid="{AF606229-75CD-4176-8017-8565F5ED8E7B}" state="veryHidden">
      <pageMargins left="0.75" right="0.75" top="1" bottom="1" header="0.5" footer="0.5"/>
      <headerFooter alignWithMargins="0"/>
    </customSheetView>
  </customSheetViews>
  <phoneticPr fontId="13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9"/>
  <dimension ref="A1:C938"/>
  <sheetViews>
    <sheetView topLeftCell="A907" workbookViewId="0">
      <selection activeCell="E911" sqref="E911"/>
    </sheetView>
  </sheetViews>
  <sheetFormatPr defaultRowHeight="12.75"/>
  <cols>
    <col min="1" max="1" width="12.7109375" style="229" bestFit="1" customWidth="1"/>
    <col min="2" max="2" width="24.5703125" style="231" customWidth="1"/>
    <col min="3" max="3" width="37" style="231" customWidth="1"/>
    <col min="4" max="16384" width="9.140625" style="231"/>
  </cols>
  <sheetData>
    <row r="1" spans="1:3" ht="13.5" thickBot="1">
      <c r="A1" s="253" t="s">
        <v>428</v>
      </c>
      <c r="B1" s="254" t="s">
        <v>441</v>
      </c>
      <c r="C1" s="255" t="s">
        <v>442</v>
      </c>
    </row>
    <row r="2" spans="1:3" ht="13.5" thickBot="1">
      <c r="A2" s="256">
        <v>36892</v>
      </c>
      <c r="B2" s="257" t="s">
        <v>443</v>
      </c>
      <c r="C2" s="258" t="s">
        <v>444</v>
      </c>
    </row>
    <row r="3" spans="1:3" ht="13.5" thickBot="1">
      <c r="A3" s="256">
        <v>36948</v>
      </c>
      <c r="B3" s="257" t="s">
        <v>443</v>
      </c>
      <c r="C3" s="258" t="s">
        <v>445</v>
      </c>
    </row>
    <row r="4" spans="1:3" ht="13.5" thickBot="1">
      <c r="A4" s="256">
        <v>36949</v>
      </c>
      <c r="B4" s="257" t="s">
        <v>446</v>
      </c>
      <c r="C4" s="258" t="s">
        <v>445</v>
      </c>
    </row>
    <row r="5" spans="1:3" ht="13.5" thickBot="1">
      <c r="A5" s="256">
        <v>36994</v>
      </c>
      <c r="B5" s="257" t="s">
        <v>447</v>
      </c>
      <c r="C5" s="258" t="s">
        <v>448</v>
      </c>
    </row>
    <row r="6" spans="1:3" ht="13.5" thickBot="1">
      <c r="A6" s="256">
        <v>37002</v>
      </c>
      <c r="B6" s="257" t="s">
        <v>449</v>
      </c>
      <c r="C6" s="258" t="s">
        <v>450</v>
      </c>
    </row>
    <row r="7" spans="1:3" ht="13.5" thickBot="1">
      <c r="A7" s="256">
        <v>37012</v>
      </c>
      <c r="B7" s="257" t="s">
        <v>446</v>
      </c>
      <c r="C7" s="258" t="s">
        <v>451</v>
      </c>
    </row>
    <row r="8" spans="1:3" ht="13.5" thickBot="1">
      <c r="A8" s="256">
        <v>37056</v>
      </c>
      <c r="B8" s="257" t="s">
        <v>452</v>
      </c>
      <c r="C8" s="258" t="s">
        <v>453</v>
      </c>
    </row>
    <row r="9" spans="1:3" ht="13.5" thickBot="1">
      <c r="A9" s="256">
        <v>37141</v>
      </c>
      <c r="B9" s="257" t="s">
        <v>447</v>
      </c>
      <c r="C9" s="258" t="s">
        <v>454</v>
      </c>
    </row>
    <row r="10" spans="1:3" ht="14.25" thickBot="1">
      <c r="A10" s="256">
        <v>37176</v>
      </c>
      <c r="B10" s="257" t="s">
        <v>447</v>
      </c>
      <c r="C10" s="258" t="s">
        <v>455</v>
      </c>
    </row>
    <row r="11" spans="1:3" ht="13.5" thickBot="1">
      <c r="A11" s="256">
        <v>37197</v>
      </c>
      <c r="B11" s="257" t="s">
        <v>447</v>
      </c>
      <c r="C11" s="258" t="s">
        <v>456</v>
      </c>
    </row>
    <row r="12" spans="1:3" ht="13.5" thickBot="1">
      <c r="A12" s="256">
        <v>37210</v>
      </c>
      <c r="B12" s="257" t="s">
        <v>452</v>
      </c>
      <c r="C12" s="258" t="s">
        <v>457</v>
      </c>
    </row>
    <row r="13" spans="1:3" ht="13.5" thickBot="1">
      <c r="A13" s="256">
        <v>37250</v>
      </c>
      <c r="B13" s="257" t="s">
        <v>446</v>
      </c>
      <c r="C13" s="258" t="s">
        <v>458</v>
      </c>
    </row>
    <row r="14" spans="1:3" ht="13.5" thickBot="1">
      <c r="A14" s="259">
        <v>37257</v>
      </c>
      <c r="B14" s="260" t="s">
        <v>446</v>
      </c>
      <c r="C14" s="261" t="s">
        <v>444</v>
      </c>
    </row>
    <row r="15" spans="1:3" ht="13.5" thickBot="1">
      <c r="A15" s="262">
        <v>37298</v>
      </c>
      <c r="B15" s="263" t="s">
        <v>443</v>
      </c>
      <c r="C15" s="264" t="s">
        <v>445</v>
      </c>
    </row>
    <row r="16" spans="1:3" ht="13.5" thickBot="1">
      <c r="A16" s="262">
        <v>37299</v>
      </c>
      <c r="B16" s="263" t="s">
        <v>446</v>
      </c>
      <c r="C16" s="264" t="s">
        <v>445</v>
      </c>
    </row>
    <row r="17" spans="1:3" ht="13.5" thickBot="1">
      <c r="A17" s="262">
        <v>37344</v>
      </c>
      <c r="B17" s="263" t="s">
        <v>447</v>
      </c>
      <c r="C17" s="264" t="s">
        <v>448</v>
      </c>
    </row>
    <row r="18" spans="1:3" ht="13.5" thickBot="1">
      <c r="A18" s="262">
        <v>37367</v>
      </c>
      <c r="B18" s="263" t="s">
        <v>459</v>
      </c>
      <c r="C18" s="264" t="s">
        <v>450</v>
      </c>
    </row>
    <row r="19" spans="1:3" ht="13.5" thickBot="1">
      <c r="A19" s="262">
        <v>37377</v>
      </c>
      <c r="B19" s="263" t="s">
        <v>460</v>
      </c>
      <c r="C19" s="264" t="s">
        <v>451</v>
      </c>
    </row>
    <row r="20" spans="1:3" ht="13.5" thickBot="1">
      <c r="A20" s="262">
        <v>37406</v>
      </c>
      <c r="B20" s="263" t="s">
        <v>452</v>
      </c>
      <c r="C20" s="264" t="s">
        <v>453</v>
      </c>
    </row>
    <row r="21" spans="1:3" ht="13.5" thickBot="1">
      <c r="A21" s="262">
        <v>37506</v>
      </c>
      <c r="B21" s="263" t="s">
        <v>449</v>
      </c>
      <c r="C21" s="264" t="s">
        <v>454</v>
      </c>
    </row>
    <row r="22" spans="1:3" ht="14.25" thickBot="1">
      <c r="A22" s="262">
        <v>37541</v>
      </c>
      <c r="B22" s="263" t="s">
        <v>449</v>
      </c>
      <c r="C22" s="264" t="s">
        <v>455</v>
      </c>
    </row>
    <row r="23" spans="1:3" ht="13.5" thickBot="1">
      <c r="A23" s="262">
        <v>37562</v>
      </c>
      <c r="B23" s="263" t="s">
        <v>449</v>
      </c>
      <c r="C23" s="264" t="s">
        <v>456</v>
      </c>
    </row>
    <row r="24" spans="1:3" ht="13.5" thickBot="1">
      <c r="A24" s="262">
        <v>37575</v>
      </c>
      <c r="B24" s="263" t="s">
        <v>447</v>
      </c>
      <c r="C24" s="264" t="s">
        <v>457</v>
      </c>
    </row>
    <row r="25" spans="1:3" ht="13.5" thickBot="1">
      <c r="A25" s="262">
        <v>37615</v>
      </c>
      <c r="B25" s="263" t="s">
        <v>460</v>
      </c>
      <c r="C25" s="264" t="s">
        <v>458</v>
      </c>
    </row>
    <row r="26" spans="1:3" ht="13.5" thickBot="1">
      <c r="A26" s="265">
        <v>37622</v>
      </c>
      <c r="B26" s="266" t="s">
        <v>460</v>
      </c>
      <c r="C26" s="267" t="s">
        <v>444</v>
      </c>
    </row>
    <row r="27" spans="1:3" ht="13.5" thickBot="1">
      <c r="A27" s="256">
        <v>37683</v>
      </c>
      <c r="B27" s="257" t="s">
        <v>443</v>
      </c>
      <c r="C27" s="258" t="s">
        <v>445</v>
      </c>
    </row>
    <row r="28" spans="1:3" ht="13.5" thickBot="1">
      <c r="A28" s="256">
        <v>37684</v>
      </c>
      <c r="B28" s="257" t="s">
        <v>446</v>
      </c>
      <c r="C28" s="258" t="s">
        <v>445</v>
      </c>
    </row>
    <row r="29" spans="1:3" ht="13.5" thickBot="1">
      <c r="A29" s="256">
        <v>37729</v>
      </c>
      <c r="B29" s="257" t="s">
        <v>447</v>
      </c>
      <c r="C29" s="258" t="s">
        <v>448</v>
      </c>
    </row>
    <row r="30" spans="1:3" ht="13.5" thickBot="1">
      <c r="A30" s="256">
        <v>37732</v>
      </c>
      <c r="B30" s="257" t="s">
        <v>443</v>
      </c>
      <c r="C30" s="258" t="s">
        <v>450</v>
      </c>
    </row>
    <row r="31" spans="1:3" ht="13.5" thickBot="1">
      <c r="A31" s="256">
        <v>37742</v>
      </c>
      <c r="B31" s="257" t="s">
        <v>452</v>
      </c>
      <c r="C31" s="258" t="s">
        <v>451</v>
      </c>
    </row>
    <row r="32" spans="1:3" ht="13.5" thickBot="1">
      <c r="A32" s="256">
        <v>37791</v>
      </c>
      <c r="B32" s="257" t="s">
        <v>452</v>
      </c>
      <c r="C32" s="258" t="s">
        <v>453</v>
      </c>
    </row>
    <row r="33" spans="1:3" ht="13.5" thickBot="1">
      <c r="A33" s="256">
        <v>37871</v>
      </c>
      <c r="B33" s="257" t="s">
        <v>459</v>
      </c>
      <c r="C33" s="258" t="s">
        <v>454</v>
      </c>
    </row>
    <row r="34" spans="1:3" ht="14.25" thickBot="1">
      <c r="A34" s="256">
        <v>37906</v>
      </c>
      <c r="B34" s="257" t="s">
        <v>459</v>
      </c>
      <c r="C34" s="258" t="s">
        <v>455</v>
      </c>
    </row>
    <row r="35" spans="1:3" ht="13.5" thickBot="1">
      <c r="A35" s="256">
        <v>37927</v>
      </c>
      <c r="B35" s="257" t="s">
        <v>459</v>
      </c>
      <c r="C35" s="258" t="s">
        <v>456</v>
      </c>
    </row>
    <row r="36" spans="1:3" ht="13.5" thickBot="1">
      <c r="A36" s="256">
        <v>37940</v>
      </c>
      <c r="B36" s="257" t="s">
        <v>449</v>
      </c>
      <c r="C36" s="258" t="s">
        <v>457</v>
      </c>
    </row>
    <row r="37" spans="1:3" ht="13.5" thickBot="1">
      <c r="A37" s="256">
        <v>37980</v>
      </c>
      <c r="B37" s="257" t="s">
        <v>452</v>
      </c>
      <c r="C37" s="258" t="s">
        <v>458</v>
      </c>
    </row>
    <row r="38" spans="1:3" ht="13.5" thickBot="1">
      <c r="A38" s="259">
        <v>37987</v>
      </c>
      <c r="B38" s="260" t="s">
        <v>452</v>
      </c>
      <c r="C38" s="261" t="s">
        <v>444</v>
      </c>
    </row>
    <row r="39" spans="1:3" ht="13.5" thickBot="1">
      <c r="A39" s="262">
        <v>38040</v>
      </c>
      <c r="B39" s="263" t="s">
        <v>443</v>
      </c>
      <c r="C39" s="264" t="s">
        <v>445</v>
      </c>
    </row>
    <row r="40" spans="1:3" ht="13.5" thickBot="1">
      <c r="A40" s="262">
        <v>38041</v>
      </c>
      <c r="B40" s="263" t="s">
        <v>446</v>
      </c>
      <c r="C40" s="264" t="s">
        <v>445</v>
      </c>
    </row>
    <row r="41" spans="1:3" ht="13.5" thickBot="1">
      <c r="A41" s="262">
        <v>38086</v>
      </c>
      <c r="B41" s="263" t="s">
        <v>447</v>
      </c>
      <c r="C41" s="264" t="s">
        <v>448</v>
      </c>
    </row>
    <row r="42" spans="1:3" ht="13.5" thickBot="1">
      <c r="A42" s="262">
        <v>38098</v>
      </c>
      <c r="B42" s="263" t="s">
        <v>460</v>
      </c>
      <c r="C42" s="264" t="s">
        <v>450</v>
      </c>
    </row>
    <row r="43" spans="1:3" ht="13.5" thickBot="1">
      <c r="A43" s="262">
        <v>38108</v>
      </c>
      <c r="B43" s="263" t="s">
        <v>449</v>
      </c>
      <c r="C43" s="264" t="s">
        <v>451</v>
      </c>
    </row>
    <row r="44" spans="1:3" ht="13.5" thickBot="1">
      <c r="A44" s="262">
        <v>38148</v>
      </c>
      <c r="B44" s="263" t="s">
        <v>452</v>
      </c>
      <c r="C44" s="264" t="s">
        <v>453</v>
      </c>
    </row>
    <row r="45" spans="1:3" ht="13.5" thickBot="1">
      <c r="A45" s="262">
        <v>38237</v>
      </c>
      <c r="B45" s="263" t="s">
        <v>446</v>
      </c>
      <c r="C45" s="264" t="s">
        <v>454</v>
      </c>
    </row>
    <row r="46" spans="1:3" ht="14.25" thickBot="1">
      <c r="A46" s="262">
        <v>38272</v>
      </c>
      <c r="B46" s="263" t="s">
        <v>446</v>
      </c>
      <c r="C46" s="264" t="s">
        <v>455</v>
      </c>
    </row>
    <row r="47" spans="1:3" ht="13.5" thickBot="1">
      <c r="A47" s="262">
        <v>38293</v>
      </c>
      <c r="B47" s="263" t="s">
        <v>446</v>
      </c>
      <c r="C47" s="264" t="s">
        <v>456</v>
      </c>
    </row>
    <row r="48" spans="1:3" ht="13.5" thickBot="1">
      <c r="A48" s="262">
        <v>38306</v>
      </c>
      <c r="B48" s="263" t="s">
        <v>443</v>
      </c>
      <c r="C48" s="264" t="s">
        <v>457</v>
      </c>
    </row>
    <row r="49" spans="1:3" ht="13.5" thickBot="1">
      <c r="A49" s="262">
        <v>38346</v>
      </c>
      <c r="B49" s="263" t="s">
        <v>449</v>
      </c>
      <c r="C49" s="264" t="s">
        <v>458</v>
      </c>
    </row>
    <row r="50" spans="1:3" ht="13.5" thickBot="1">
      <c r="A50" s="265">
        <v>38353</v>
      </c>
      <c r="B50" s="266" t="s">
        <v>449</v>
      </c>
      <c r="C50" s="267" t="s">
        <v>444</v>
      </c>
    </row>
    <row r="51" spans="1:3" ht="13.5" thickBot="1">
      <c r="A51" s="256">
        <v>38390</v>
      </c>
      <c r="B51" s="257" t="s">
        <v>443</v>
      </c>
      <c r="C51" s="258" t="s">
        <v>445</v>
      </c>
    </row>
    <row r="52" spans="1:3" ht="13.5" thickBot="1">
      <c r="A52" s="256">
        <v>38391</v>
      </c>
      <c r="B52" s="257" t="s">
        <v>446</v>
      </c>
      <c r="C52" s="258" t="s">
        <v>445</v>
      </c>
    </row>
    <row r="53" spans="1:3" ht="13.5" thickBot="1">
      <c r="A53" s="256">
        <v>38436</v>
      </c>
      <c r="B53" s="257" t="s">
        <v>447</v>
      </c>
      <c r="C53" s="258" t="s">
        <v>448</v>
      </c>
    </row>
    <row r="54" spans="1:3" ht="13.5" thickBot="1">
      <c r="A54" s="256">
        <v>38463</v>
      </c>
      <c r="B54" s="257" t="s">
        <v>452</v>
      </c>
      <c r="C54" s="258" t="s">
        <v>450</v>
      </c>
    </row>
    <row r="55" spans="1:3" ht="13.5" thickBot="1">
      <c r="A55" s="256">
        <v>38473</v>
      </c>
      <c r="B55" s="257" t="s">
        <v>459</v>
      </c>
      <c r="C55" s="258" t="s">
        <v>451</v>
      </c>
    </row>
    <row r="56" spans="1:3" ht="13.5" thickBot="1">
      <c r="A56" s="256">
        <v>38498</v>
      </c>
      <c r="B56" s="257" t="s">
        <v>452</v>
      </c>
      <c r="C56" s="258" t="s">
        <v>453</v>
      </c>
    </row>
    <row r="57" spans="1:3" ht="13.5" thickBot="1">
      <c r="A57" s="256">
        <v>38602</v>
      </c>
      <c r="B57" s="257" t="s">
        <v>460</v>
      </c>
      <c r="C57" s="258" t="s">
        <v>454</v>
      </c>
    </row>
    <row r="58" spans="1:3" ht="14.25" thickBot="1">
      <c r="A58" s="256">
        <v>38637</v>
      </c>
      <c r="B58" s="257" t="s">
        <v>460</v>
      </c>
      <c r="C58" s="258" t="s">
        <v>455</v>
      </c>
    </row>
    <row r="59" spans="1:3" ht="13.5" thickBot="1">
      <c r="A59" s="256">
        <v>38658</v>
      </c>
      <c r="B59" s="257" t="s">
        <v>460</v>
      </c>
      <c r="C59" s="258" t="s">
        <v>456</v>
      </c>
    </row>
    <row r="60" spans="1:3" ht="13.5" thickBot="1">
      <c r="A60" s="256">
        <v>38671</v>
      </c>
      <c r="B60" s="257" t="s">
        <v>446</v>
      </c>
      <c r="C60" s="258" t="s">
        <v>457</v>
      </c>
    </row>
    <row r="61" spans="1:3" ht="13.5" thickBot="1">
      <c r="A61" s="256">
        <v>38711</v>
      </c>
      <c r="B61" s="257" t="s">
        <v>459</v>
      </c>
      <c r="C61" s="258" t="s">
        <v>458</v>
      </c>
    </row>
    <row r="62" spans="1:3" ht="13.5" thickBot="1">
      <c r="A62" s="259">
        <v>38718</v>
      </c>
      <c r="B62" s="260" t="s">
        <v>459</v>
      </c>
      <c r="C62" s="261" t="s">
        <v>444</v>
      </c>
    </row>
    <row r="63" spans="1:3" ht="13.5" thickBot="1">
      <c r="A63" s="262">
        <v>38775</v>
      </c>
      <c r="B63" s="263" t="s">
        <v>443</v>
      </c>
      <c r="C63" s="264" t="s">
        <v>445</v>
      </c>
    </row>
    <row r="64" spans="1:3" ht="13.5" thickBot="1">
      <c r="A64" s="262">
        <v>38776</v>
      </c>
      <c r="B64" s="263" t="s">
        <v>446</v>
      </c>
      <c r="C64" s="264" t="s">
        <v>445</v>
      </c>
    </row>
    <row r="65" spans="1:3" ht="13.5" thickBot="1">
      <c r="A65" s="262">
        <v>38821</v>
      </c>
      <c r="B65" s="263" t="s">
        <v>447</v>
      </c>
      <c r="C65" s="264" t="s">
        <v>448</v>
      </c>
    </row>
    <row r="66" spans="1:3" ht="13.5" thickBot="1">
      <c r="A66" s="262">
        <v>38828</v>
      </c>
      <c r="B66" s="263" t="s">
        <v>447</v>
      </c>
      <c r="C66" s="264" t="s">
        <v>450</v>
      </c>
    </row>
    <row r="67" spans="1:3" ht="13.5" thickBot="1">
      <c r="A67" s="262">
        <v>38838</v>
      </c>
      <c r="B67" s="263" t="s">
        <v>443</v>
      </c>
      <c r="C67" s="264" t="s">
        <v>451</v>
      </c>
    </row>
    <row r="68" spans="1:3" ht="13.5" thickBot="1">
      <c r="A68" s="262">
        <v>38883</v>
      </c>
      <c r="B68" s="263" t="s">
        <v>452</v>
      </c>
      <c r="C68" s="264" t="s">
        <v>453</v>
      </c>
    </row>
    <row r="69" spans="1:3" ht="13.5" thickBot="1">
      <c r="A69" s="262">
        <v>38967</v>
      </c>
      <c r="B69" s="263" t="s">
        <v>452</v>
      </c>
      <c r="C69" s="264" t="s">
        <v>454</v>
      </c>
    </row>
    <row r="70" spans="1:3" ht="14.25" thickBot="1">
      <c r="A70" s="262">
        <v>39002</v>
      </c>
      <c r="B70" s="263" t="s">
        <v>452</v>
      </c>
      <c r="C70" s="264" t="s">
        <v>455</v>
      </c>
    </row>
    <row r="71" spans="1:3" ht="13.5" thickBot="1">
      <c r="A71" s="262">
        <v>39023</v>
      </c>
      <c r="B71" s="263" t="s">
        <v>452</v>
      </c>
      <c r="C71" s="264" t="s">
        <v>456</v>
      </c>
    </row>
    <row r="72" spans="1:3" ht="13.5" thickBot="1">
      <c r="A72" s="262">
        <v>39036</v>
      </c>
      <c r="B72" s="263" t="s">
        <v>460</v>
      </c>
      <c r="C72" s="264" t="s">
        <v>457</v>
      </c>
    </row>
    <row r="73" spans="1:3" ht="13.5" thickBot="1">
      <c r="A73" s="262">
        <v>39076</v>
      </c>
      <c r="B73" s="263" t="s">
        <v>443</v>
      </c>
      <c r="C73" s="264" t="s">
        <v>458</v>
      </c>
    </row>
    <row r="74" spans="1:3" ht="13.5" thickBot="1">
      <c r="A74" s="265">
        <v>39083</v>
      </c>
      <c r="B74" s="266" t="s">
        <v>443</v>
      </c>
      <c r="C74" s="267" t="s">
        <v>444</v>
      </c>
    </row>
    <row r="75" spans="1:3" ht="13.5" thickBot="1">
      <c r="A75" s="256">
        <v>39132</v>
      </c>
      <c r="B75" s="257" t="s">
        <v>443</v>
      </c>
      <c r="C75" s="258" t="s">
        <v>445</v>
      </c>
    </row>
    <row r="76" spans="1:3" ht="13.5" thickBot="1">
      <c r="A76" s="256">
        <v>39133</v>
      </c>
      <c r="B76" s="257" t="s">
        <v>446</v>
      </c>
      <c r="C76" s="258" t="s">
        <v>445</v>
      </c>
    </row>
    <row r="77" spans="1:3" ht="13.5" thickBot="1">
      <c r="A77" s="256">
        <v>39178</v>
      </c>
      <c r="B77" s="257" t="s">
        <v>447</v>
      </c>
      <c r="C77" s="258" t="s">
        <v>448</v>
      </c>
    </row>
    <row r="78" spans="1:3" ht="13.5" thickBot="1">
      <c r="A78" s="256">
        <v>39193</v>
      </c>
      <c r="B78" s="257" t="s">
        <v>449</v>
      </c>
      <c r="C78" s="258" t="s">
        <v>450</v>
      </c>
    </row>
    <row r="79" spans="1:3" ht="13.5" thickBot="1">
      <c r="A79" s="256">
        <v>39203</v>
      </c>
      <c r="B79" s="257" t="s">
        <v>446</v>
      </c>
      <c r="C79" s="258" t="s">
        <v>451</v>
      </c>
    </row>
    <row r="80" spans="1:3" ht="13.5" thickBot="1">
      <c r="A80" s="256">
        <v>39240</v>
      </c>
      <c r="B80" s="257" t="s">
        <v>452</v>
      </c>
      <c r="C80" s="258" t="s">
        <v>453</v>
      </c>
    </row>
    <row r="81" spans="1:3" ht="13.5" thickBot="1">
      <c r="A81" s="256">
        <v>39332</v>
      </c>
      <c r="B81" s="257" t="s">
        <v>447</v>
      </c>
      <c r="C81" s="258" t="s">
        <v>454</v>
      </c>
    </row>
    <row r="82" spans="1:3" ht="14.25" thickBot="1">
      <c r="A82" s="256">
        <v>39367</v>
      </c>
      <c r="B82" s="257" t="s">
        <v>447</v>
      </c>
      <c r="C82" s="258" t="s">
        <v>455</v>
      </c>
    </row>
    <row r="83" spans="1:3" ht="13.5" thickBot="1">
      <c r="A83" s="256">
        <v>39388</v>
      </c>
      <c r="B83" s="257" t="s">
        <v>447</v>
      </c>
      <c r="C83" s="258" t="s">
        <v>456</v>
      </c>
    </row>
    <row r="84" spans="1:3" ht="13.5" thickBot="1">
      <c r="A84" s="256">
        <v>39401</v>
      </c>
      <c r="B84" s="257" t="s">
        <v>452</v>
      </c>
      <c r="C84" s="258" t="s">
        <v>457</v>
      </c>
    </row>
    <row r="85" spans="1:3" ht="13.5" thickBot="1">
      <c r="A85" s="256">
        <v>39441</v>
      </c>
      <c r="B85" s="257" t="s">
        <v>446</v>
      </c>
      <c r="C85" s="258" t="s">
        <v>458</v>
      </c>
    </row>
    <row r="86" spans="1:3" ht="13.5" thickBot="1">
      <c r="A86" s="259">
        <v>39448</v>
      </c>
      <c r="B86" s="260" t="s">
        <v>446</v>
      </c>
      <c r="C86" s="261" t="s">
        <v>444</v>
      </c>
    </row>
    <row r="87" spans="1:3" ht="13.5" thickBot="1">
      <c r="A87" s="262">
        <v>39482</v>
      </c>
      <c r="B87" s="263" t="s">
        <v>443</v>
      </c>
      <c r="C87" s="264" t="s">
        <v>445</v>
      </c>
    </row>
    <row r="88" spans="1:3" ht="13.5" thickBot="1">
      <c r="A88" s="262">
        <v>39483</v>
      </c>
      <c r="B88" s="263" t="s">
        <v>446</v>
      </c>
      <c r="C88" s="264" t="s">
        <v>445</v>
      </c>
    </row>
    <row r="89" spans="1:3" ht="13.5" thickBot="1">
      <c r="A89" s="262">
        <v>39528</v>
      </c>
      <c r="B89" s="263" t="s">
        <v>447</v>
      </c>
      <c r="C89" s="264" t="s">
        <v>448</v>
      </c>
    </row>
    <row r="90" spans="1:3" ht="13.5" thickBot="1">
      <c r="A90" s="262">
        <v>39559</v>
      </c>
      <c r="B90" s="263" t="s">
        <v>443</v>
      </c>
      <c r="C90" s="264" t="s">
        <v>450</v>
      </c>
    </row>
    <row r="91" spans="1:3" ht="13.5" thickBot="1">
      <c r="A91" s="262">
        <v>39569</v>
      </c>
      <c r="B91" s="263" t="s">
        <v>452</v>
      </c>
      <c r="C91" s="264" t="s">
        <v>451</v>
      </c>
    </row>
    <row r="92" spans="1:3" ht="13.5" thickBot="1">
      <c r="A92" s="262">
        <v>39590</v>
      </c>
      <c r="B92" s="263" t="s">
        <v>452</v>
      </c>
      <c r="C92" s="264" t="s">
        <v>453</v>
      </c>
    </row>
    <row r="93" spans="1:3" ht="13.5" thickBot="1">
      <c r="A93" s="262">
        <v>39698</v>
      </c>
      <c r="B93" s="263" t="s">
        <v>459</v>
      </c>
      <c r="C93" s="264" t="s">
        <v>454</v>
      </c>
    </row>
    <row r="94" spans="1:3" ht="14.25" thickBot="1">
      <c r="A94" s="262">
        <v>39733</v>
      </c>
      <c r="B94" s="263" t="s">
        <v>459</v>
      </c>
      <c r="C94" s="264" t="s">
        <v>455</v>
      </c>
    </row>
    <row r="95" spans="1:3" ht="13.5" thickBot="1">
      <c r="A95" s="262">
        <v>39754</v>
      </c>
      <c r="B95" s="263" t="s">
        <v>459</v>
      </c>
      <c r="C95" s="264" t="s">
        <v>456</v>
      </c>
    </row>
    <row r="96" spans="1:3" ht="13.5" thickBot="1">
      <c r="A96" s="262">
        <v>39767</v>
      </c>
      <c r="B96" s="263" t="s">
        <v>449</v>
      </c>
      <c r="C96" s="264" t="s">
        <v>457</v>
      </c>
    </row>
    <row r="97" spans="1:3" ht="13.5" thickBot="1">
      <c r="A97" s="262">
        <v>39807</v>
      </c>
      <c r="B97" s="263" t="s">
        <v>452</v>
      </c>
      <c r="C97" s="264" t="s">
        <v>458</v>
      </c>
    </row>
    <row r="98" spans="1:3" ht="13.5" thickBot="1">
      <c r="A98" s="265">
        <v>39814</v>
      </c>
      <c r="B98" s="266" t="s">
        <v>452</v>
      </c>
      <c r="C98" s="267" t="s">
        <v>444</v>
      </c>
    </row>
    <row r="99" spans="1:3" ht="13.5" thickBot="1">
      <c r="A99" s="256">
        <v>39867</v>
      </c>
      <c r="B99" s="257" t="s">
        <v>443</v>
      </c>
      <c r="C99" s="258" t="s">
        <v>445</v>
      </c>
    </row>
    <row r="100" spans="1:3" ht="13.5" thickBot="1">
      <c r="A100" s="256">
        <v>39868</v>
      </c>
      <c r="B100" s="257" t="s">
        <v>446</v>
      </c>
      <c r="C100" s="258" t="s">
        <v>445</v>
      </c>
    </row>
    <row r="101" spans="1:3" ht="13.5" thickBot="1">
      <c r="A101" s="256">
        <v>39913</v>
      </c>
      <c r="B101" s="257" t="s">
        <v>447</v>
      </c>
      <c r="C101" s="258" t="s">
        <v>448</v>
      </c>
    </row>
    <row r="102" spans="1:3" ht="13.5" thickBot="1">
      <c r="A102" s="256">
        <v>39924</v>
      </c>
      <c r="B102" s="257" t="s">
        <v>446</v>
      </c>
      <c r="C102" s="258" t="s">
        <v>450</v>
      </c>
    </row>
    <row r="103" spans="1:3" ht="13.5" thickBot="1">
      <c r="A103" s="256">
        <v>39934</v>
      </c>
      <c r="B103" s="257" t="s">
        <v>447</v>
      </c>
      <c r="C103" s="258" t="s">
        <v>451</v>
      </c>
    </row>
    <row r="104" spans="1:3" ht="13.5" thickBot="1">
      <c r="A104" s="256">
        <v>39975</v>
      </c>
      <c r="B104" s="257" t="s">
        <v>452</v>
      </c>
      <c r="C104" s="258" t="s">
        <v>453</v>
      </c>
    </row>
    <row r="105" spans="1:3" ht="13.5" thickBot="1">
      <c r="A105" s="256">
        <v>40063</v>
      </c>
      <c r="B105" s="257" t="s">
        <v>443</v>
      </c>
      <c r="C105" s="258" t="s">
        <v>454</v>
      </c>
    </row>
    <row r="106" spans="1:3" ht="14.25" thickBot="1">
      <c r="A106" s="256">
        <v>40098</v>
      </c>
      <c r="B106" s="257" t="s">
        <v>443</v>
      </c>
      <c r="C106" s="258" t="s">
        <v>455</v>
      </c>
    </row>
    <row r="107" spans="1:3" ht="13.5" thickBot="1">
      <c r="A107" s="256">
        <v>40119</v>
      </c>
      <c r="B107" s="257" t="s">
        <v>443</v>
      </c>
      <c r="C107" s="258" t="s">
        <v>456</v>
      </c>
    </row>
    <row r="108" spans="1:3" ht="13.5" thickBot="1">
      <c r="A108" s="256">
        <v>40132</v>
      </c>
      <c r="B108" s="257" t="s">
        <v>459</v>
      </c>
      <c r="C108" s="258" t="s">
        <v>457</v>
      </c>
    </row>
    <row r="109" spans="1:3" ht="13.5" thickBot="1">
      <c r="A109" s="256">
        <v>40172</v>
      </c>
      <c r="B109" s="257" t="s">
        <v>447</v>
      </c>
      <c r="C109" s="258" t="s">
        <v>458</v>
      </c>
    </row>
    <row r="110" spans="1:3" ht="13.5" thickBot="1">
      <c r="A110" s="259">
        <v>40179</v>
      </c>
      <c r="B110" s="260" t="s">
        <v>447</v>
      </c>
      <c r="C110" s="261" t="s">
        <v>444</v>
      </c>
    </row>
    <row r="111" spans="1:3" ht="13.5" thickBot="1">
      <c r="A111" s="262">
        <v>40224</v>
      </c>
      <c r="B111" s="263" t="s">
        <v>443</v>
      </c>
      <c r="C111" s="264" t="s">
        <v>445</v>
      </c>
    </row>
    <row r="112" spans="1:3" ht="13.5" thickBot="1">
      <c r="A112" s="262">
        <v>40225</v>
      </c>
      <c r="B112" s="263" t="s">
        <v>446</v>
      </c>
      <c r="C112" s="264" t="s">
        <v>445</v>
      </c>
    </row>
    <row r="113" spans="1:3" ht="13.5" thickBot="1">
      <c r="A113" s="262">
        <v>40270</v>
      </c>
      <c r="B113" s="263" t="s">
        <v>447</v>
      </c>
      <c r="C113" s="264" t="s">
        <v>448</v>
      </c>
    </row>
    <row r="114" spans="1:3" ht="13.5" thickBot="1">
      <c r="A114" s="262">
        <v>40289</v>
      </c>
      <c r="B114" s="263" t="s">
        <v>460</v>
      </c>
      <c r="C114" s="264" t="s">
        <v>450</v>
      </c>
    </row>
    <row r="115" spans="1:3" ht="13.5" thickBot="1">
      <c r="A115" s="262">
        <v>40299</v>
      </c>
      <c r="B115" s="263" t="s">
        <v>449</v>
      </c>
      <c r="C115" s="264" t="s">
        <v>451</v>
      </c>
    </row>
    <row r="116" spans="1:3" ht="13.5" thickBot="1">
      <c r="A116" s="262">
        <v>40332</v>
      </c>
      <c r="B116" s="263" t="s">
        <v>452</v>
      </c>
      <c r="C116" s="264" t="s">
        <v>453</v>
      </c>
    </row>
    <row r="117" spans="1:3" ht="13.5" thickBot="1">
      <c r="A117" s="262">
        <v>40428</v>
      </c>
      <c r="B117" s="263" t="s">
        <v>446</v>
      </c>
      <c r="C117" s="264" t="s">
        <v>454</v>
      </c>
    </row>
    <row r="118" spans="1:3" ht="14.25" thickBot="1">
      <c r="A118" s="262">
        <v>40463</v>
      </c>
      <c r="B118" s="263" t="s">
        <v>446</v>
      </c>
      <c r="C118" s="264" t="s">
        <v>455</v>
      </c>
    </row>
    <row r="119" spans="1:3" ht="13.5" thickBot="1">
      <c r="A119" s="262">
        <v>40484</v>
      </c>
      <c r="B119" s="263" t="s">
        <v>446</v>
      </c>
      <c r="C119" s="264" t="s">
        <v>456</v>
      </c>
    </row>
    <row r="120" spans="1:3" ht="13.5" thickBot="1">
      <c r="A120" s="262">
        <v>40497</v>
      </c>
      <c r="B120" s="263" t="s">
        <v>443</v>
      </c>
      <c r="C120" s="264" t="s">
        <v>457</v>
      </c>
    </row>
    <row r="121" spans="1:3" ht="13.5" thickBot="1">
      <c r="A121" s="262">
        <v>40537</v>
      </c>
      <c r="B121" s="263" t="s">
        <v>449</v>
      </c>
      <c r="C121" s="264" t="s">
        <v>458</v>
      </c>
    </row>
    <row r="122" spans="1:3" ht="13.5" thickBot="1">
      <c r="A122" s="265">
        <v>40544</v>
      </c>
      <c r="B122" s="266" t="s">
        <v>449</v>
      </c>
      <c r="C122" s="267" t="s">
        <v>444</v>
      </c>
    </row>
    <row r="123" spans="1:3" ht="13.5" thickBot="1">
      <c r="A123" s="256">
        <v>40609</v>
      </c>
      <c r="B123" s="257" t="s">
        <v>443</v>
      </c>
      <c r="C123" s="258" t="s">
        <v>445</v>
      </c>
    </row>
    <row r="124" spans="1:3" ht="13.5" thickBot="1">
      <c r="A124" s="256">
        <v>40610</v>
      </c>
      <c r="B124" s="257" t="s">
        <v>446</v>
      </c>
      <c r="C124" s="258" t="s">
        <v>445</v>
      </c>
    </row>
    <row r="125" spans="1:3" ht="13.5" thickBot="1">
      <c r="A125" s="256">
        <v>40654</v>
      </c>
      <c r="B125" s="257" t="s">
        <v>452</v>
      </c>
      <c r="C125" s="258" t="s">
        <v>448</v>
      </c>
    </row>
    <row r="126" spans="1:3" ht="13.5" thickBot="1">
      <c r="A126" s="256">
        <v>40655</v>
      </c>
      <c r="B126" s="257" t="s">
        <v>447</v>
      </c>
      <c r="C126" s="258" t="s">
        <v>450</v>
      </c>
    </row>
    <row r="127" spans="1:3" ht="13.5" thickBot="1">
      <c r="A127" s="256">
        <v>40664</v>
      </c>
      <c r="B127" s="257" t="s">
        <v>459</v>
      </c>
      <c r="C127" s="258" t="s">
        <v>451</v>
      </c>
    </row>
    <row r="128" spans="1:3" ht="13.5" thickBot="1">
      <c r="A128" s="256">
        <v>40717</v>
      </c>
      <c r="B128" s="257" t="s">
        <v>452</v>
      </c>
      <c r="C128" s="258" t="s">
        <v>453</v>
      </c>
    </row>
    <row r="129" spans="1:3" ht="13.5" thickBot="1">
      <c r="A129" s="256">
        <v>40793</v>
      </c>
      <c r="B129" s="257" t="s">
        <v>460</v>
      </c>
      <c r="C129" s="258" t="s">
        <v>454</v>
      </c>
    </row>
    <row r="130" spans="1:3" ht="14.25" thickBot="1">
      <c r="A130" s="256">
        <v>40828</v>
      </c>
      <c r="B130" s="257" t="s">
        <v>460</v>
      </c>
      <c r="C130" s="258" t="s">
        <v>455</v>
      </c>
    </row>
    <row r="131" spans="1:3" ht="13.5" thickBot="1">
      <c r="A131" s="256">
        <v>40849</v>
      </c>
      <c r="B131" s="257" t="s">
        <v>460</v>
      </c>
      <c r="C131" s="258" t="s">
        <v>456</v>
      </c>
    </row>
    <row r="132" spans="1:3" ht="13.5" thickBot="1">
      <c r="A132" s="256">
        <v>40862</v>
      </c>
      <c r="B132" s="257" t="s">
        <v>446</v>
      </c>
      <c r="C132" s="258" t="s">
        <v>457</v>
      </c>
    </row>
    <row r="133" spans="1:3" ht="13.5" thickBot="1">
      <c r="A133" s="256">
        <v>40902</v>
      </c>
      <c r="B133" s="257" t="s">
        <v>459</v>
      </c>
      <c r="C133" s="258" t="s">
        <v>458</v>
      </c>
    </row>
    <row r="134" spans="1:3" ht="13.5" thickBot="1">
      <c r="A134" s="259">
        <v>40909</v>
      </c>
      <c r="B134" s="260" t="s">
        <v>459</v>
      </c>
      <c r="C134" s="261" t="s">
        <v>444</v>
      </c>
    </row>
    <row r="135" spans="1:3" ht="13.5" thickBot="1">
      <c r="A135" s="262">
        <v>40959</v>
      </c>
      <c r="B135" s="263" t="s">
        <v>443</v>
      </c>
      <c r="C135" s="264" t="s">
        <v>445</v>
      </c>
    </row>
    <row r="136" spans="1:3" ht="13.5" thickBot="1">
      <c r="A136" s="262">
        <v>40960</v>
      </c>
      <c r="B136" s="263" t="s">
        <v>446</v>
      </c>
      <c r="C136" s="264" t="s">
        <v>445</v>
      </c>
    </row>
    <row r="137" spans="1:3" ht="13.5" thickBot="1">
      <c r="A137" s="262">
        <v>41005</v>
      </c>
      <c r="B137" s="263" t="s">
        <v>447</v>
      </c>
      <c r="C137" s="264" t="s">
        <v>448</v>
      </c>
    </row>
    <row r="138" spans="1:3" ht="13.5" thickBot="1">
      <c r="A138" s="262">
        <v>41020</v>
      </c>
      <c r="B138" s="263" t="s">
        <v>449</v>
      </c>
      <c r="C138" s="264" t="s">
        <v>450</v>
      </c>
    </row>
    <row r="139" spans="1:3" ht="13.5" thickBot="1">
      <c r="A139" s="262">
        <v>41030</v>
      </c>
      <c r="B139" s="263" t="s">
        <v>446</v>
      </c>
      <c r="C139" s="264" t="s">
        <v>451</v>
      </c>
    </row>
    <row r="140" spans="1:3" ht="13.5" thickBot="1">
      <c r="A140" s="262">
        <v>41067</v>
      </c>
      <c r="B140" s="263" t="s">
        <v>452</v>
      </c>
      <c r="C140" s="264" t="s">
        <v>453</v>
      </c>
    </row>
    <row r="141" spans="1:3" ht="13.5" thickBot="1">
      <c r="A141" s="262">
        <v>41159</v>
      </c>
      <c r="B141" s="263" t="s">
        <v>447</v>
      </c>
      <c r="C141" s="264" t="s">
        <v>454</v>
      </c>
    </row>
    <row r="142" spans="1:3" ht="14.25" thickBot="1">
      <c r="A142" s="262">
        <v>41194</v>
      </c>
      <c r="B142" s="263" t="s">
        <v>447</v>
      </c>
      <c r="C142" s="264" t="s">
        <v>455</v>
      </c>
    </row>
    <row r="143" spans="1:3" ht="13.5" thickBot="1">
      <c r="A143" s="262">
        <v>41215</v>
      </c>
      <c r="B143" s="263" t="s">
        <v>447</v>
      </c>
      <c r="C143" s="264" t="s">
        <v>456</v>
      </c>
    </row>
    <row r="144" spans="1:3" ht="13.5" thickBot="1">
      <c r="A144" s="262">
        <v>41228</v>
      </c>
      <c r="B144" s="263" t="s">
        <v>452</v>
      </c>
      <c r="C144" s="264" t="s">
        <v>457</v>
      </c>
    </row>
    <row r="145" spans="1:3" ht="13.5" thickBot="1">
      <c r="A145" s="262">
        <v>41268</v>
      </c>
      <c r="B145" s="263" t="s">
        <v>446</v>
      </c>
      <c r="C145" s="264" t="s">
        <v>458</v>
      </c>
    </row>
    <row r="146" spans="1:3" ht="13.5" thickBot="1">
      <c r="A146" s="265">
        <v>41275</v>
      </c>
      <c r="B146" s="266" t="s">
        <v>446</v>
      </c>
      <c r="C146" s="267" t="s">
        <v>444</v>
      </c>
    </row>
    <row r="147" spans="1:3" ht="13.5" thickBot="1">
      <c r="A147" s="256">
        <v>41316</v>
      </c>
      <c r="B147" s="257" t="s">
        <v>443</v>
      </c>
      <c r="C147" s="258" t="s">
        <v>445</v>
      </c>
    </row>
    <row r="148" spans="1:3" ht="13.5" thickBot="1">
      <c r="A148" s="256">
        <v>41317</v>
      </c>
      <c r="B148" s="257" t="s">
        <v>446</v>
      </c>
      <c r="C148" s="258" t="s">
        <v>445</v>
      </c>
    </row>
    <row r="149" spans="1:3" ht="13.5" thickBot="1">
      <c r="A149" s="256">
        <v>41362</v>
      </c>
      <c r="B149" s="257" t="s">
        <v>447</v>
      </c>
      <c r="C149" s="258" t="s">
        <v>448</v>
      </c>
    </row>
    <row r="150" spans="1:3" ht="13.5" thickBot="1">
      <c r="A150" s="256">
        <v>41385</v>
      </c>
      <c r="B150" s="257" t="s">
        <v>459</v>
      </c>
      <c r="C150" s="258" t="s">
        <v>450</v>
      </c>
    </row>
    <row r="151" spans="1:3" ht="13.5" thickBot="1">
      <c r="A151" s="256">
        <v>41395</v>
      </c>
      <c r="B151" s="257" t="s">
        <v>460</v>
      </c>
      <c r="C151" s="258" t="s">
        <v>451</v>
      </c>
    </row>
    <row r="152" spans="1:3" ht="13.5" thickBot="1">
      <c r="A152" s="256">
        <v>41424</v>
      </c>
      <c r="B152" s="257" t="s">
        <v>452</v>
      </c>
      <c r="C152" s="258" t="s">
        <v>453</v>
      </c>
    </row>
    <row r="153" spans="1:3" ht="13.5" thickBot="1">
      <c r="A153" s="256">
        <v>41524</v>
      </c>
      <c r="B153" s="257" t="s">
        <v>449</v>
      </c>
      <c r="C153" s="258" t="s">
        <v>454</v>
      </c>
    </row>
    <row r="154" spans="1:3" ht="14.25" thickBot="1">
      <c r="A154" s="256">
        <v>41559</v>
      </c>
      <c r="B154" s="257" t="s">
        <v>449</v>
      </c>
      <c r="C154" s="258" t="s">
        <v>455</v>
      </c>
    </row>
    <row r="155" spans="1:3" ht="13.5" thickBot="1">
      <c r="A155" s="256">
        <v>41580</v>
      </c>
      <c r="B155" s="257" t="s">
        <v>449</v>
      </c>
      <c r="C155" s="258" t="s">
        <v>456</v>
      </c>
    </row>
    <row r="156" spans="1:3" ht="13.5" thickBot="1">
      <c r="A156" s="256">
        <v>41593</v>
      </c>
      <c r="B156" s="257" t="s">
        <v>447</v>
      </c>
      <c r="C156" s="258" t="s">
        <v>457</v>
      </c>
    </row>
    <row r="157" spans="1:3" ht="13.5" thickBot="1">
      <c r="A157" s="256">
        <v>41633</v>
      </c>
      <c r="B157" s="257" t="s">
        <v>460</v>
      </c>
      <c r="C157" s="258" t="s">
        <v>458</v>
      </c>
    </row>
    <row r="158" spans="1:3" ht="13.5" thickBot="1">
      <c r="A158" s="259">
        <v>41640</v>
      </c>
      <c r="B158" s="260" t="s">
        <v>460</v>
      </c>
      <c r="C158" s="261" t="s">
        <v>444</v>
      </c>
    </row>
    <row r="159" spans="1:3" ht="13.5" thickBot="1">
      <c r="A159" s="262">
        <v>41701</v>
      </c>
      <c r="B159" s="263" t="s">
        <v>443</v>
      </c>
      <c r="C159" s="264" t="s">
        <v>445</v>
      </c>
    </row>
    <row r="160" spans="1:3" ht="13.5" thickBot="1">
      <c r="A160" s="262">
        <v>41702</v>
      </c>
      <c r="B160" s="263" t="s">
        <v>446</v>
      </c>
      <c r="C160" s="264" t="s">
        <v>445</v>
      </c>
    </row>
    <row r="161" spans="1:3" ht="13.5" thickBot="1">
      <c r="A161" s="262">
        <v>41747</v>
      </c>
      <c r="B161" s="263" t="s">
        <v>447</v>
      </c>
      <c r="C161" s="264" t="s">
        <v>448</v>
      </c>
    </row>
    <row r="162" spans="1:3" ht="13.5" thickBot="1">
      <c r="A162" s="262">
        <v>41750</v>
      </c>
      <c r="B162" s="263" t="s">
        <v>443</v>
      </c>
      <c r="C162" s="264" t="s">
        <v>450</v>
      </c>
    </row>
    <row r="163" spans="1:3" ht="13.5" thickBot="1">
      <c r="A163" s="262">
        <v>41760</v>
      </c>
      <c r="B163" s="263" t="s">
        <v>452</v>
      </c>
      <c r="C163" s="264" t="s">
        <v>451</v>
      </c>
    </row>
    <row r="164" spans="1:3" ht="13.5" thickBot="1">
      <c r="A164" s="262">
        <v>41809</v>
      </c>
      <c r="B164" s="263" t="s">
        <v>452</v>
      </c>
      <c r="C164" s="264" t="s">
        <v>453</v>
      </c>
    </row>
    <row r="165" spans="1:3" ht="13.5" thickBot="1">
      <c r="A165" s="262">
        <v>41889</v>
      </c>
      <c r="B165" s="263" t="s">
        <v>459</v>
      </c>
      <c r="C165" s="264" t="s">
        <v>454</v>
      </c>
    </row>
    <row r="166" spans="1:3" ht="14.25" thickBot="1">
      <c r="A166" s="262">
        <v>41924</v>
      </c>
      <c r="B166" s="263" t="s">
        <v>459</v>
      </c>
      <c r="C166" s="264" t="s">
        <v>455</v>
      </c>
    </row>
    <row r="167" spans="1:3" ht="13.5" thickBot="1">
      <c r="A167" s="262">
        <v>41945</v>
      </c>
      <c r="B167" s="263" t="s">
        <v>459</v>
      </c>
      <c r="C167" s="264" t="s">
        <v>456</v>
      </c>
    </row>
    <row r="168" spans="1:3" ht="13.5" thickBot="1">
      <c r="A168" s="262">
        <v>41958</v>
      </c>
      <c r="B168" s="263" t="s">
        <v>449</v>
      </c>
      <c r="C168" s="264" t="s">
        <v>457</v>
      </c>
    </row>
    <row r="169" spans="1:3" ht="13.5" thickBot="1">
      <c r="A169" s="262">
        <v>41998</v>
      </c>
      <c r="B169" s="263" t="s">
        <v>452</v>
      </c>
      <c r="C169" s="264" t="s">
        <v>458</v>
      </c>
    </row>
    <row r="170" spans="1:3" ht="13.5" thickBot="1">
      <c r="A170" s="265">
        <v>42005</v>
      </c>
      <c r="B170" s="266" t="s">
        <v>452</v>
      </c>
      <c r="C170" s="267" t="s">
        <v>444</v>
      </c>
    </row>
    <row r="171" spans="1:3" ht="13.5" thickBot="1">
      <c r="A171" s="256">
        <v>42051</v>
      </c>
      <c r="B171" s="257" t="s">
        <v>443</v>
      </c>
      <c r="C171" s="258" t="s">
        <v>445</v>
      </c>
    </row>
    <row r="172" spans="1:3" ht="13.5" thickBot="1">
      <c r="A172" s="256">
        <v>42052</v>
      </c>
      <c r="B172" s="257" t="s">
        <v>446</v>
      </c>
      <c r="C172" s="258" t="s">
        <v>445</v>
      </c>
    </row>
    <row r="173" spans="1:3" ht="13.5" thickBot="1">
      <c r="A173" s="256">
        <v>42097</v>
      </c>
      <c r="B173" s="257" t="s">
        <v>447</v>
      </c>
      <c r="C173" s="258" t="s">
        <v>448</v>
      </c>
    </row>
    <row r="174" spans="1:3" ht="13.5" thickBot="1">
      <c r="A174" s="256">
        <v>42115</v>
      </c>
      <c r="B174" s="257" t="s">
        <v>446</v>
      </c>
      <c r="C174" s="258" t="s">
        <v>450</v>
      </c>
    </row>
    <row r="175" spans="1:3" ht="13.5" thickBot="1">
      <c r="A175" s="256">
        <v>42125</v>
      </c>
      <c r="B175" s="257" t="s">
        <v>447</v>
      </c>
      <c r="C175" s="258" t="s">
        <v>451</v>
      </c>
    </row>
    <row r="176" spans="1:3" ht="13.5" thickBot="1">
      <c r="A176" s="256">
        <v>42159</v>
      </c>
      <c r="B176" s="257" t="s">
        <v>452</v>
      </c>
      <c r="C176" s="258" t="s">
        <v>453</v>
      </c>
    </row>
    <row r="177" spans="1:3" ht="13.5" thickBot="1">
      <c r="A177" s="256">
        <v>42254</v>
      </c>
      <c r="B177" s="257" t="s">
        <v>443</v>
      </c>
      <c r="C177" s="258" t="s">
        <v>454</v>
      </c>
    </row>
    <row r="178" spans="1:3" ht="14.25" thickBot="1">
      <c r="A178" s="256">
        <v>42289</v>
      </c>
      <c r="B178" s="257" t="s">
        <v>443</v>
      </c>
      <c r="C178" s="258" t="s">
        <v>455</v>
      </c>
    </row>
    <row r="179" spans="1:3" ht="13.5" thickBot="1">
      <c r="A179" s="256">
        <v>42310</v>
      </c>
      <c r="B179" s="257" t="s">
        <v>443</v>
      </c>
      <c r="C179" s="258" t="s">
        <v>456</v>
      </c>
    </row>
    <row r="180" spans="1:3" ht="13.5" thickBot="1">
      <c r="A180" s="256">
        <v>42323</v>
      </c>
      <c r="B180" s="257" t="s">
        <v>459</v>
      </c>
      <c r="C180" s="258" t="s">
        <v>457</v>
      </c>
    </row>
    <row r="181" spans="1:3" ht="13.5" thickBot="1">
      <c r="A181" s="256">
        <v>42363</v>
      </c>
      <c r="B181" s="257" t="s">
        <v>447</v>
      </c>
      <c r="C181" s="258" t="s">
        <v>458</v>
      </c>
    </row>
    <row r="182" spans="1:3" ht="13.5" thickBot="1">
      <c r="A182" s="259">
        <v>42370</v>
      </c>
      <c r="B182" s="260" t="s">
        <v>447</v>
      </c>
      <c r="C182" s="261" t="s">
        <v>444</v>
      </c>
    </row>
    <row r="183" spans="1:3" ht="13.5" thickBot="1">
      <c r="A183" s="262">
        <v>42408</v>
      </c>
      <c r="B183" s="263" t="s">
        <v>443</v>
      </c>
      <c r="C183" s="264" t="s">
        <v>445</v>
      </c>
    </row>
    <row r="184" spans="1:3" ht="13.5" thickBot="1">
      <c r="A184" s="262">
        <v>42409</v>
      </c>
      <c r="B184" s="263" t="s">
        <v>446</v>
      </c>
      <c r="C184" s="264" t="s">
        <v>445</v>
      </c>
    </row>
    <row r="185" spans="1:3" ht="13.5" thickBot="1">
      <c r="A185" s="262">
        <v>42454</v>
      </c>
      <c r="B185" s="263" t="s">
        <v>447</v>
      </c>
      <c r="C185" s="264" t="s">
        <v>448</v>
      </c>
    </row>
    <row r="186" spans="1:3" ht="13.5" thickBot="1">
      <c r="A186" s="262">
        <v>42481</v>
      </c>
      <c r="B186" s="263" t="s">
        <v>452</v>
      </c>
      <c r="C186" s="264" t="s">
        <v>450</v>
      </c>
    </row>
    <row r="187" spans="1:3" ht="13.5" thickBot="1">
      <c r="A187" s="262">
        <v>42491</v>
      </c>
      <c r="B187" s="263" t="s">
        <v>459</v>
      </c>
      <c r="C187" s="264" t="s">
        <v>451</v>
      </c>
    </row>
    <row r="188" spans="1:3" ht="13.5" thickBot="1">
      <c r="A188" s="262">
        <v>42516</v>
      </c>
      <c r="B188" s="263" t="s">
        <v>452</v>
      </c>
      <c r="C188" s="264" t="s">
        <v>453</v>
      </c>
    </row>
    <row r="189" spans="1:3" ht="13.5" thickBot="1">
      <c r="A189" s="262">
        <v>42620</v>
      </c>
      <c r="B189" s="263" t="s">
        <v>460</v>
      </c>
      <c r="C189" s="264" t="s">
        <v>454</v>
      </c>
    </row>
    <row r="190" spans="1:3" ht="14.25" thickBot="1">
      <c r="A190" s="262">
        <v>42655</v>
      </c>
      <c r="B190" s="263" t="s">
        <v>460</v>
      </c>
      <c r="C190" s="264" t="s">
        <v>455</v>
      </c>
    </row>
    <row r="191" spans="1:3" ht="13.5" thickBot="1">
      <c r="A191" s="262">
        <v>42676</v>
      </c>
      <c r="B191" s="263" t="s">
        <v>460</v>
      </c>
      <c r="C191" s="264" t="s">
        <v>456</v>
      </c>
    </row>
    <row r="192" spans="1:3" ht="13.5" thickBot="1">
      <c r="A192" s="262">
        <v>42689</v>
      </c>
      <c r="B192" s="263" t="s">
        <v>446</v>
      </c>
      <c r="C192" s="264" t="s">
        <v>457</v>
      </c>
    </row>
    <row r="193" spans="1:3" ht="13.5" thickBot="1">
      <c r="A193" s="262">
        <v>42729</v>
      </c>
      <c r="B193" s="263" t="s">
        <v>459</v>
      </c>
      <c r="C193" s="264" t="s">
        <v>458</v>
      </c>
    </row>
    <row r="194" spans="1:3" ht="13.5" thickBot="1">
      <c r="A194" s="265">
        <v>42736</v>
      </c>
      <c r="B194" s="266" t="s">
        <v>459</v>
      </c>
      <c r="C194" s="267" t="s">
        <v>444</v>
      </c>
    </row>
    <row r="195" spans="1:3" ht="13.5" thickBot="1">
      <c r="A195" s="256">
        <v>42793</v>
      </c>
      <c r="B195" s="257" t="s">
        <v>443</v>
      </c>
      <c r="C195" s="258" t="s">
        <v>445</v>
      </c>
    </row>
    <row r="196" spans="1:3" ht="13.5" thickBot="1">
      <c r="A196" s="256">
        <v>42794</v>
      </c>
      <c r="B196" s="257" t="s">
        <v>446</v>
      </c>
      <c r="C196" s="258" t="s">
        <v>445</v>
      </c>
    </row>
    <row r="197" spans="1:3" ht="13.5" thickBot="1">
      <c r="A197" s="256">
        <v>42839</v>
      </c>
      <c r="B197" s="257" t="s">
        <v>447</v>
      </c>
      <c r="C197" s="258" t="s">
        <v>448</v>
      </c>
    </row>
    <row r="198" spans="1:3" ht="13.5" thickBot="1">
      <c r="A198" s="256">
        <v>42846</v>
      </c>
      <c r="B198" s="257" t="s">
        <v>447</v>
      </c>
      <c r="C198" s="258" t="s">
        <v>450</v>
      </c>
    </row>
    <row r="199" spans="1:3" ht="13.5" thickBot="1">
      <c r="A199" s="256">
        <v>42856</v>
      </c>
      <c r="B199" s="257" t="s">
        <v>443</v>
      </c>
      <c r="C199" s="258" t="s">
        <v>451</v>
      </c>
    </row>
    <row r="200" spans="1:3" ht="13.5" thickBot="1">
      <c r="A200" s="256">
        <v>42901</v>
      </c>
      <c r="B200" s="257" t="s">
        <v>452</v>
      </c>
      <c r="C200" s="258" t="s">
        <v>453</v>
      </c>
    </row>
    <row r="201" spans="1:3" ht="13.5" thickBot="1">
      <c r="A201" s="256">
        <v>42985</v>
      </c>
      <c r="B201" s="257" t="s">
        <v>452</v>
      </c>
      <c r="C201" s="258" t="s">
        <v>454</v>
      </c>
    </row>
    <row r="202" spans="1:3" ht="14.25" thickBot="1">
      <c r="A202" s="256">
        <v>43020</v>
      </c>
      <c r="B202" s="257" t="s">
        <v>452</v>
      </c>
      <c r="C202" s="258" t="s">
        <v>455</v>
      </c>
    </row>
    <row r="203" spans="1:3" ht="13.5" thickBot="1">
      <c r="A203" s="256">
        <v>43041</v>
      </c>
      <c r="B203" s="257" t="s">
        <v>452</v>
      </c>
      <c r="C203" s="258" t="s">
        <v>456</v>
      </c>
    </row>
    <row r="204" spans="1:3" ht="13.5" thickBot="1">
      <c r="A204" s="256">
        <v>43054</v>
      </c>
      <c r="B204" s="257" t="s">
        <v>460</v>
      </c>
      <c r="C204" s="258" t="s">
        <v>457</v>
      </c>
    </row>
    <row r="205" spans="1:3" ht="13.5" thickBot="1">
      <c r="A205" s="256">
        <v>43094</v>
      </c>
      <c r="B205" s="257" t="s">
        <v>443</v>
      </c>
      <c r="C205" s="258" t="s">
        <v>458</v>
      </c>
    </row>
    <row r="206" spans="1:3" ht="13.5" thickBot="1">
      <c r="A206" s="259">
        <v>43101</v>
      </c>
      <c r="B206" s="260" t="s">
        <v>443</v>
      </c>
      <c r="C206" s="261" t="s">
        <v>444</v>
      </c>
    </row>
    <row r="207" spans="1:3" ht="13.5" thickBot="1">
      <c r="A207" s="262">
        <v>43143</v>
      </c>
      <c r="B207" s="263" t="s">
        <v>443</v>
      </c>
      <c r="C207" s="264" t="s">
        <v>445</v>
      </c>
    </row>
    <row r="208" spans="1:3" ht="13.5" thickBot="1">
      <c r="A208" s="262">
        <v>43144</v>
      </c>
      <c r="B208" s="263" t="s">
        <v>446</v>
      </c>
      <c r="C208" s="264" t="s">
        <v>445</v>
      </c>
    </row>
    <row r="209" spans="1:3" ht="13.5" thickBot="1">
      <c r="A209" s="262">
        <v>43189</v>
      </c>
      <c r="B209" s="263" t="s">
        <v>447</v>
      </c>
      <c r="C209" s="264" t="s">
        <v>448</v>
      </c>
    </row>
    <row r="210" spans="1:3" ht="13.5" thickBot="1">
      <c r="A210" s="262">
        <v>43211</v>
      </c>
      <c r="B210" s="263" t="s">
        <v>449</v>
      </c>
      <c r="C210" s="264" t="s">
        <v>450</v>
      </c>
    </row>
    <row r="211" spans="1:3" ht="13.5" thickBot="1">
      <c r="A211" s="262">
        <v>43221</v>
      </c>
      <c r="B211" s="263" t="s">
        <v>446</v>
      </c>
      <c r="C211" s="264" t="s">
        <v>451</v>
      </c>
    </row>
    <row r="212" spans="1:3" ht="13.5" thickBot="1">
      <c r="A212" s="262">
        <v>43251</v>
      </c>
      <c r="B212" s="263" t="s">
        <v>452</v>
      </c>
      <c r="C212" s="264" t="s">
        <v>453</v>
      </c>
    </row>
    <row r="213" spans="1:3" ht="13.5" thickBot="1">
      <c r="A213" s="262">
        <v>43350</v>
      </c>
      <c r="B213" s="263" t="s">
        <v>447</v>
      </c>
      <c r="C213" s="264" t="s">
        <v>454</v>
      </c>
    </row>
    <row r="214" spans="1:3" ht="14.25" thickBot="1">
      <c r="A214" s="262">
        <v>43385</v>
      </c>
      <c r="B214" s="263" t="s">
        <v>447</v>
      </c>
      <c r="C214" s="264" t="s">
        <v>455</v>
      </c>
    </row>
    <row r="215" spans="1:3" ht="13.5" thickBot="1">
      <c r="A215" s="262">
        <v>43406</v>
      </c>
      <c r="B215" s="263" t="s">
        <v>447</v>
      </c>
      <c r="C215" s="264" t="s">
        <v>456</v>
      </c>
    </row>
    <row r="216" spans="1:3" ht="13.5" thickBot="1">
      <c r="A216" s="262">
        <v>43419</v>
      </c>
      <c r="B216" s="263" t="s">
        <v>452</v>
      </c>
      <c r="C216" s="264" t="s">
        <v>457</v>
      </c>
    </row>
    <row r="217" spans="1:3" ht="13.5" thickBot="1">
      <c r="A217" s="262">
        <v>43459</v>
      </c>
      <c r="B217" s="263" t="s">
        <v>446</v>
      </c>
      <c r="C217" s="264" t="s">
        <v>458</v>
      </c>
    </row>
    <row r="218" spans="1:3" ht="13.5" thickBot="1">
      <c r="A218" s="265">
        <v>43466</v>
      </c>
      <c r="B218" s="266" t="s">
        <v>446</v>
      </c>
      <c r="C218" s="267" t="s">
        <v>444</v>
      </c>
    </row>
    <row r="219" spans="1:3" ht="13.5" thickBot="1">
      <c r="A219" s="256">
        <v>43528</v>
      </c>
      <c r="B219" s="257" t="s">
        <v>443</v>
      </c>
      <c r="C219" s="258" t="s">
        <v>445</v>
      </c>
    </row>
    <row r="220" spans="1:3" ht="13.5" thickBot="1">
      <c r="A220" s="256">
        <v>43529</v>
      </c>
      <c r="B220" s="257" t="s">
        <v>446</v>
      </c>
      <c r="C220" s="258" t="s">
        <v>445</v>
      </c>
    </row>
    <row r="221" spans="1:3" ht="13.5" thickBot="1">
      <c r="A221" s="256">
        <v>43574</v>
      </c>
      <c r="B221" s="257" t="s">
        <v>447</v>
      </c>
      <c r="C221" s="258" t="s">
        <v>448</v>
      </c>
    </row>
    <row r="222" spans="1:3" ht="13.5" thickBot="1">
      <c r="A222" s="256">
        <v>43576</v>
      </c>
      <c r="B222" s="257" t="s">
        <v>459</v>
      </c>
      <c r="C222" s="258" t="s">
        <v>450</v>
      </c>
    </row>
    <row r="223" spans="1:3" ht="13.5" thickBot="1">
      <c r="A223" s="256">
        <v>43586</v>
      </c>
      <c r="B223" s="257" t="s">
        <v>460</v>
      </c>
      <c r="C223" s="258" t="s">
        <v>451</v>
      </c>
    </row>
    <row r="224" spans="1:3" ht="13.5" thickBot="1">
      <c r="A224" s="256">
        <v>43636</v>
      </c>
      <c r="B224" s="257" t="s">
        <v>452</v>
      </c>
      <c r="C224" s="258" t="s">
        <v>453</v>
      </c>
    </row>
    <row r="225" spans="1:3" ht="13.5" thickBot="1">
      <c r="A225" s="256">
        <v>43715</v>
      </c>
      <c r="B225" s="257" t="s">
        <v>449</v>
      </c>
      <c r="C225" s="258" t="s">
        <v>454</v>
      </c>
    </row>
    <row r="226" spans="1:3" ht="14.25" thickBot="1">
      <c r="A226" s="256">
        <v>43750</v>
      </c>
      <c r="B226" s="257" t="s">
        <v>449</v>
      </c>
      <c r="C226" s="258" t="s">
        <v>455</v>
      </c>
    </row>
    <row r="227" spans="1:3" ht="13.5" thickBot="1">
      <c r="A227" s="256">
        <v>43771</v>
      </c>
      <c r="B227" s="257" t="s">
        <v>449</v>
      </c>
      <c r="C227" s="258" t="s">
        <v>456</v>
      </c>
    </row>
    <row r="228" spans="1:3" ht="13.5" thickBot="1">
      <c r="A228" s="256">
        <v>43784</v>
      </c>
      <c r="B228" s="257" t="s">
        <v>447</v>
      </c>
      <c r="C228" s="258" t="s">
        <v>457</v>
      </c>
    </row>
    <row r="229" spans="1:3" ht="13.5" thickBot="1">
      <c r="A229" s="256">
        <v>43824</v>
      </c>
      <c r="B229" s="257" t="s">
        <v>460</v>
      </c>
      <c r="C229" s="258" t="s">
        <v>458</v>
      </c>
    </row>
    <row r="230" spans="1:3" ht="13.5" thickBot="1">
      <c r="A230" s="259">
        <v>43831</v>
      </c>
      <c r="B230" s="260" t="s">
        <v>460</v>
      </c>
      <c r="C230" s="261" t="s">
        <v>444</v>
      </c>
    </row>
    <row r="231" spans="1:3" ht="13.5" thickBot="1">
      <c r="A231" s="262">
        <v>43885</v>
      </c>
      <c r="B231" s="263" t="s">
        <v>443</v>
      </c>
      <c r="C231" s="264" t="s">
        <v>445</v>
      </c>
    </row>
    <row r="232" spans="1:3" ht="13.5" thickBot="1">
      <c r="A232" s="262">
        <v>43886</v>
      </c>
      <c r="B232" s="263" t="s">
        <v>446</v>
      </c>
      <c r="C232" s="264" t="s">
        <v>445</v>
      </c>
    </row>
    <row r="233" spans="1:3" ht="13.5" thickBot="1">
      <c r="A233" s="262">
        <v>43931</v>
      </c>
      <c r="B233" s="263" t="s">
        <v>447</v>
      </c>
      <c r="C233" s="264" t="s">
        <v>448</v>
      </c>
    </row>
    <row r="234" spans="1:3" ht="13.5" thickBot="1">
      <c r="A234" s="262">
        <v>43942</v>
      </c>
      <c r="B234" s="263" t="s">
        <v>446</v>
      </c>
      <c r="C234" s="264" t="s">
        <v>450</v>
      </c>
    </row>
    <row r="235" spans="1:3" ht="13.5" thickBot="1">
      <c r="A235" s="262">
        <v>43952</v>
      </c>
      <c r="B235" s="263" t="s">
        <v>447</v>
      </c>
      <c r="C235" s="264" t="s">
        <v>451</v>
      </c>
    </row>
    <row r="236" spans="1:3" ht="13.5" thickBot="1">
      <c r="A236" s="262">
        <v>43993</v>
      </c>
      <c r="B236" s="263" t="s">
        <v>452</v>
      </c>
      <c r="C236" s="264" t="s">
        <v>453</v>
      </c>
    </row>
    <row r="237" spans="1:3" ht="13.5" thickBot="1">
      <c r="A237" s="262">
        <v>44081</v>
      </c>
      <c r="B237" s="263" t="s">
        <v>443</v>
      </c>
      <c r="C237" s="264" t="s">
        <v>454</v>
      </c>
    </row>
    <row r="238" spans="1:3" ht="14.25" thickBot="1">
      <c r="A238" s="262">
        <v>44116</v>
      </c>
      <c r="B238" s="263" t="s">
        <v>443</v>
      </c>
      <c r="C238" s="264" t="s">
        <v>455</v>
      </c>
    </row>
    <row r="239" spans="1:3" ht="13.5" thickBot="1">
      <c r="A239" s="262">
        <v>44137</v>
      </c>
      <c r="B239" s="263" t="s">
        <v>443</v>
      </c>
      <c r="C239" s="264" t="s">
        <v>456</v>
      </c>
    </row>
    <row r="240" spans="1:3" ht="13.5" thickBot="1">
      <c r="A240" s="262">
        <v>44150</v>
      </c>
      <c r="B240" s="263" t="s">
        <v>459</v>
      </c>
      <c r="C240" s="264" t="s">
        <v>457</v>
      </c>
    </row>
    <row r="241" spans="1:3" ht="13.5" thickBot="1">
      <c r="A241" s="262">
        <v>44190</v>
      </c>
      <c r="B241" s="263" t="s">
        <v>447</v>
      </c>
      <c r="C241" s="264" t="s">
        <v>458</v>
      </c>
    </row>
    <row r="242" spans="1:3" ht="13.5" thickBot="1">
      <c r="A242" s="265">
        <v>44197</v>
      </c>
      <c r="B242" s="266" t="s">
        <v>447</v>
      </c>
      <c r="C242" s="267" t="s">
        <v>444</v>
      </c>
    </row>
    <row r="243" spans="1:3" ht="13.5" thickBot="1">
      <c r="A243" s="256">
        <v>44242</v>
      </c>
      <c r="B243" s="257" t="s">
        <v>443</v>
      </c>
      <c r="C243" s="258" t="s">
        <v>445</v>
      </c>
    </row>
    <row r="244" spans="1:3" ht="13.5" thickBot="1">
      <c r="A244" s="256">
        <v>44243</v>
      </c>
      <c r="B244" s="257" t="s">
        <v>446</v>
      </c>
      <c r="C244" s="258" t="s">
        <v>445</v>
      </c>
    </row>
    <row r="245" spans="1:3" ht="13.5" thickBot="1">
      <c r="A245" s="256">
        <v>44288</v>
      </c>
      <c r="B245" s="257" t="s">
        <v>447</v>
      </c>
      <c r="C245" s="258" t="s">
        <v>448</v>
      </c>
    </row>
    <row r="246" spans="1:3" ht="13.5" thickBot="1">
      <c r="A246" s="256">
        <v>44307</v>
      </c>
      <c r="B246" s="257" t="s">
        <v>460</v>
      </c>
      <c r="C246" s="258" t="s">
        <v>450</v>
      </c>
    </row>
    <row r="247" spans="1:3" ht="13.5" thickBot="1">
      <c r="A247" s="256">
        <v>44317</v>
      </c>
      <c r="B247" s="257" t="s">
        <v>449</v>
      </c>
      <c r="C247" s="258" t="s">
        <v>451</v>
      </c>
    </row>
    <row r="248" spans="1:3" ht="13.5" thickBot="1">
      <c r="A248" s="256">
        <v>44350</v>
      </c>
      <c r="B248" s="257" t="s">
        <v>452</v>
      </c>
      <c r="C248" s="258" t="s">
        <v>453</v>
      </c>
    </row>
    <row r="249" spans="1:3" ht="13.5" thickBot="1">
      <c r="A249" s="256">
        <v>44446</v>
      </c>
      <c r="B249" s="257" t="s">
        <v>446</v>
      </c>
      <c r="C249" s="258" t="s">
        <v>454</v>
      </c>
    </row>
    <row r="250" spans="1:3" ht="14.25" thickBot="1">
      <c r="A250" s="256">
        <v>44481</v>
      </c>
      <c r="B250" s="257" t="s">
        <v>446</v>
      </c>
      <c r="C250" s="258" t="s">
        <v>455</v>
      </c>
    </row>
    <row r="251" spans="1:3" ht="13.5" thickBot="1">
      <c r="A251" s="256">
        <v>44502</v>
      </c>
      <c r="B251" s="257" t="s">
        <v>446</v>
      </c>
      <c r="C251" s="258" t="s">
        <v>456</v>
      </c>
    </row>
    <row r="252" spans="1:3" ht="13.5" thickBot="1">
      <c r="A252" s="256">
        <v>44515</v>
      </c>
      <c r="B252" s="257" t="s">
        <v>443</v>
      </c>
      <c r="C252" s="258" t="s">
        <v>457</v>
      </c>
    </row>
    <row r="253" spans="1:3" ht="13.5" thickBot="1">
      <c r="A253" s="256">
        <v>44555</v>
      </c>
      <c r="B253" s="257" t="s">
        <v>449</v>
      </c>
      <c r="C253" s="258" t="s">
        <v>458</v>
      </c>
    </row>
    <row r="254" spans="1:3" ht="13.5" thickBot="1">
      <c r="A254" s="259">
        <v>44562</v>
      </c>
      <c r="B254" s="260" t="s">
        <v>449</v>
      </c>
      <c r="C254" s="261" t="s">
        <v>444</v>
      </c>
    </row>
    <row r="255" spans="1:3" ht="13.5" thickBot="1">
      <c r="A255" s="262">
        <v>44620</v>
      </c>
      <c r="B255" s="263" t="s">
        <v>443</v>
      </c>
      <c r="C255" s="264" t="s">
        <v>445</v>
      </c>
    </row>
    <row r="256" spans="1:3" ht="13.5" thickBot="1">
      <c r="A256" s="262">
        <v>44621</v>
      </c>
      <c r="B256" s="263" t="s">
        <v>446</v>
      </c>
      <c r="C256" s="264" t="s">
        <v>445</v>
      </c>
    </row>
    <row r="257" spans="1:3" ht="13.5" thickBot="1">
      <c r="A257" s="262">
        <v>44666</v>
      </c>
      <c r="B257" s="263" t="s">
        <v>447</v>
      </c>
      <c r="C257" s="264" t="s">
        <v>448</v>
      </c>
    </row>
    <row r="258" spans="1:3" ht="13.5" thickBot="1">
      <c r="A258" s="262">
        <v>44672</v>
      </c>
      <c r="B258" s="263" t="s">
        <v>452</v>
      </c>
      <c r="C258" s="264" t="s">
        <v>450</v>
      </c>
    </row>
    <row r="259" spans="1:3" ht="13.5" thickBot="1">
      <c r="A259" s="262">
        <v>44682</v>
      </c>
      <c r="B259" s="263" t="s">
        <v>459</v>
      </c>
      <c r="C259" s="264" t="s">
        <v>451</v>
      </c>
    </row>
    <row r="260" spans="1:3" ht="13.5" thickBot="1">
      <c r="A260" s="262">
        <v>44728</v>
      </c>
      <c r="B260" s="263" t="s">
        <v>452</v>
      </c>
      <c r="C260" s="264" t="s">
        <v>453</v>
      </c>
    </row>
    <row r="261" spans="1:3" ht="13.5" thickBot="1">
      <c r="A261" s="262">
        <v>44811</v>
      </c>
      <c r="B261" s="263" t="s">
        <v>460</v>
      </c>
      <c r="C261" s="264" t="s">
        <v>454</v>
      </c>
    </row>
    <row r="262" spans="1:3" ht="14.25" thickBot="1">
      <c r="A262" s="262">
        <v>44846</v>
      </c>
      <c r="B262" s="263" t="s">
        <v>460</v>
      </c>
      <c r="C262" s="264" t="s">
        <v>455</v>
      </c>
    </row>
    <row r="263" spans="1:3" ht="13.5" thickBot="1">
      <c r="A263" s="262">
        <v>44867</v>
      </c>
      <c r="B263" s="263" t="s">
        <v>460</v>
      </c>
      <c r="C263" s="264" t="s">
        <v>456</v>
      </c>
    </row>
    <row r="264" spans="1:3" ht="13.5" thickBot="1">
      <c r="A264" s="262">
        <v>44880</v>
      </c>
      <c r="B264" s="263" t="s">
        <v>446</v>
      </c>
      <c r="C264" s="264" t="s">
        <v>457</v>
      </c>
    </row>
    <row r="265" spans="1:3" ht="13.5" thickBot="1">
      <c r="A265" s="262">
        <v>44920</v>
      </c>
      <c r="B265" s="263" t="s">
        <v>459</v>
      </c>
      <c r="C265" s="264" t="s">
        <v>458</v>
      </c>
    </row>
    <row r="266" spans="1:3" ht="13.5" thickBot="1">
      <c r="A266" s="265">
        <v>44927</v>
      </c>
      <c r="B266" s="266" t="s">
        <v>459</v>
      </c>
      <c r="C266" s="267" t="s">
        <v>444</v>
      </c>
    </row>
    <row r="267" spans="1:3" ht="13.5" thickBot="1">
      <c r="A267" s="256">
        <v>44977</v>
      </c>
      <c r="B267" s="257" t="s">
        <v>443</v>
      </c>
      <c r="C267" s="258" t="s">
        <v>445</v>
      </c>
    </row>
    <row r="268" spans="1:3" ht="13.5" thickBot="1">
      <c r="A268" s="256">
        <v>44978</v>
      </c>
      <c r="B268" s="257" t="s">
        <v>446</v>
      </c>
      <c r="C268" s="258" t="s">
        <v>445</v>
      </c>
    </row>
    <row r="269" spans="1:3" ht="13.5" thickBot="1">
      <c r="A269" s="256">
        <v>45023</v>
      </c>
      <c r="B269" s="257" t="s">
        <v>447</v>
      </c>
      <c r="C269" s="258" t="s">
        <v>448</v>
      </c>
    </row>
    <row r="270" spans="1:3" ht="13.5" thickBot="1">
      <c r="A270" s="256">
        <v>45037</v>
      </c>
      <c r="B270" s="257" t="s">
        <v>447</v>
      </c>
      <c r="C270" s="258" t="s">
        <v>450</v>
      </c>
    </row>
    <row r="271" spans="1:3" ht="13.5" thickBot="1">
      <c r="A271" s="256">
        <v>45047</v>
      </c>
      <c r="B271" s="257" t="s">
        <v>443</v>
      </c>
      <c r="C271" s="258" t="s">
        <v>451</v>
      </c>
    </row>
    <row r="272" spans="1:3" ht="13.5" thickBot="1">
      <c r="A272" s="256">
        <v>45085</v>
      </c>
      <c r="B272" s="257" t="s">
        <v>452</v>
      </c>
      <c r="C272" s="258" t="s">
        <v>453</v>
      </c>
    </row>
    <row r="273" spans="1:3" ht="13.5" thickBot="1">
      <c r="A273" s="256">
        <v>45176</v>
      </c>
      <c r="B273" s="257" t="s">
        <v>452</v>
      </c>
      <c r="C273" s="258" t="s">
        <v>454</v>
      </c>
    </row>
    <row r="274" spans="1:3" ht="14.25" thickBot="1">
      <c r="A274" s="256">
        <v>45211</v>
      </c>
      <c r="B274" s="257" t="s">
        <v>452</v>
      </c>
      <c r="C274" s="258" t="s">
        <v>455</v>
      </c>
    </row>
    <row r="275" spans="1:3" ht="13.5" thickBot="1">
      <c r="A275" s="256">
        <v>45232</v>
      </c>
      <c r="B275" s="257" t="s">
        <v>452</v>
      </c>
      <c r="C275" s="258" t="s">
        <v>456</v>
      </c>
    </row>
    <row r="276" spans="1:3" ht="13.5" thickBot="1">
      <c r="A276" s="256">
        <v>45245</v>
      </c>
      <c r="B276" s="257" t="s">
        <v>460</v>
      </c>
      <c r="C276" s="258" t="s">
        <v>457</v>
      </c>
    </row>
    <row r="277" spans="1:3" ht="13.5" thickBot="1">
      <c r="A277" s="256">
        <v>45285</v>
      </c>
      <c r="B277" s="257" t="s">
        <v>443</v>
      </c>
      <c r="C277" s="258" t="s">
        <v>458</v>
      </c>
    </row>
    <row r="278" spans="1:3" ht="13.5" thickBot="1">
      <c r="A278" s="259">
        <v>45292</v>
      </c>
      <c r="B278" s="260" t="s">
        <v>443</v>
      </c>
      <c r="C278" s="261" t="s">
        <v>444</v>
      </c>
    </row>
    <row r="279" spans="1:3" ht="13.5" thickBot="1">
      <c r="A279" s="262">
        <v>45334</v>
      </c>
      <c r="B279" s="263" t="s">
        <v>443</v>
      </c>
      <c r="C279" s="264" t="s">
        <v>445</v>
      </c>
    </row>
    <row r="280" spans="1:3" ht="13.5" thickBot="1">
      <c r="A280" s="262">
        <v>45335</v>
      </c>
      <c r="B280" s="263" t="s">
        <v>446</v>
      </c>
      <c r="C280" s="264" t="s">
        <v>445</v>
      </c>
    </row>
    <row r="281" spans="1:3" ht="13.5" thickBot="1">
      <c r="A281" s="262">
        <v>45380</v>
      </c>
      <c r="B281" s="263" t="s">
        <v>447</v>
      </c>
      <c r="C281" s="264" t="s">
        <v>448</v>
      </c>
    </row>
    <row r="282" spans="1:3" ht="13.5" thickBot="1">
      <c r="A282" s="262">
        <v>45403</v>
      </c>
      <c r="B282" s="263" t="s">
        <v>459</v>
      </c>
      <c r="C282" s="264" t="s">
        <v>450</v>
      </c>
    </row>
    <row r="283" spans="1:3" ht="13.5" thickBot="1">
      <c r="A283" s="262">
        <v>45413</v>
      </c>
      <c r="B283" s="263" t="s">
        <v>460</v>
      </c>
      <c r="C283" s="264" t="s">
        <v>451</v>
      </c>
    </row>
    <row r="284" spans="1:3" ht="13.5" thickBot="1">
      <c r="A284" s="262">
        <v>45442</v>
      </c>
      <c r="B284" s="263" t="s">
        <v>452</v>
      </c>
      <c r="C284" s="264" t="s">
        <v>453</v>
      </c>
    </row>
    <row r="285" spans="1:3" ht="13.5" thickBot="1">
      <c r="A285" s="262">
        <v>45542</v>
      </c>
      <c r="B285" s="263" t="s">
        <v>449</v>
      </c>
      <c r="C285" s="264" t="s">
        <v>454</v>
      </c>
    </row>
    <row r="286" spans="1:3" ht="14.25" thickBot="1">
      <c r="A286" s="262">
        <v>45577</v>
      </c>
      <c r="B286" s="263" t="s">
        <v>449</v>
      </c>
      <c r="C286" s="264" t="s">
        <v>455</v>
      </c>
    </row>
    <row r="287" spans="1:3" ht="13.5" thickBot="1">
      <c r="A287" s="262">
        <v>45598</v>
      </c>
      <c r="B287" s="263" t="s">
        <v>449</v>
      </c>
      <c r="C287" s="264" t="s">
        <v>456</v>
      </c>
    </row>
    <row r="288" spans="1:3" ht="13.5" thickBot="1">
      <c r="A288" s="262">
        <v>45611</v>
      </c>
      <c r="B288" s="263" t="s">
        <v>447</v>
      </c>
      <c r="C288" s="264" t="s">
        <v>457</v>
      </c>
    </row>
    <row r="289" spans="1:3" ht="13.5" thickBot="1">
      <c r="A289" s="262">
        <v>45651</v>
      </c>
      <c r="B289" s="263" t="s">
        <v>460</v>
      </c>
      <c r="C289" s="264" t="s">
        <v>458</v>
      </c>
    </row>
    <row r="290" spans="1:3" ht="13.5" thickBot="1">
      <c r="A290" s="265">
        <v>45658</v>
      </c>
      <c r="B290" s="266" t="s">
        <v>460</v>
      </c>
      <c r="C290" s="267" t="s">
        <v>444</v>
      </c>
    </row>
    <row r="291" spans="1:3" ht="13.5" thickBot="1">
      <c r="A291" s="256">
        <v>45719</v>
      </c>
      <c r="B291" s="257" t="s">
        <v>443</v>
      </c>
      <c r="C291" s="258" t="s">
        <v>445</v>
      </c>
    </row>
    <row r="292" spans="1:3" ht="13.5" thickBot="1">
      <c r="A292" s="256">
        <v>45720</v>
      </c>
      <c r="B292" s="257" t="s">
        <v>446</v>
      </c>
      <c r="C292" s="258" t="s">
        <v>445</v>
      </c>
    </row>
    <row r="293" spans="1:3" ht="13.5" thickBot="1">
      <c r="A293" s="256">
        <v>45765</v>
      </c>
      <c r="B293" s="257" t="s">
        <v>447</v>
      </c>
      <c r="C293" s="258" t="s">
        <v>448</v>
      </c>
    </row>
    <row r="294" spans="1:3" ht="13.5" thickBot="1">
      <c r="A294" s="256">
        <v>45768</v>
      </c>
      <c r="B294" s="257" t="s">
        <v>443</v>
      </c>
      <c r="C294" s="258" t="s">
        <v>450</v>
      </c>
    </row>
    <row r="295" spans="1:3" ht="13.5" thickBot="1">
      <c r="A295" s="256">
        <v>45778</v>
      </c>
      <c r="B295" s="257" t="s">
        <v>452</v>
      </c>
      <c r="C295" s="258" t="s">
        <v>451</v>
      </c>
    </row>
    <row r="296" spans="1:3" ht="13.5" thickBot="1">
      <c r="A296" s="256">
        <v>45827</v>
      </c>
      <c r="B296" s="257" t="s">
        <v>452</v>
      </c>
      <c r="C296" s="258" t="s">
        <v>453</v>
      </c>
    </row>
    <row r="297" spans="1:3" ht="13.5" thickBot="1">
      <c r="A297" s="256">
        <v>45907</v>
      </c>
      <c r="B297" s="257" t="s">
        <v>459</v>
      </c>
      <c r="C297" s="258" t="s">
        <v>454</v>
      </c>
    </row>
    <row r="298" spans="1:3" ht="14.25" thickBot="1">
      <c r="A298" s="256">
        <v>45942</v>
      </c>
      <c r="B298" s="257" t="s">
        <v>459</v>
      </c>
      <c r="C298" s="258" t="s">
        <v>455</v>
      </c>
    </row>
    <row r="299" spans="1:3" ht="13.5" thickBot="1">
      <c r="A299" s="256">
        <v>45963</v>
      </c>
      <c r="B299" s="257" t="s">
        <v>459</v>
      </c>
      <c r="C299" s="258" t="s">
        <v>456</v>
      </c>
    </row>
    <row r="300" spans="1:3" ht="13.5" thickBot="1">
      <c r="A300" s="256">
        <v>45976</v>
      </c>
      <c r="B300" s="257" t="s">
        <v>449</v>
      </c>
      <c r="C300" s="258" t="s">
        <v>457</v>
      </c>
    </row>
    <row r="301" spans="1:3" ht="13.5" thickBot="1">
      <c r="A301" s="256">
        <v>46016</v>
      </c>
      <c r="B301" s="257" t="s">
        <v>452</v>
      </c>
      <c r="C301" s="258" t="s">
        <v>458</v>
      </c>
    </row>
    <row r="302" spans="1:3" ht="13.5" thickBot="1">
      <c r="A302" s="259">
        <v>46023</v>
      </c>
      <c r="B302" s="260" t="s">
        <v>452</v>
      </c>
      <c r="C302" s="261" t="s">
        <v>444</v>
      </c>
    </row>
    <row r="303" spans="1:3" ht="13.5" thickBot="1">
      <c r="A303" s="262">
        <v>46069</v>
      </c>
      <c r="B303" s="263" t="s">
        <v>443</v>
      </c>
      <c r="C303" s="264" t="s">
        <v>445</v>
      </c>
    </row>
    <row r="304" spans="1:3" ht="13.5" thickBot="1">
      <c r="A304" s="262">
        <v>46070</v>
      </c>
      <c r="B304" s="263" t="s">
        <v>446</v>
      </c>
      <c r="C304" s="264" t="s">
        <v>445</v>
      </c>
    </row>
    <row r="305" spans="1:3" ht="13.5" thickBot="1">
      <c r="A305" s="262">
        <v>46115</v>
      </c>
      <c r="B305" s="263" t="s">
        <v>447</v>
      </c>
      <c r="C305" s="264" t="s">
        <v>448</v>
      </c>
    </row>
    <row r="306" spans="1:3" ht="13.5" thickBot="1">
      <c r="A306" s="262">
        <v>46133</v>
      </c>
      <c r="B306" s="263" t="s">
        <v>446</v>
      </c>
      <c r="C306" s="264" t="s">
        <v>450</v>
      </c>
    </row>
    <row r="307" spans="1:3" ht="13.5" thickBot="1">
      <c r="A307" s="262">
        <v>46143</v>
      </c>
      <c r="B307" s="263" t="s">
        <v>447</v>
      </c>
      <c r="C307" s="264" t="s">
        <v>451</v>
      </c>
    </row>
    <row r="308" spans="1:3" ht="13.5" thickBot="1">
      <c r="A308" s="262">
        <v>46177</v>
      </c>
      <c r="B308" s="263" t="s">
        <v>452</v>
      </c>
      <c r="C308" s="264" t="s">
        <v>453</v>
      </c>
    </row>
    <row r="309" spans="1:3" ht="13.5" thickBot="1">
      <c r="A309" s="262">
        <v>46272</v>
      </c>
      <c r="B309" s="263" t="s">
        <v>443</v>
      </c>
      <c r="C309" s="264" t="s">
        <v>454</v>
      </c>
    </row>
    <row r="310" spans="1:3" ht="14.25" thickBot="1">
      <c r="A310" s="262">
        <v>46307</v>
      </c>
      <c r="B310" s="263" t="s">
        <v>443</v>
      </c>
      <c r="C310" s="264" t="s">
        <v>455</v>
      </c>
    </row>
    <row r="311" spans="1:3" ht="13.5" thickBot="1">
      <c r="A311" s="262">
        <v>46328</v>
      </c>
      <c r="B311" s="263" t="s">
        <v>443</v>
      </c>
      <c r="C311" s="264" t="s">
        <v>456</v>
      </c>
    </row>
    <row r="312" spans="1:3" ht="13.5" thickBot="1">
      <c r="A312" s="262">
        <v>46341</v>
      </c>
      <c r="B312" s="263" t="s">
        <v>459</v>
      </c>
      <c r="C312" s="264" t="s">
        <v>457</v>
      </c>
    </row>
    <row r="313" spans="1:3" ht="13.5" thickBot="1">
      <c r="A313" s="262">
        <v>46381</v>
      </c>
      <c r="B313" s="263" t="s">
        <v>447</v>
      </c>
      <c r="C313" s="264" t="s">
        <v>458</v>
      </c>
    </row>
    <row r="314" spans="1:3" ht="13.5" thickBot="1">
      <c r="A314" s="265">
        <v>46388</v>
      </c>
      <c r="B314" s="266" t="s">
        <v>447</v>
      </c>
      <c r="C314" s="267" t="s">
        <v>444</v>
      </c>
    </row>
    <row r="315" spans="1:3" ht="13.5" thickBot="1">
      <c r="A315" s="256">
        <v>46426</v>
      </c>
      <c r="B315" s="257" t="s">
        <v>443</v>
      </c>
      <c r="C315" s="258" t="s">
        <v>445</v>
      </c>
    </row>
    <row r="316" spans="1:3" ht="13.5" thickBot="1">
      <c r="A316" s="256">
        <v>46427</v>
      </c>
      <c r="B316" s="257" t="s">
        <v>446</v>
      </c>
      <c r="C316" s="258" t="s">
        <v>445</v>
      </c>
    </row>
    <row r="317" spans="1:3" ht="13.5" thickBot="1">
      <c r="A317" s="256">
        <v>46472</v>
      </c>
      <c r="B317" s="257" t="s">
        <v>447</v>
      </c>
      <c r="C317" s="258" t="s">
        <v>448</v>
      </c>
    </row>
    <row r="318" spans="1:3" ht="13.5" thickBot="1">
      <c r="A318" s="256">
        <v>46498</v>
      </c>
      <c r="B318" s="257" t="s">
        <v>460</v>
      </c>
      <c r="C318" s="258" t="s">
        <v>450</v>
      </c>
    </row>
    <row r="319" spans="1:3" ht="13.5" thickBot="1">
      <c r="A319" s="256">
        <v>46508</v>
      </c>
      <c r="B319" s="257" t="s">
        <v>449</v>
      </c>
      <c r="C319" s="258" t="s">
        <v>451</v>
      </c>
    </row>
    <row r="320" spans="1:3" ht="13.5" thickBot="1">
      <c r="A320" s="256">
        <v>46534</v>
      </c>
      <c r="B320" s="257" t="s">
        <v>452</v>
      </c>
      <c r="C320" s="258" t="s">
        <v>453</v>
      </c>
    </row>
    <row r="321" spans="1:3" ht="13.5" thickBot="1">
      <c r="A321" s="256">
        <v>46637</v>
      </c>
      <c r="B321" s="257" t="s">
        <v>446</v>
      </c>
      <c r="C321" s="258" t="s">
        <v>454</v>
      </c>
    </row>
    <row r="322" spans="1:3" ht="14.25" thickBot="1">
      <c r="A322" s="256">
        <v>46672</v>
      </c>
      <c r="B322" s="257" t="s">
        <v>446</v>
      </c>
      <c r="C322" s="258" t="s">
        <v>455</v>
      </c>
    </row>
    <row r="323" spans="1:3" ht="13.5" thickBot="1">
      <c r="A323" s="256">
        <v>46693</v>
      </c>
      <c r="B323" s="257" t="s">
        <v>446</v>
      </c>
      <c r="C323" s="258" t="s">
        <v>456</v>
      </c>
    </row>
    <row r="324" spans="1:3" ht="13.5" thickBot="1">
      <c r="A324" s="256">
        <v>46706</v>
      </c>
      <c r="B324" s="257" t="s">
        <v>443</v>
      </c>
      <c r="C324" s="258" t="s">
        <v>457</v>
      </c>
    </row>
    <row r="325" spans="1:3" ht="13.5" thickBot="1">
      <c r="A325" s="256">
        <v>46746</v>
      </c>
      <c r="B325" s="257" t="s">
        <v>449</v>
      </c>
      <c r="C325" s="258" t="s">
        <v>458</v>
      </c>
    </row>
    <row r="326" spans="1:3" ht="13.5" thickBot="1">
      <c r="A326" s="259">
        <v>46753</v>
      </c>
      <c r="B326" s="260" t="s">
        <v>449</v>
      </c>
      <c r="C326" s="261" t="s">
        <v>444</v>
      </c>
    </row>
    <row r="327" spans="1:3" ht="13.5" thickBot="1">
      <c r="A327" s="262">
        <v>46811</v>
      </c>
      <c r="B327" s="263" t="s">
        <v>443</v>
      </c>
      <c r="C327" s="264" t="s">
        <v>445</v>
      </c>
    </row>
    <row r="328" spans="1:3" ht="13.5" thickBot="1">
      <c r="A328" s="262">
        <v>46812</v>
      </c>
      <c r="B328" s="263" t="s">
        <v>446</v>
      </c>
      <c r="C328" s="264" t="s">
        <v>445</v>
      </c>
    </row>
    <row r="329" spans="1:3" ht="13.5" thickBot="1">
      <c r="A329" s="262">
        <v>46857</v>
      </c>
      <c r="B329" s="263" t="s">
        <v>447</v>
      </c>
      <c r="C329" s="264" t="s">
        <v>448</v>
      </c>
    </row>
    <row r="330" spans="1:3" ht="13.5" thickBot="1">
      <c r="A330" s="262">
        <v>46864</v>
      </c>
      <c r="B330" s="263" t="s">
        <v>447</v>
      </c>
      <c r="C330" s="264" t="s">
        <v>450</v>
      </c>
    </row>
    <row r="331" spans="1:3" ht="13.5" thickBot="1">
      <c r="A331" s="262">
        <v>46874</v>
      </c>
      <c r="B331" s="263" t="s">
        <v>443</v>
      </c>
      <c r="C331" s="264" t="s">
        <v>451</v>
      </c>
    </row>
    <row r="332" spans="1:3" ht="13.5" thickBot="1">
      <c r="A332" s="262">
        <v>46919</v>
      </c>
      <c r="B332" s="263" t="s">
        <v>452</v>
      </c>
      <c r="C332" s="264" t="s">
        <v>453</v>
      </c>
    </row>
    <row r="333" spans="1:3" ht="13.5" thickBot="1">
      <c r="A333" s="262">
        <v>47003</v>
      </c>
      <c r="B333" s="263" t="s">
        <v>452</v>
      </c>
      <c r="C333" s="264" t="s">
        <v>454</v>
      </c>
    </row>
    <row r="334" spans="1:3" ht="14.25" thickBot="1">
      <c r="A334" s="262">
        <v>47038</v>
      </c>
      <c r="B334" s="263" t="s">
        <v>452</v>
      </c>
      <c r="C334" s="264" t="s">
        <v>455</v>
      </c>
    </row>
    <row r="335" spans="1:3" ht="13.5" thickBot="1">
      <c r="A335" s="262">
        <v>47059</v>
      </c>
      <c r="B335" s="263" t="s">
        <v>452</v>
      </c>
      <c r="C335" s="264" t="s">
        <v>456</v>
      </c>
    </row>
    <row r="336" spans="1:3" ht="13.5" thickBot="1">
      <c r="A336" s="262">
        <v>47072</v>
      </c>
      <c r="B336" s="263" t="s">
        <v>460</v>
      </c>
      <c r="C336" s="264" t="s">
        <v>457</v>
      </c>
    </row>
    <row r="337" spans="1:3" ht="13.5" thickBot="1">
      <c r="A337" s="262">
        <v>47112</v>
      </c>
      <c r="B337" s="263" t="s">
        <v>443</v>
      </c>
      <c r="C337" s="264" t="s">
        <v>458</v>
      </c>
    </row>
    <row r="338" spans="1:3" ht="13.5" thickBot="1">
      <c r="A338" s="265">
        <v>47119</v>
      </c>
      <c r="B338" s="266" t="s">
        <v>443</v>
      </c>
      <c r="C338" s="267" t="s">
        <v>444</v>
      </c>
    </row>
    <row r="339" spans="1:3" ht="13.5" thickBot="1">
      <c r="A339" s="256">
        <v>47161</v>
      </c>
      <c r="B339" s="257" t="s">
        <v>443</v>
      </c>
      <c r="C339" s="258" t="s">
        <v>445</v>
      </c>
    </row>
    <row r="340" spans="1:3" ht="13.5" thickBot="1">
      <c r="A340" s="256">
        <v>47162</v>
      </c>
      <c r="B340" s="257" t="s">
        <v>446</v>
      </c>
      <c r="C340" s="258" t="s">
        <v>445</v>
      </c>
    </row>
    <row r="341" spans="1:3" ht="13.5" thickBot="1">
      <c r="A341" s="256">
        <v>47207</v>
      </c>
      <c r="B341" s="257" t="s">
        <v>447</v>
      </c>
      <c r="C341" s="258" t="s">
        <v>448</v>
      </c>
    </row>
    <row r="342" spans="1:3" ht="13.5" thickBot="1">
      <c r="A342" s="256">
        <v>47229</v>
      </c>
      <c r="B342" s="257" t="s">
        <v>449</v>
      </c>
      <c r="C342" s="258" t="s">
        <v>450</v>
      </c>
    </row>
    <row r="343" spans="1:3" ht="13.5" thickBot="1">
      <c r="A343" s="256">
        <v>47239</v>
      </c>
      <c r="B343" s="257" t="s">
        <v>446</v>
      </c>
      <c r="C343" s="258" t="s">
        <v>451</v>
      </c>
    </row>
    <row r="344" spans="1:3" ht="13.5" thickBot="1">
      <c r="A344" s="256">
        <v>47269</v>
      </c>
      <c r="B344" s="257" t="s">
        <v>452</v>
      </c>
      <c r="C344" s="258" t="s">
        <v>453</v>
      </c>
    </row>
    <row r="345" spans="1:3" ht="13.5" thickBot="1">
      <c r="A345" s="256">
        <v>47368</v>
      </c>
      <c r="B345" s="257" t="s">
        <v>447</v>
      </c>
      <c r="C345" s="258" t="s">
        <v>454</v>
      </c>
    </row>
    <row r="346" spans="1:3" ht="14.25" thickBot="1">
      <c r="A346" s="256">
        <v>47403</v>
      </c>
      <c r="B346" s="257" t="s">
        <v>447</v>
      </c>
      <c r="C346" s="258" t="s">
        <v>455</v>
      </c>
    </row>
    <row r="347" spans="1:3" ht="13.5" thickBot="1">
      <c r="A347" s="256">
        <v>47424</v>
      </c>
      <c r="B347" s="257" t="s">
        <v>447</v>
      </c>
      <c r="C347" s="258" t="s">
        <v>456</v>
      </c>
    </row>
    <row r="348" spans="1:3" ht="13.5" thickBot="1">
      <c r="A348" s="256">
        <v>47437</v>
      </c>
      <c r="B348" s="257" t="s">
        <v>452</v>
      </c>
      <c r="C348" s="258" t="s">
        <v>457</v>
      </c>
    </row>
    <row r="349" spans="1:3" ht="13.5" thickBot="1">
      <c r="A349" s="256">
        <v>47477</v>
      </c>
      <c r="B349" s="257" t="s">
        <v>446</v>
      </c>
      <c r="C349" s="258" t="s">
        <v>458</v>
      </c>
    </row>
    <row r="350" spans="1:3" ht="13.5" thickBot="1">
      <c r="A350" s="259">
        <v>47484</v>
      </c>
      <c r="B350" s="260" t="s">
        <v>446</v>
      </c>
      <c r="C350" s="261" t="s">
        <v>444</v>
      </c>
    </row>
    <row r="351" spans="1:3" ht="13.5" thickBot="1">
      <c r="A351" s="262">
        <v>47546</v>
      </c>
      <c r="B351" s="263" t="s">
        <v>443</v>
      </c>
      <c r="C351" s="264" t="s">
        <v>445</v>
      </c>
    </row>
    <row r="352" spans="1:3" ht="13.5" thickBot="1">
      <c r="A352" s="262">
        <v>47547</v>
      </c>
      <c r="B352" s="263" t="s">
        <v>446</v>
      </c>
      <c r="C352" s="264" t="s">
        <v>445</v>
      </c>
    </row>
    <row r="353" spans="1:3" ht="13.5" thickBot="1">
      <c r="A353" s="262">
        <v>47592</v>
      </c>
      <c r="B353" s="263" t="s">
        <v>447</v>
      </c>
      <c r="C353" s="264" t="s">
        <v>448</v>
      </c>
    </row>
    <row r="354" spans="1:3" ht="13.5" thickBot="1">
      <c r="A354" s="262">
        <v>47594</v>
      </c>
      <c r="B354" s="263" t="s">
        <v>459</v>
      </c>
      <c r="C354" s="264" t="s">
        <v>450</v>
      </c>
    </row>
    <row r="355" spans="1:3" ht="13.5" thickBot="1">
      <c r="A355" s="262">
        <v>47604</v>
      </c>
      <c r="B355" s="263" t="s">
        <v>460</v>
      </c>
      <c r="C355" s="264" t="s">
        <v>451</v>
      </c>
    </row>
    <row r="356" spans="1:3" ht="13.5" thickBot="1">
      <c r="A356" s="262">
        <v>47654</v>
      </c>
      <c r="B356" s="263" t="s">
        <v>452</v>
      </c>
      <c r="C356" s="264" t="s">
        <v>453</v>
      </c>
    </row>
    <row r="357" spans="1:3" ht="13.5" thickBot="1">
      <c r="A357" s="262">
        <v>47733</v>
      </c>
      <c r="B357" s="263" t="s">
        <v>449</v>
      </c>
      <c r="C357" s="264" t="s">
        <v>454</v>
      </c>
    </row>
    <row r="358" spans="1:3" ht="14.25" thickBot="1">
      <c r="A358" s="262">
        <v>47768</v>
      </c>
      <c r="B358" s="263" t="s">
        <v>449</v>
      </c>
      <c r="C358" s="264" t="s">
        <v>455</v>
      </c>
    </row>
    <row r="359" spans="1:3" ht="13.5" thickBot="1">
      <c r="A359" s="262">
        <v>47789</v>
      </c>
      <c r="B359" s="263" t="s">
        <v>449</v>
      </c>
      <c r="C359" s="264" t="s">
        <v>456</v>
      </c>
    </row>
    <row r="360" spans="1:3" ht="13.5" thickBot="1">
      <c r="A360" s="262">
        <v>47802</v>
      </c>
      <c r="B360" s="263" t="s">
        <v>447</v>
      </c>
      <c r="C360" s="264" t="s">
        <v>457</v>
      </c>
    </row>
    <row r="361" spans="1:3" ht="13.5" thickBot="1">
      <c r="A361" s="262">
        <v>47842</v>
      </c>
      <c r="B361" s="263" t="s">
        <v>460</v>
      </c>
      <c r="C361" s="264" t="s">
        <v>458</v>
      </c>
    </row>
    <row r="362" spans="1:3" ht="13.5" thickBot="1">
      <c r="A362" s="265">
        <v>47849</v>
      </c>
      <c r="B362" s="266" t="s">
        <v>460</v>
      </c>
      <c r="C362" s="267" t="s">
        <v>444</v>
      </c>
    </row>
    <row r="363" spans="1:3" ht="13.5" thickBot="1">
      <c r="A363" s="256">
        <v>47903</v>
      </c>
      <c r="B363" s="257" t="s">
        <v>443</v>
      </c>
      <c r="C363" s="258" t="s">
        <v>445</v>
      </c>
    </row>
    <row r="364" spans="1:3" ht="13.5" thickBot="1">
      <c r="A364" s="256">
        <v>47904</v>
      </c>
      <c r="B364" s="257" t="s">
        <v>446</v>
      </c>
      <c r="C364" s="258" t="s">
        <v>445</v>
      </c>
    </row>
    <row r="365" spans="1:3" ht="13.5" thickBot="1">
      <c r="A365" s="256">
        <v>47949</v>
      </c>
      <c r="B365" s="257" t="s">
        <v>447</v>
      </c>
      <c r="C365" s="258" t="s">
        <v>448</v>
      </c>
    </row>
    <row r="366" spans="1:3" ht="13.5" thickBot="1">
      <c r="A366" s="256">
        <v>47959</v>
      </c>
      <c r="B366" s="257" t="s">
        <v>443</v>
      </c>
      <c r="C366" s="258" t="s">
        <v>450</v>
      </c>
    </row>
    <row r="367" spans="1:3" ht="13.5" thickBot="1">
      <c r="A367" s="256">
        <v>47969</v>
      </c>
      <c r="B367" s="257" t="s">
        <v>452</v>
      </c>
      <c r="C367" s="258" t="s">
        <v>451</v>
      </c>
    </row>
    <row r="368" spans="1:3" ht="13.5" thickBot="1">
      <c r="A368" s="256">
        <v>48011</v>
      </c>
      <c r="B368" s="257" t="s">
        <v>452</v>
      </c>
      <c r="C368" s="258" t="s">
        <v>453</v>
      </c>
    </row>
    <row r="369" spans="1:3" ht="13.5" thickBot="1">
      <c r="A369" s="256">
        <v>48098</v>
      </c>
      <c r="B369" s="257" t="s">
        <v>459</v>
      </c>
      <c r="C369" s="258" t="s">
        <v>454</v>
      </c>
    </row>
    <row r="370" spans="1:3" ht="14.25" thickBot="1">
      <c r="A370" s="256">
        <v>48133</v>
      </c>
      <c r="B370" s="257" t="s">
        <v>459</v>
      </c>
      <c r="C370" s="258" t="s">
        <v>455</v>
      </c>
    </row>
    <row r="371" spans="1:3" ht="13.5" thickBot="1">
      <c r="A371" s="256">
        <v>48154</v>
      </c>
      <c r="B371" s="257" t="s">
        <v>459</v>
      </c>
      <c r="C371" s="258" t="s">
        <v>456</v>
      </c>
    </row>
    <row r="372" spans="1:3" ht="13.5" thickBot="1">
      <c r="A372" s="256">
        <v>48167</v>
      </c>
      <c r="B372" s="257" t="s">
        <v>449</v>
      </c>
      <c r="C372" s="258" t="s">
        <v>457</v>
      </c>
    </row>
    <row r="373" spans="1:3" ht="13.5" thickBot="1">
      <c r="A373" s="256">
        <v>48207</v>
      </c>
      <c r="B373" s="257" t="s">
        <v>452</v>
      </c>
      <c r="C373" s="258" t="s">
        <v>458</v>
      </c>
    </row>
    <row r="374" spans="1:3" ht="13.5" thickBot="1">
      <c r="A374" s="259">
        <v>48214</v>
      </c>
      <c r="B374" s="260" t="s">
        <v>452</v>
      </c>
      <c r="C374" s="261" t="s">
        <v>444</v>
      </c>
    </row>
    <row r="375" spans="1:3" ht="13.5" thickBot="1">
      <c r="A375" s="262">
        <v>48253</v>
      </c>
      <c r="B375" s="263" t="s">
        <v>443</v>
      </c>
      <c r="C375" s="264" t="s">
        <v>445</v>
      </c>
    </row>
    <row r="376" spans="1:3" ht="13.5" thickBot="1">
      <c r="A376" s="262">
        <v>48254</v>
      </c>
      <c r="B376" s="263" t="s">
        <v>446</v>
      </c>
      <c r="C376" s="264" t="s">
        <v>445</v>
      </c>
    </row>
    <row r="377" spans="1:3" ht="13.5" thickBot="1">
      <c r="A377" s="262">
        <v>48299</v>
      </c>
      <c r="B377" s="263" t="s">
        <v>447</v>
      </c>
      <c r="C377" s="264" t="s">
        <v>448</v>
      </c>
    </row>
    <row r="378" spans="1:3" ht="13.5" thickBot="1">
      <c r="A378" s="262">
        <v>48325</v>
      </c>
      <c r="B378" s="263" t="s">
        <v>460</v>
      </c>
      <c r="C378" s="264" t="s">
        <v>450</v>
      </c>
    </row>
    <row r="379" spans="1:3" ht="13.5" thickBot="1">
      <c r="A379" s="262">
        <v>48335</v>
      </c>
      <c r="B379" s="263" t="s">
        <v>449</v>
      </c>
      <c r="C379" s="264" t="s">
        <v>451</v>
      </c>
    </row>
    <row r="380" spans="1:3" ht="13.5" thickBot="1">
      <c r="A380" s="262">
        <v>48361</v>
      </c>
      <c r="B380" s="263" t="s">
        <v>452</v>
      </c>
      <c r="C380" s="264" t="s">
        <v>453</v>
      </c>
    </row>
    <row r="381" spans="1:3" ht="13.5" thickBot="1">
      <c r="A381" s="262">
        <v>48464</v>
      </c>
      <c r="B381" s="263" t="s">
        <v>446</v>
      </c>
      <c r="C381" s="264" t="s">
        <v>454</v>
      </c>
    </row>
    <row r="382" spans="1:3" ht="14.25" thickBot="1">
      <c r="A382" s="262">
        <v>48499</v>
      </c>
      <c r="B382" s="263" t="s">
        <v>446</v>
      </c>
      <c r="C382" s="264" t="s">
        <v>455</v>
      </c>
    </row>
    <row r="383" spans="1:3" ht="13.5" thickBot="1">
      <c r="A383" s="262">
        <v>48520</v>
      </c>
      <c r="B383" s="263" t="s">
        <v>446</v>
      </c>
      <c r="C383" s="264" t="s">
        <v>456</v>
      </c>
    </row>
    <row r="384" spans="1:3" ht="13.5" thickBot="1">
      <c r="A384" s="262">
        <v>48533</v>
      </c>
      <c r="B384" s="263" t="s">
        <v>443</v>
      </c>
      <c r="C384" s="264" t="s">
        <v>457</v>
      </c>
    </row>
    <row r="385" spans="1:3" ht="13.5" thickBot="1">
      <c r="A385" s="262">
        <v>48573</v>
      </c>
      <c r="B385" s="263" t="s">
        <v>449</v>
      </c>
      <c r="C385" s="264" t="s">
        <v>458</v>
      </c>
    </row>
    <row r="386" spans="1:3" ht="13.5" thickBot="1">
      <c r="A386" s="259">
        <v>48580</v>
      </c>
      <c r="B386" s="260" t="s">
        <v>449</v>
      </c>
      <c r="C386" s="261" t="s">
        <v>444</v>
      </c>
    </row>
    <row r="387" spans="1:3" ht="13.5" thickBot="1">
      <c r="A387" s="256">
        <v>48638</v>
      </c>
      <c r="B387" s="257" t="s">
        <v>443</v>
      </c>
      <c r="C387" s="258" t="s">
        <v>445</v>
      </c>
    </row>
    <row r="388" spans="1:3" ht="13.5" thickBot="1">
      <c r="A388" s="256">
        <v>48639</v>
      </c>
      <c r="B388" s="257" t="s">
        <v>446</v>
      </c>
      <c r="C388" s="258" t="s">
        <v>445</v>
      </c>
    </row>
    <row r="389" spans="1:3" ht="13.5" thickBot="1">
      <c r="A389" s="256">
        <v>48684</v>
      </c>
      <c r="B389" s="257" t="s">
        <v>447</v>
      </c>
      <c r="C389" s="258" t="s">
        <v>448</v>
      </c>
    </row>
    <row r="390" spans="1:3" ht="13.5" thickBot="1">
      <c r="A390" s="256">
        <v>48690</v>
      </c>
      <c r="B390" s="257" t="s">
        <v>452</v>
      </c>
      <c r="C390" s="258" t="s">
        <v>450</v>
      </c>
    </row>
    <row r="391" spans="1:3" ht="13.5" thickBot="1">
      <c r="A391" s="256">
        <v>48700</v>
      </c>
      <c r="B391" s="257" t="s">
        <v>459</v>
      </c>
      <c r="C391" s="258" t="s">
        <v>451</v>
      </c>
    </row>
    <row r="392" spans="1:3" ht="13.5" thickBot="1">
      <c r="A392" s="256">
        <v>48746</v>
      </c>
      <c r="B392" s="257" t="s">
        <v>452</v>
      </c>
      <c r="C392" s="258" t="s">
        <v>453</v>
      </c>
    </row>
    <row r="393" spans="1:3" ht="13.5" thickBot="1">
      <c r="A393" s="256">
        <v>48829</v>
      </c>
      <c r="B393" s="257" t="s">
        <v>460</v>
      </c>
      <c r="C393" s="258" t="s">
        <v>454</v>
      </c>
    </row>
    <row r="394" spans="1:3" ht="14.25" thickBot="1">
      <c r="A394" s="256">
        <v>48864</v>
      </c>
      <c r="B394" s="257" t="s">
        <v>460</v>
      </c>
      <c r="C394" s="258" t="s">
        <v>455</v>
      </c>
    </row>
    <row r="395" spans="1:3" ht="13.5" thickBot="1">
      <c r="A395" s="256">
        <v>48885</v>
      </c>
      <c r="B395" s="257" t="s">
        <v>460</v>
      </c>
      <c r="C395" s="258" t="s">
        <v>456</v>
      </c>
    </row>
    <row r="396" spans="1:3" ht="13.5" thickBot="1">
      <c r="A396" s="256">
        <v>48898</v>
      </c>
      <c r="B396" s="257" t="s">
        <v>446</v>
      </c>
      <c r="C396" s="258" t="s">
        <v>457</v>
      </c>
    </row>
    <row r="397" spans="1:3" ht="13.5" thickBot="1">
      <c r="A397" s="256">
        <v>48938</v>
      </c>
      <c r="B397" s="257" t="s">
        <v>459</v>
      </c>
      <c r="C397" s="258" t="s">
        <v>458</v>
      </c>
    </row>
    <row r="398" spans="1:3" ht="13.5" thickBot="1">
      <c r="A398" s="259">
        <v>48945</v>
      </c>
      <c r="B398" s="260" t="s">
        <v>459</v>
      </c>
      <c r="C398" s="261" t="s">
        <v>444</v>
      </c>
    </row>
    <row r="399" spans="1:3" ht="13.5" thickBot="1">
      <c r="A399" s="262">
        <v>48995</v>
      </c>
      <c r="B399" s="263" t="s">
        <v>443</v>
      </c>
      <c r="C399" s="264" t="s">
        <v>445</v>
      </c>
    </row>
    <row r="400" spans="1:3" ht="13.5" thickBot="1">
      <c r="A400" s="262">
        <v>48996</v>
      </c>
      <c r="B400" s="263" t="s">
        <v>446</v>
      </c>
      <c r="C400" s="264" t="s">
        <v>445</v>
      </c>
    </row>
    <row r="401" spans="1:3" ht="13.5" thickBot="1">
      <c r="A401" s="262">
        <v>49041</v>
      </c>
      <c r="B401" s="263" t="s">
        <v>447</v>
      </c>
      <c r="C401" s="264" t="s">
        <v>448</v>
      </c>
    </row>
    <row r="402" spans="1:3" ht="13.5" thickBot="1">
      <c r="A402" s="262">
        <v>49055</v>
      </c>
      <c r="B402" s="263" t="s">
        <v>447</v>
      </c>
      <c r="C402" s="264" t="s">
        <v>450</v>
      </c>
    </row>
    <row r="403" spans="1:3" ht="13.5" thickBot="1">
      <c r="A403" s="262">
        <v>49065</v>
      </c>
      <c r="B403" s="263" t="s">
        <v>443</v>
      </c>
      <c r="C403" s="264" t="s">
        <v>451</v>
      </c>
    </row>
    <row r="404" spans="1:3" ht="13.5" thickBot="1">
      <c r="A404" s="262">
        <v>49103</v>
      </c>
      <c r="B404" s="263" t="s">
        <v>452</v>
      </c>
      <c r="C404" s="264" t="s">
        <v>453</v>
      </c>
    </row>
    <row r="405" spans="1:3" ht="13.5" thickBot="1">
      <c r="A405" s="262">
        <v>49194</v>
      </c>
      <c r="B405" s="263" t="s">
        <v>452</v>
      </c>
      <c r="C405" s="264" t="s">
        <v>454</v>
      </c>
    </row>
    <row r="406" spans="1:3" ht="14.25" thickBot="1">
      <c r="A406" s="262">
        <v>49229</v>
      </c>
      <c r="B406" s="263" t="s">
        <v>452</v>
      </c>
      <c r="C406" s="264" t="s">
        <v>455</v>
      </c>
    </row>
    <row r="407" spans="1:3" ht="13.5" thickBot="1">
      <c r="A407" s="262">
        <v>49250</v>
      </c>
      <c r="B407" s="263" t="s">
        <v>452</v>
      </c>
      <c r="C407" s="264" t="s">
        <v>456</v>
      </c>
    </row>
    <row r="408" spans="1:3" ht="13.5" thickBot="1">
      <c r="A408" s="262">
        <v>49263</v>
      </c>
      <c r="B408" s="263" t="s">
        <v>460</v>
      </c>
      <c r="C408" s="264" t="s">
        <v>457</v>
      </c>
    </row>
    <row r="409" spans="1:3" ht="13.5" thickBot="1">
      <c r="A409" s="262">
        <v>49303</v>
      </c>
      <c r="B409" s="263" t="s">
        <v>443</v>
      </c>
      <c r="C409" s="264" t="s">
        <v>458</v>
      </c>
    </row>
    <row r="410" spans="1:3" ht="13.5" thickBot="1">
      <c r="A410" s="265">
        <v>49310</v>
      </c>
      <c r="B410" s="266" t="s">
        <v>443</v>
      </c>
      <c r="C410" s="267" t="s">
        <v>444</v>
      </c>
    </row>
    <row r="411" spans="1:3" ht="13.5" thickBot="1">
      <c r="A411" s="256">
        <v>49345</v>
      </c>
      <c r="B411" s="257" t="s">
        <v>443</v>
      </c>
      <c r="C411" s="258" t="s">
        <v>445</v>
      </c>
    </row>
    <row r="412" spans="1:3" ht="13.5" thickBot="1">
      <c r="A412" s="256">
        <v>49346</v>
      </c>
      <c r="B412" s="257" t="s">
        <v>446</v>
      </c>
      <c r="C412" s="258" t="s">
        <v>445</v>
      </c>
    </row>
    <row r="413" spans="1:3" ht="13.5" thickBot="1">
      <c r="A413" s="256">
        <v>49391</v>
      </c>
      <c r="B413" s="257" t="s">
        <v>447</v>
      </c>
      <c r="C413" s="258" t="s">
        <v>448</v>
      </c>
    </row>
    <row r="414" spans="1:3" ht="13.5" thickBot="1">
      <c r="A414" s="256">
        <v>49420</v>
      </c>
      <c r="B414" s="257" t="s">
        <v>449</v>
      </c>
      <c r="C414" s="258" t="s">
        <v>450</v>
      </c>
    </row>
    <row r="415" spans="1:3" ht="13.5" thickBot="1">
      <c r="A415" s="256">
        <v>49430</v>
      </c>
      <c r="B415" s="257" t="s">
        <v>446</v>
      </c>
      <c r="C415" s="258" t="s">
        <v>451</v>
      </c>
    </row>
    <row r="416" spans="1:3" ht="13.5" thickBot="1">
      <c r="A416" s="256">
        <v>49453</v>
      </c>
      <c r="B416" s="257" t="s">
        <v>452</v>
      </c>
      <c r="C416" s="258" t="s">
        <v>453</v>
      </c>
    </row>
    <row r="417" spans="1:3" ht="13.5" thickBot="1">
      <c r="A417" s="256">
        <v>49559</v>
      </c>
      <c r="B417" s="257" t="s">
        <v>447</v>
      </c>
      <c r="C417" s="258" t="s">
        <v>454</v>
      </c>
    </row>
    <row r="418" spans="1:3" ht="14.25" thickBot="1">
      <c r="A418" s="256">
        <v>49594</v>
      </c>
      <c r="B418" s="257" t="s">
        <v>447</v>
      </c>
      <c r="C418" s="258" t="s">
        <v>455</v>
      </c>
    </row>
    <row r="419" spans="1:3" ht="13.5" thickBot="1">
      <c r="A419" s="256">
        <v>49615</v>
      </c>
      <c r="B419" s="257" t="s">
        <v>447</v>
      </c>
      <c r="C419" s="258" t="s">
        <v>456</v>
      </c>
    </row>
    <row r="420" spans="1:3" ht="13.5" thickBot="1">
      <c r="A420" s="256">
        <v>49628</v>
      </c>
      <c r="B420" s="257" t="s">
        <v>452</v>
      </c>
      <c r="C420" s="258" t="s">
        <v>457</v>
      </c>
    </row>
    <row r="421" spans="1:3" ht="13.5" thickBot="1">
      <c r="A421" s="256">
        <v>49668</v>
      </c>
      <c r="B421" s="257" t="s">
        <v>446</v>
      </c>
      <c r="C421" s="258" t="s">
        <v>458</v>
      </c>
    </row>
    <row r="422" spans="1:3" ht="13.5" thickBot="1">
      <c r="A422" s="259">
        <v>49675</v>
      </c>
      <c r="B422" s="260" t="s">
        <v>446</v>
      </c>
      <c r="C422" s="261" t="s">
        <v>444</v>
      </c>
    </row>
    <row r="423" spans="1:3" ht="13.5" thickBot="1">
      <c r="A423" s="262">
        <v>49730</v>
      </c>
      <c r="B423" s="263" t="s">
        <v>443</v>
      </c>
      <c r="C423" s="264" t="s">
        <v>445</v>
      </c>
    </row>
    <row r="424" spans="1:3" ht="13.5" thickBot="1">
      <c r="A424" s="262">
        <v>49731</v>
      </c>
      <c r="B424" s="263" t="s">
        <v>446</v>
      </c>
      <c r="C424" s="264" t="s">
        <v>445</v>
      </c>
    </row>
    <row r="425" spans="1:3" ht="13.5" thickBot="1">
      <c r="A425" s="262">
        <v>49776</v>
      </c>
      <c r="B425" s="263" t="s">
        <v>447</v>
      </c>
      <c r="C425" s="264" t="s">
        <v>448</v>
      </c>
    </row>
    <row r="426" spans="1:3" ht="13.5" thickBot="1">
      <c r="A426" s="262">
        <v>49786</v>
      </c>
      <c r="B426" s="263" t="s">
        <v>443</v>
      </c>
      <c r="C426" s="264" t="s">
        <v>450</v>
      </c>
    </row>
    <row r="427" spans="1:3" ht="13.5" thickBot="1">
      <c r="A427" s="262">
        <v>49796</v>
      </c>
      <c r="B427" s="263" t="s">
        <v>452</v>
      </c>
      <c r="C427" s="264" t="s">
        <v>451</v>
      </c>
    </row>
    <row r="428" spans="1:3" ht="13.5" thickBot="1">
      <c r="A428" s="262">
        <v>49838</v>
      </c>
      <c r="B428" s="263" t="s">
        <v>452</v>
      </c>
      <c r="C428" s="264" t="s">
        <v>453</v>
      </c>
    </row>
    <row r="429" spans="1:3" ht="13.5" thickBot="1">
      <c r="A429" s="262">
        <v>49925</v>
      </c>
      <c r="B429" s="263" t="s">
        <v>459</v>
      </c>
      <c r="C429" s="264" t="s">
        <v>454</v>
      </c>
    </row>
    <row r="430" spans="1:3" ht="14.25" thickBot="1">
      <c r="A430" s="262">
        <v>49960</v>
      </c>
      <c r="B430" s="263" t="s">
        <v>459</v>
      </c>
      <c r="C430" s="264" t="s">
        <v>455</v>
      </c>
    </row>
    <row r="431" spans="1:3" ht="13.5" thickBot="1">
      <c r="A431" s="262">
        <v>49981</v>
      </c>
      <c r="B431" s="263" t="s">
        <v>459</v>
      </c>
      <c r="C431" s="264" t="s">
        <v>456</v>
      </c>
    </row>
    <row r="432" spans="1:3" ht="13.5" thickBot="1">
      <c r="A432" s="262">
        <v>49994</v>
      </c>
      <c r="B432" s="263" t="s">
        <v>449</v>
      </c>
      <c r="C432" s="264" t="s">
        <v>457</v>
      </c>
    </row>
    <row r="433" spans="1:3" ht="13.5" thickBot="1">
      <c r="A433" s="262">
        <v>50034</v>
      </c>
      <c r="B433" s="263" t="s">
        <v>452</v>
      </c>
      <c r="C433" s="264" t="s">
        <v>458</v>
      </c>
    </row>
    <row r="434" spans="1:3" ht="13.5" thickBot="1">
      <c r="A434" s="265">
        <v>50041</v>
      </c>
      <c r="B434" s="266" t="s">
        <v>452</v>
      </c>
      <c r="C434" s="267" t="s">
        <v>444</v>
      </c>
    </row>
    <row r="435" spans="1:3" ht="13.5" thickBot="1">
      <c r="A435" s="256">
        <v>50087</v>
      </c>
      <c r="B435" s="257" t="s">
        <v>443</v>
      </c>
      <c r="C435" s="258" t="s">
        <v>445</v>
      </c>
    </row>
    <row r="436" spans="1:3" ht="13.5" thickBot="1">
      <c r="A436" s="256">
        <v>50088</v>
      </c>
      <c r="B436" s="257" t="s">
        <v>446</v>
      </c>
      <c r="C436" s="258" t="s">
        <v>445</v>
      </c>
    </row>
    <row r="437" spans="1:3" ht="13.5" thickBot="1">
      <c r="A437" s="256">
        <v>50133</v>
      </c>
      <c r="B437" s="257" t="s">
        <v>447</v>
      </c>
      <c r="C437" s="258" t="s">
        <v>448</v>
      </c>
    </row>
    <row r="438" spans="1:3" ht="13.5" thickBot="1">
      <c r="A438" s="256">
        <v>50151</v>
      </c>
      <c r="B438" s="257" t="s">
        <v>446</v>
      </c>
      <c r="C438" s="258" t="s">
        <v>450</v>
      </c>
    </row>
    <row r="439" spans="1:3" ht="13.5" thickBot="1">
      <c r="A439" s="256">
        <v>50161</v>
      </c>
      <c r="B439" s="257" t="s">
        <v>447</v>
      </c>
      <c r="C439" s="258" t="s">
        <v>451</v>
      </c>
    </row>
    <row r="440" spans="1:3" ht="13.5" thickBot="1">
      <c r="A440" s="256">
        <v>50195</v>
      </c>
      <c r="B440" s="257" t="s">
        <v>452</v>
      </c>
      <c r="C440" s="258" t="s">
        <v>453</v>
      </c>
    </row>
    <row r="441" spans="1:3" ht="13.5" thickBot="1">
      <c r="A441" s="256">
        <v>50290</v>
      </c>
      <c r="B441" s="257" t="s">
        <v>443</v>
      </c>
      <c r="C441" s="258" t="s">
        <v>454</v>
      </c>
    </row>
    <row r="442" spans="1:3" ht="14.25" thickBot="1">
      <c r="A442" s="256">
        <v>50325</v>
      </c>
      <c r="B442" s="257" t="s">
        <v>443</v>
      </c>
      <c r="C442" s="258" t="s">
        <v>455</v>
      </c>
    </row>
    <row r="443" spans="1:3" ht="13.5" thickBot="1">
      <c r="A443" s="256">
        <v>50346</v>
      </c>
      <c r="B443" s="257" t="s">
        <v>443</v>
      </c>
      <c r="C443" s="258" t="s">
        <v>456</v>
      </c>
    </row>
    <row r="444" spans="1:3" ht="13.5" thickBot="1">
      <c r="A444" s="256">
        <v>50359</v>
      </c>
      <c r="B444" s="257" t="s">
        <v>459</v>
      </c>
      <c r="C444" s="258" t="s">
        <v>457</v>
      </c>
    </row>
    <row r="445" spans="1:3" ht="13.5" thickBot="1">
      <c r="A445" s="256">
        <v>50399</v>
      </c>
      <c r="B445" s="257" t="s">
        <v>447</v>
      </c>
      <c r="C445" s="258" t="s">
        <v>458</v>
      </c>
    </row>
    <row r="446" spans="1:3" ht="13.5" thickBot="1">
      <c r="A446" s="259">
        <v>50406</v>
      </c>
      <c r="B446" s="260" t="s">
        <v>447</v>
      </c>
      <c r="C446" s="261" t="s">
        <v>444</v>
      </c>
    </row>
    <row r="447" spans="1:3" ht="13.5" thickBot="1">
      <c r="A447" s="262">
        <v>50472</v>
      </c>
      <c r="B447" s="263" t="s">
        <v>443</v>
      </c>
      <c r="C447" s="264" t="s">
        <v>445</v>
      </c>
    </row>
    <row r="448" spans="1:3" ht="13.5" thickBot="1">
      <c r="A448" s="262">
        <v>50473</v>
      </c>
      <c r="B448" s="263" t="s">
        <v>446</v>
      </c>
      <c r="C448" s="264" t="s">
        <v>445</v>
      </c>
    </row>
    <row r="449" spans="1:3" ht="13.5" thickBot="1">
      <c r="A449" s="262">
        <v>50516</v>
      </c>
      <c r="B449" s="263" t="s">
        <v>460</v>
      </c>
      <c r="C449" s="264" t="s">
        <v>450</v>
      </c>
    </row>
    <row r="450" spans="1:3" ht="13.5" thickBot="1">
      <c r="A450" s="262">
        <v>50518</v>
      </c>
      <c r="B450" s="263" t="s">
        <v>447</v>
      </c>
      <c r="C450" s="264" t="s">
        <v>448</v>
      </c>
    </row>
    <row r="451" spans="1:3" ht="13.5" thickBot="1">
      <c r="A451" s="262">
        <v>50526</v>
      </c>
      <c r="B451" s="263" t="s">
        <v>449</v>
      </c>
      <c r="C451" s="264" t="s">
        <v>451</v>
      </c>
    </row>
    <row r="452" spans="1:3" ht="13.5" thickBot="1">
      <c r="A452" s="262">
        <v>50580</v>
      </c>
      <c r="B452" s="263" t="s">
        <v>452</v>
      </c>
      <c r="C452" s="264" t="s">
        <v>453</v>
      </c>
    </row>
    <row r="453" spans="1:3" ht="13.5" thickBot="1">
      <c r="A453" s="262">
        <v>50655</v>
      </c>
      <c r="B453" s="263" t="s">
        <v>446</v>
      </c>
      <c r="C453" s="264" t="s">
        <v>454</v>
      </c>
    </row>
    <row r="454" spans="1:3" ht="14.25" thickBot="1">
      <c r="A454" s="262">
        <v>50690</v>
      </c>
      <c r="B454" s="263" t="s">
        <v>446</v>
      </c>
      <c r="C454" s="264" t="s">
        <v>455</v>
      </c>
    </row>
    <row r="455" spans="1:3" ht="13.5" thickBot="1">
      <c r="A455" s="262">
        <v>50711</v>
      </c>
      <c r="B455" s="263" t="s">
        <v>446</v>
      </c>
      <c r="C455" s="264" t="s">
        <v>456</v>
      </c>
    </row>
    <row r="456" spans="1:3" ht="13.5" thickBot="1">
      <c r="A456" s="262">
        <v>50724</v>
      </c>
      <c r="B456" s="263" t="s">
        <v>443</v>
      </c>
      <c r="C456" s="264" t="s">
        <v>457</v>
      </c>
    </row>
    <row r="457" spans="1:3" ht="13.5" thickBot="1">
      <c r="A457" s="262">
        <v>50764</v>
      </c>
      <c r="B457" s="263" t="s">
        <v>449</v>
      </c>
      <c r="C457" s="264" t="s">
        <v>458</v>
      </c>
    </row>
    <row r="458" spans="1:3" ht="13.5" thickBot="1">
      <c r="A458" s="265">
        <v>50771</v>
      </c>
      <c r="B458" s="266" t="s">
        <v>449</v>
      </c>
      <c r="C458" s="267" t="s">
        <v>444</v>
      </c>
    </row>
    <row r="459" spans="1:3" ht="13.5" thickBot="1">
      <c r="A459" s="256">
        <v>50822</v>
      </c>
      <c r="B459" s="257" t="s">
        <v>443</v>
      </c>
      <c r="C459" s="258" t="s">
        <v>445</v>
      </c>
    </row>
    <row r="460" spans="1:3" ht="13.5" thickBot="1">
      <c r="A460" s="256">
        <v>50823</v>
      </c>
      <c r="B460" s="257" t="s">
        <v>446</v>
      </c>
      <c r="C460" s="258" t="s">
        <v>445</v>
      </c>
    </row>
    <row r="461" spans="1:3" ht="13.5" thickBot="1">
      <c r="A461" s="256">
        <v>50868</v>
      </c>
      <c r="B461" s="257" t="s">
        <v>447</v>
      </c>
      <c r="C461" s="258" t="s">
        <v>448</v>
      </c>
    </row>
    <row r="462" spans="1:3" ht="13.5" thickBot="1">
      <c r="A462" s="256">
        <v>50881</v>
      </c>
      <c r="B462" s="257" t="s">
        <v>452</v>
      </c>
      <c r="C462" s="258" t="s">
        <v>450</v>
      </c>
    </row>
    <row r="463" spans="1:3" ht="13.5" thickBot="1">
      <c r="A463" s="256">
        <v>50891</v>
      </c>
      <c r="B463" s="257" t="s">
        <v>459</v>
      </c>
      <c r="C463" s="258" t="s">
        <v>451</v>
      </c>
    </row>
    <row r="464" spans="1:3" ht="13.5" thickBot="1">
      <c r="A464" s="256">
        <v>50930</v>
      </c>
      <c r="B464" s="257" t="s">
        <v>452</v>
      </c>
      <c r="C464" s="258" t="s">
        <v>453</v>
      </c>
    </row>
    <row r="465" spans="1:3" ht="13.5" thickBot="1">
      <c r="A465" s="256">
        <v>51020</v>
      </c>
      <c r="B465" s="257" t="s">
        <v>460</v>
      </c>
      <c r="C465" s="258" t="s">
        <v>454</v>
      </c>
    </row>
    <row r="466" spans="1:3" ht="14.25" thickBot="1">
      <c r="A466" s="256">
        <v>51055</v>
      </c>
      <c r="B466" s="257" t="s">
        <v>460</v>
      </c>
      <c r="C466" s="258" t="s">
        <v>455</v>
      </c>
    </row>
    <row r="467" spans="1:3" ht="13.5" thickBot="1">
      <c r="A467" s="256">
        <v>51076</v>
      </c>
      <c r="B467" s="257" t="s">
        <v>460</v>
      </c>
      <c r="C467" s="258" t="s">
        <v>456</v>
      </c>
    </row>
    <row r="468" spans="1:3" ht="13.5" thickBot="1">
      <c r="A468" s="256">
        <v>51089</v>
      </c>
      <c r="B468" s="257" t="s">
        <v>446</v>
      </c>
      <c r="C468" s="258" t="s">
        <v>457</v>
      </c>
    </row>
    <row r="469" spans="1:3" ht="13.5" thickBot="1">
      <c r="A469" s="256">
        <v>51129</v>
      </c>
      <c r="B469" s="257" t="s">
        <v>459</v>
      </c>
      <c r="C469" s="258" t="s">
        <v>458</v>
      </c>
    </row>
    <row r="470" spans="1:3" ht="13.5" thickBot="1">
      <c r="A470" s="259">
        <v>51136</v>
      </c>
      <c r="B470" s="260" t="s">
        <v>459</v>
      </c>
      <c r="C470" s="261" t="s">
        <v>444</v>
      </c>
    </row>
    <row r="471" spans="1:3" ht="13.5" thickBot="1">
      <c r="A471" s="262">
        <v>51179</v>
      </c>
      <c r="B471" s="263" t="s">
        <v>443</v>
      </c>
      <c r="C471" s="264" t="s">
        <v>445</v>
      </c>
    </row>
    <row r="472" spans="1:3" ht="13.5" thickBot="1">
      <c r="A472" s="262">
        <v>51180</v>
      </c>
      <c r="B472" s="263" t="s">
        <v>446</v>
      </c>
      <c r="C472" s="264" t="s">
        <v>445</v>
      </c>
    </row>
    <row r="473" spans="1:3" ht="13.5" thickBot="1">
      <c r="A473" s="262">
        <v>51225</v>
      </c>
      <c r="B473" s="263" t="s">
        <v>447</v>
      </c>
      <c r="C473" s="264" t="s">
        <v>448</v>
      </c>
    </row>
    <row r="474" spans="1:3" ht="13.5" thickBot="1">
      <c r="A474" s="262">
        <v>51247</v>
      </c>
      <c r="B474" s="263" t="s">
        <v>449</v>
      </c>
      <c r="C474" s="264" t="s">
        <v>450</v>
      </c>
    </row>
    <row r="475" spans="1:3" ht="13.5" thickBot="1">
      <c r="A475" s="262">
        <v>51257</v>
      </c>
      <c r="B475" s="263" t="s">
        <v>446</v>
      </c>
      <c r="C475" s="264" t="s">
        <v>451</v>
      </c>
    </row>
    <row r="476" spans="1:3" ht="13.5" thickBot="1">
      <c r="A476" s="262">
        <v>51287</v>
      </c>
      <c r="B476" s="263" t="s">
        <v>452</v>
      </c>
      <c r="C476" s="264" t="s">
        <v>453</v>
      </c>
    </row>
    <row r="477" spans="1:3" ht="13.5" thickBot="1">
      <c r="A477" s="262">
        <v>51386</v>
      </c>
      <c r="B477" s="263" t="s">
        <v>447</v>
      </c>
      <c r="C477" s="264" t="s">
        <v>454</v>
      </c>
    </row>
    <row r="478" spans="1:3" ht="14.25" thickBot="1">
      <c r="A478" s="262">
        <v>51421</v>
      </c>
      <c r="B478" s="263" t="s">
        <v>447</v>
      </c>
      <c r="C478" s="264" t="s">
        <v>455</v>
      </c>
    </row>
    <row r="479" spans="1:3" ht="13.5" thickBot="1">
      <c r="A479" s="262">
        <v>51442</v>
      </c>
      <c r="B479" s="263" t="s">
        <v>447</v>
      </c>
      <c r="C479" s="264" t="s">
        <v>456</v>
      </c>
    </row>
    <row r="480" spans="1:3" ht="13.5" thickBot="1">
      <c r="A480" s="262">
        <v>51455</v>
      </c>
      <c r="B480" s="263" t="s">
        <v>452</v>
      </c>
      <c r="C480" s="264" t="s">
        <v>457</v>
      </c>
    </row>
    <row r="481" spans="1:3" ht="13.5" thickBot="1">
      <c r="A481" s="262">
        <v>51495</v>
      </c>
      <c r="B481" s="263" t="s">
        <v>446</v>
      </c>
      <c r="C481" s="264" t="s">
        <v>458</v>
      </c>
    </row>
    <row r="482" spans="1:3" ht="13.5" thickBot="1">
      <c r="A482" s="265">
        <v>51502</v>
      </c>
      <c r="B482" s="266" t="s">
        <v>446</v>
      </c>
      <c r="C482" s="267" t="s">
        <v>444</v>
      </c>
    </row>
    <row r="483" spans="1:3" ht="13.5" thickBot="1">
      <c r="A483" s="256">
        <v>51564</v>
      </c>
      <c r="B483" s="257" t="s">
        <v>443</v>
      </c>
      <c r="C483" s="258" t="s">
        <v>445</v>
      </c>
    </row>
    <row r="484" spans="1:3" ht="13.5" thickBot="1">
      <c r="A484" s="256">
        <v>51565</v>
      </c>
      <c r="B484" s="257" t="s">
        <v>446</v>
      </c>
      <c r="C484" s="258" t="s">
        <v>445</v>
      </c>
    </row>
    <row r="485" spans="1:3" ht="13.5" thickBot="1">
      <c r="A485" s="256">
        <v>51610</v>
      </c>
      <c r="B485" s="257" t="s">
        <v>447</v>
      </c>
      <c r="C485" s="258" t="s">
        <v>448</v>
      </c>
    </row>
    <row r="486" spans="1:3" ht="13.5" thickBot="1">
      <c r="A486" s="256">
        <v>51612</v>
      </c>
      <c r="B486" s="257" t="s">
        <v>459</v>
      </c>
      <c r="C486" s="258" t="s">
        <v>450</v>
      </c>
    </row>
    <row r="487" spans="1:3" ht="13.5" thickBot="1">
      <c r="A487" s="256">
        <v>51622</v>
      </c>
      <c r="B487" s="257" t="s">
        <v>460</v>
      </c>
      <c r="C487" s="258" t="s">
        <v>451</v>
      </c>
    </row>
    <row r="488" spans="1:3" ht="13.5" thickBot="1">
      <c r="A488" s="256">
        <v>51672</v>
      </c>
      <c r="B488" s="257" t="s">
        <v>452</v>
      </c>
      <c r="C488" s="258" t="s">
        <v>453</v>
      </c>
    </row>
    <row r="489" spans="1:3" ht="13.5" thickBot="1">
      <c r="A489" s="256">
        <v>51751</v>
      </c>
      <c r="B489" s="257" t="s">
        <v>449</v>
      </c>
      <c r="C489" s="258" t="s">
        <v>454</v>
      </c>
    </row>
    <row r="490" spans="1:3" ht="14.25" thickBot="1">
      <c r="A490" s="256">
        <v>51786</v>
      </c>
      <c r="B490" s="257" t="s">
        <v>449</v>
      </c>
      <c r="C490" s="258" t="s">
        <v>455</v>
      </c>
    </row>
    <row r="491" spans="1:3" ht="13.5" thickBot="1">
      <c r="A491" s="256">
        <v>51807</v>
      </c>
      <c r="B491" s="257" t="s">
        <v>449</v>
      </c>
      <c r="C491" s="258" t="s">
        <v>456</v>
      </c>
    </row>
    <row r="492" spans="1:3" ht="13.5" thickBot="1">
      <c r="A492" s="256">
        <v>51820</v>
      </c>
      <c r="B492" s="257" t="s">
        <v>447</v>
      </c>
      <c r="C492" s="258" t="s">
        <v>457</v>
      </c>
    </row>
    <row r="493" spans="1:3" ht="13.5" thickBot="1">
      <c r="A493" s="256">
        <v>51860</v>
      </c>
      <c r="B493" s="257" t="s">
        <v>460</v>
      </c>
      <c r="C493" s="258" t="s">
        <v>458</v>
      </c>
    </row>
    <row r="494" spans="1:3" ht="13.5" thickBot="1">
      <c r="A494" s="259">
        <v>51867</v>
      </c>
      <c r="B494" s="260" t="s">
        <v>460</v>
      </c>
      <c r="C494" s="261" t="s">
        <v>444</v>
      </c>
    </row>
    <row r="495" spans="1:3" ht="13.5" thickBot="1">
      <c r="A495" s="262">
        <v>51914</v>
      </c>
      <c r="B495" s="263" t="s">
        <v>443</v>
      </c>
      <c r="C495" s="264" t="s">
        <v>445</v>
      </c>
    </row>
    <row r="496" spans="1:3" ht="13.5" thickBot="1">
      <c r="A496" s="262">
        <v>51915</v>
      </c>
      <c r="B496" s="263" t="s">
        <v>446</v>
      </c>
      <c r="C496" s="264" t="s">
        <v>445</v>
      </c>
    </row>
    <row r="497" spans="1:3" ht="13.5" thickBot="1">
      <c r="A497" s="262">
        <v>51960</v>
      </c>
      <c r="B497" s="263" t="s">
        <v>447</v>
      </c>
      <c r="C497" s="264" t="s">
        <v>448</v>
      </c>
    </row>
    <row r="498" spans="1:3" ht="13.5" thickBot="1">
      <c r="A498" s="262">
        <v>51977</v>
      </c>
      <c r="B498" s="263" t="s">
        <v>443</v>
      </c>
      <c r="C498" s="264" t="s">
        <v>450</v>
      </c>
    </row>
    <row r="499" spans="1:3" ht="13.5" thickBot="1">
      <c r="A499" s="262">
        <v>51987</v>
      </c>
      <c r="B499" s="263" t="s">
        <v>452</v>
      </c>
      <c r="C499" s="264" t="s">
        <v>451</v>
      </c>
    </row>
    <row r="500" spans="1:3" ht="13.5" thickBot="1">
      <c r="A500" s="262">
        <v>52022</v>
      </c>
      <c r="B500" s="263" t="s">
        <v>452</v>
      </c>
      <c r="C500" s="264" t="s">
        <v>453</v>
      </c>
    </row>
    <row r="501" spans="1:3" ht="13.5" thickBot="1">
      <c r="A501" s="262">
        <v>52116</v>
      </c>
      <c r="B501" s="263" t="s">
        <v>459</v>
      </c>
      <c r="C501" s="264" t="s">
        <v>454</v>
      </c>
    </row>
    <row r="502" spans="1:3" ht="14.25" thickBot="1">
      <c r="A502" s="262">
        <v>52151</v>
      </c>
      <c r="B502" s="263" t="s">
        <v>459</v>
      </c>
      <c r="C502" s="264" t="s">
        <v>455</v>
      </c>
    </row>
    <row r="503" spans="1:3" ht="13.5" thickBot="1">
      <c r="A503" s="262">
        <v>52172</v>
      </c>
      <c r="B503" s="263" t="s">
        <v>459</v>
      </c>
      <c r="C503" s="264" t="s">
        <v>456</v>
      </c>
    </row>
    <row r="504" spans="1:3" ht="13.5" thickBot="1">
      <c r="A504" s="262">
        <v>52185</v>
      </c>
      <c r="B504" s="263" t="s">
        <v>449</v>
      </c>
      <c r="C504" s="264" t="s">
        <v>457</v>
      </c>
    </row>
    <row r="505" spans="1:3" ht="13.5" thickBot="1">
      <c r="A505" s="262">
        <v>52225</v>
      </c>
      <c r="B505" s="263" t="s">
        <v>452</v>
      </c>
      <c r="C505" s="264" t="s">
        <v>458</v>
      </c>
    </row>
    <row r="506" spans="1:3" ht="13.5" thickBot="1">
      <c r="A506" s="265">
        <v>52232</v>
      </c>
      <c r="B506" s="266" t="s">
        <v>452</v>
      </c>
      <c r="C506" s="267" t="s">
        <v>444</v>
      </c>
    </row>
    <row r="507" spans="1:3" ht="13.5" thickBot="1">
      <c r="A507" s="256">
        <v>52271</v>
      </c>
      <c r="B507" s="257" t="s">
        <v>443</v>
      </c>
      <c r="C507" s="258" t="s">
        <v>445</v>
      </c>
    </row>
    <row r="508" spans="1:3" ht="13.5" thickBot="1">
      <c r="A508" s="256">
        <v>52272</v>
      </c>
      <c r="B508" s="257" t="s">
        <v>446</v>
      </c>
      <c r="C508" s="258" t="s">
        <v>445</v>
      </c>
    </row>
    <row r="509" spans="1:3" ht="13.5" thickBot="1">
      <c r="A509" s="256">
        <v>52317</v>
      </c>
      <c r="B509" s="257" t="s">
        <v>447</v>
      </c>
      <c r="C509" s="258" t="s">
        <v>448</v>
      </c>
    </row>
    <row r="510" spans="1:3" ht="13.5" thickBot="1">
      <c r="A510" s="256">
        <v>52342</v>
      </c>
      <c r="B510" s="257" t="s">
        <v>446</v>
      </c>
      <c r="C510" s="258" t="s">
        <v>450</v>
      </c>
    </row>
    <row r="511" spans="1:3" ht="13.5" thickBot="1">
      <c r="A511" s="256">
        <v>52352</v>
      </c>
      <c r="B511" s="257" t="s">
        <v>447</v>
      </c>
      <c r="C511" s="258" t="s">
        <v>451</v>
      </c>
    </row>
    <row r="512" spans="1:3" ht="13.5" thickBot="1">
      <c r="A512" s="256">
        <v>52379</v>
      </c>
      <c r="B512" s="257" t="s">
        <v>452</v>
      </c>
      <c r="C512" s="258" t="s">
        <v>453</v>
      </c>
    </row>
    <row r="513" spans="1:3" ht="13.5" thickBot="1">
      <c r="A513" s="256">
        <v>52481</v>
      </c>
      <c r="B513" s="257" t="s">
        <v>443</v>
      </c>
      <c r="C513" s="258" t="s">
        <v>454</v>
      </c>
    </row>
    <row r="514" spans="1:3" ht="14.25" thickBot="1">
      <c r="A514" s="256">
        <v>52516</v>
      </c>
      <c r="B514" s="257" t="s">
        <v>443</v>
      </c>
      <c r="C514" s="258" t="s">
        <v>455</v>
      </c>
    </row>
    <row r="515" spans="1:3" ht="13.5" thickBot="1">
      <c r="A515" s="256">
        <v>52537</v>
      </c>
      <c r="B515" s="257" t="s">
        <v>443</v>
      </c>
      <c r="C515" s="258" t="s">
        <v>456</v>
      </c>
    </row>
    <row r="516" spans="1:3" ht="13.5" thickBot="1">
      <c r="A516" s="256">
        <v>52550</v>
      </c>
      <c r="B516" s="257" t="s">
        <v>459</v>
      </c>
      <c r="C516" s="258" t="s">
        <v>457</v>
      </c>
    </row>
    <row r="517" spans="1:3" ht="13.5" thickBot="1">
      <c r="A517" s="256">
        <v>52590</v>
      </c>
      <c r="B517" s="257" t="s">
        <v>447</v>
      </c>
      <c r="C517" s="258" t="s">
        <v>458</v>
      </c>
    </row>
    <row r="518" spans="1:3" ht="13.5" thickBot="1">
      <c r="A518" s="259">
        <v>52597</v>
      </c>
      <c r="B518" s="260" t="s">
        <v>447</v>
      </c>
      <c r="C518" s="261" t="s">
        <v>444</v>
      </c>
    </row>
    <row r="519" spans="1:3" ht="13.5" thickBot="1">
      <c r="A519" s="262">
        <v>52656</v>
      </c>
      <c r="B519" s="263" t="s">
        <v>443</v>
      </c>
      <c r="C519" s="264" t="s">
        <v>445</v>
      </c>
    </row>
    <row r="520" spans="1:3" ht="13.5" thickBot="1">
      <c r="A520" s="262">
        <v>52657</v>
      </c>
      <c r="B520" s="263" t="s">
        <v>446</v>
      </c>
      <c r="C520" s="264" t="s">
        <v>445</v>
      </c>
    </row>
    <row r="521" spans="1:3" ht="13.5" thickBot="1">
      <c r="A521" s="262">
        <v>52702</v>
      </c>
      <c r="B521" s="263" t="s">
        <v>447</v>
      </c>
      <c r="C521" s="264" t="s">
        <v>448</v>
      </c>
    </row>
    <row r="522" spans="1:3" ht="13.5" thickBot="1">
      <c r="A522" s="262">
        <v>52708</v>
      </c>
      <c r="B522" s="263" t="s">
        <v>452</v>
      </c>
      <c r="C522" s="264" t="s">
        <v>450</v>
      </c>
    </row>
    <row r="523" spans="1:3" ht="13.5" thickBot="1">
      <c r="A523" s="262">
        <v>52718</v>
      </c>
      <c r="B523" s="263" t="s">
        <v>459</v>
      </c>
      <c r="C523" s="264" t="s">
        <v>451</v>
      </c>
    </row>
    <row r="524" spans="1:3" ht="13.5" thickBot="1">
      <c r="A524" s="262">
        <v>52764</v>
      </c>
      <c r="B524" s="263" t="s">
        <v>452</v>
      </c>
      <c r="C524" s="264" t="s">
        <v>453</v>
      </c>
    </row>
    <row r="525" spans="1:3" ht="13.5" thickBot="1">
      <c r="A525" s="262">
        <v>52847</v>
      </c>
      <c r="B525" s="263" t="s">
        <v>460</v>
      </c>
      <c r="C525" s="264" t="s">
        <v>454</v>
      </c>
    </row>
    <row r="526" spans="1:3" ht="14.25" thickBot="1">
      <c r="A526" s="262">
        <v>52882</v>
      </c>
      <c r="B526" s="263" t="s">
        <v>460</v>
      </c>
      <c r="C526" s="264" t="s">
        <v>455</v>
      </c>
    </row>
    <row r="527" spans="1:3" ht="13.5" thickBot="1">
      <c r="A527" s="262">
        <v>52903</v>
      </c>
      <c r="B527" s="263" t="s">
        <v>460</v>
      </c>
      <c r="C527" s="264" t="s">
        <v>456</v>
      </c>
    </row>
    <row r="528" spans="1:3" ht="13.5" thickBot="1">
      <c r="A528" s="262">
        <v>52916</v>
      </c>
      <c r="B528" s="263" t="s">
        <v>446</v>
      </c>
      <c r="C528" s="264" t="s">
        <v>457</v>
      </c>
    </row>
    <row r="529" spans="1:3" ht="13.5" thickBot="1">
      <c r="A529" s="259">
        <v>52956</v>
      </c>
      <c r="B529" s="260" t="s">
        <v>459</v>
      </c>
      <c r="C529" s="261" t="s">
        <v>458</v>
      </c>
    </row>
    <row r="530" spans="1:3" ht="13.5" thickBot="1">
      <c r="A530" s="265">
        <v>52963</v>
      </c>
      <c r="B530" s="266" t="s">
        <v>459</v>
      </c>
      <c r="C530" s="267" t="s">
        <v>444</v>
      </c>
    </row>
    <row r="531" spans="1:3" ht="13.5" thickBot="1">
      <c r="A531" s="256">
        <v>53013</v>
      </c>
      <c r="B531" s="257" t="s">
        <v>443</v>
      </c>
      <c r="C531" s="258" t="s">
        <v>445</v>
      </c>
    </row>
    <row r="532" spans="1:3" ht="13.5" thickBot="1">
      <c r="A532" s="256">
        <v>53014</v>
      </c>
      <c r="B532" s="257" t="s">
        <v>446</v>
      </c>
      <c r="C532" s="258" t="s">
        <v>445</v>
      </c>
    </row>
    <row r="533" spans="1:3" ht="13.5" thickBot="1">
      <c r="A533" s="256">
        <v>53059</v>
      </c>
      <c r="B533" s="257" t="s">
        <v>447</v>
      </c>
      <c r="C533" s="258" t="s">
        <v>448</v>
      </c>
    </row>
    <row r="534" spans="1:3" ht="13.5" thickBot="1">
      <c r="A534" s="256">
        <v>53073</v>
      </c>
      <c r="B534" s="257" t="s">
        <v>447</v>
      </c>
      <c r="C534" s="258" t="s">
        <v>450</v>
      </c>
    </row>
    <row r="535" spans="1:3" ht="13.5" thickBot="1">
      <c r="A535" s="256">
        <v>53083</v>
      </c>
      <c r="B535" s="257" t="s">
        <v>443</v>
      </c>
      <c r="C535" s="258" t="s">
        <v>451</v>
      </c>
    </row>
    <row r="536" spans="1:3" ht="13.5" thickBot="1">
      <c r="A536" s="256">
        <v>53121</v>
      </c>
      <c r="B536" s="257" t="s">
        <v>452</v>
      </c>
      <c r="C536" s="258" t="s">
        <v>453</v>
      </c>
    </row>
    <row r="537" spans="1:3" ht="13.5" thickBot="1">
      <c r="A537" s="256">
        <v>53212</v>
      </c>
      <c r="B537" s="257" t="s">
        <v>452</v>
      </c>
      <c r="C537" s="258" t="s">
        <v>454</v>
      </c>
    </row>
    <row r="538" spans="1:3" ht="14.25" thickBot="1">
      <c r="A538" s="256">
        <v>53247</v>
      </c>
      <c r="B538" s="257" t="s">
        <v>452</v>
      </c>
      <c r="C538" s="258" t="s">
        <v>455</v>
      </c>
    </row>
    <row r="539" spans="1:3" ht="13.5" thickBot="1">
      <c r="A539" s="256">
        <v>53268</v>
      </c>
      <c r="B539" s="257" t="s">
        <v>452</v>
      </c>
      <c r="C539" s="258" t="s">
        <v>456</v>
      </c>
    </row>
    <row r="540" spans="1:3" ht="13.5" thickBot="1">
      <c r="A540" s="256">
        <v>53281</v>
      </c>
      <c r="B540" s="257" t="s">
        <v>460</v>
      </c>
      <c r="C540" s="258" t="s">
        <v>457</v>
      </c>
    </row>
    <row r="541" spans="1:3" ht="13.5" thickBot="1">
      <c r="A541" s="256">
        <v>53321</v>
      </c>
      <c r="B541" s="257" t="s">
        <v>443</v>
      </c>
      <c r="C541" s="258" t="s">
        <v>458</v>
      </c>
    </row>
    <row r="542" spans="1:3" ht="13.5" thickBot="1">
      <c r="A542" s="259">
        <v>53328</v>
      </c>
      <c r="B542" s="260" t="s">
        <v>443</v>
      </c>
      <c r="C542" s="261" t="s">
        <v>444</v>
      </c>
    </row>
    <row r="543" spans="1:3" ht="13.5" thickBot="1">
      <c r="A543" s="262">
        <v>53363</v>
      </c>
      <c r="B543" s="263" t="s">
        <v>443</v>
      </c>
      <c r="C543" s="264" t="s">
        <v>445</v>
      </c>
    </row>
    <row r="544" spans="1:3" ht="13.5" thickBot="1">
      <c r="A544" s="262">
        <v>53364</v>
      </c>
      <c r="B544" s="263" t="s">
        <v>446</v>
      </c>
      <c r="C544" s="264" t="s">
        <v>445</v>
      </c>
    </row>
    <row r="545" spans="1:3" ht="13.5" thickBot="1">
      <c r="A545" s="262">
        <v>53409</v>
      </c>
      <c r="B545" s="263" t="s">
        <v>447</v>
      </c>
      <c r="C545" s="264" t="s">
        <v>448</v>
      </c>
    </row>
    <row r="546" spans="1:3" ht="13.5" thickBot="1">
      <c r="A546" s="262">
        <v>53438</v>
      </c>
      <c r="B546" s="263" t="s">
        <v>449</v>
      </c>
      <c r="C546" s="264" t="s">
        <v>450</v>
      </c>
    </row>
    <row r="547" spans="1:3" ht="13.5" thickBot="1">
      <c r="A547" s="262">
        <v>53448</v>
      </c>
      <c r="B547" s="263" t="s">
        <v>446</v>
      </c>
      <c r="C547" s="264" t="s">
        <v>451</v>
      </c>
    </row>
    <row r="548" spans="1:3" ht="13.5" thickBot="1">
      <c r="A548" s="262">
        <v>53471</v>
      </c>
      <c r="B548" s="263" t="s">
        <v>452</v>
      </c>
      <c r="C548" s="264" t="s">
        <v>453</v>
      </c>
    </row>
    <row r="549" spans="1:3" ht="13.5" thickBot="1">
      <c r="A549" s="262">
        <v>53577</v>
      </c>
      <c r="B549" s="263" t="s">
        <v>447</v>
      </c>
      <c r="C549" s="264" t="s">
        <v>454</v>
      </c>
    </row>
    <row r="550" spans="1:3" ht="14.25" thickBot="1">
      <c r="A550" s="262">
        <v>53612</v>
      </c>
      <c r="B550" s="263" t="s">
        <v>447</v>
      </c>
      <c r="C550" s="264" t="s">
        <v>455</v>
      </c>
    </row>
    <row r="551" spans="1:3" ht="13.5" thickBot="1">
      <c r="A551" s="262">
        <v>53633</v>
      </c>
      <c r="B551" s="263" t="s">
        <v>447</v>
      </c>
      <c r="C551" s="264" t="s">
        <v>456</v>
      </c>
    </row>
    <row r="552" spans="1:3" ht="13.5" thickBot="1">
      <c r="A552" s="262">
        <v>53646</v>
      </c>
      <c r="B552" s="263" t="s">
        <v>452</v>
      </c>
      <c r="C552" s="264" t="s">
        <v>457</v>
      </c>
    </row>
    <row r="553" spans="1:3" ht="13.5" thickBot="1">
      <c r="A553" s="262">
        <v>53686</v>
      </c>
      <c r="B553" s="263" t="s">
        <v>446</v>
      </c>
      <c r="C553" s="264" t="s">
        <v>458</v>
      </c>
    </row>
    <row r="554" spans="1:3" ht="13.5" thickBot="1">
      <c r="A554" s="265">
        <v>53693</v>
      </c>
      <c r="B554" s="266" t="s">
        <v>446</v>
      </c>
      <c r="C554" s="267" t="s">
        <v>444</v>
      </c>
    </row>
    <row r="555" spans="1:3" ht="13.5" thickBot="1">
      <c r="A555" s="256">
        <v>53748</v>
      </c>
      <c r="B555" s="257" t="s">
        <v>443</v>
      </c>
      <c r="C555" s="258" t="s">
        <v>445</v>
      </c>
    </row>
    <row r="556" spans="1:3" ht="13.5" thickBot="1">
      <c r="A556" s="256">
        <v>53749</v>
      </c>
      <c r="B556" s="257" t="s">
        <v>446</v>
      </c>
      <c r="C556" s="258" t="s">
        <v>445</v>
      </c>
    </row>
    <row r="557" spans="1:3" ht="13.5" thickBot="1">
      <c r="A557" s="256">
        <v>53794</v>
      </c>
      <c r="B557" s="257" t="s">
        <v>447</v>
      </c>
      <c r="C557" s="258" t="s">
        <v>448</v>
      </c>
    </row>
    <row r="558" spans="1:3" ht="13.5" thickBot="1">
      <c r="A558" s="256">
        <v>53803</v>
      </c>
      <c r="B558" s="257" t="s">
        <v>446</v>
      </c>
      <c r="C558" s="258" t="s">
        <v>450</v>
      </c>
    </row>
    <row r="559" spans="1:3" ht="13.5" thickBot="1">
      <c r="A559" s="256">
        <v>53813</v>
      </c>
      <c r="B559" s="257" t="s">
        <v>460</v>
      </c>
      <c r="C559" s="258" t="s">
        <v>451</v>
      </c>
    </row>
    <row r="560" spans="1:3" ht="13.5" thickBot="1">
      <c r="A560" s="256">
        <v>53856</v>
      </c>
      <c r="B560" s="257" t="s">
        <v>452</v>
      </c>
      <c r="C560" s="258" t="s">
        <v>453</v>
      </c>
    </row>
    <row r="561" spans="1:3" ht="13.5" thickBot="1">
      <c r="A561" s="256">
        <v>53942</v>
      </c>
      <c r="B561" s="257" t="s">
        <v>449</v>
      </c>
      <c r="C561" s="258" t="s">
        <v>454</v>
      </c>
    </row>
    <row r="562" spans="1:3" ht="14.25" thickBot="1">
      <c r="A562" s="256">
        <v>53977</v>
      </c>
      <c r="B562" s="257" t="s">
        <v>449</v>
      </c>
      <c r="C562" s="258" t="s">
        <v>455</v>
      </c>
    </row>
    <row r="563" spans="1:3" ht="13.5" thickBot="1">
      <c r="A563" s="256">
        <v>53998</v>
      </c>
      <c r="B563" s="257" t="s">
        <v>449</v>
      </c>
      <c r="C563" s="258" t="s">
        <v>456</v>
      </c>
    </row>
    <row r="564" spans="1:3" ht="13.5" thickBot="1">
      <c r="A564" s="256">
        <v>54011</v>
      </c>
      <c r="B564" s="257" t="s">
        <v>447</v>
      </c>
      <c r="C564" s="258" t="s">
        <v>457</v>
      </c>
    </row>
    <row r="565" spans="1:3" ht="13.5" thickBot="1">
      <c r="A565" s="256">
        <v>54051</v>
      </c>
      <c r="B565" s="257" t="s">
        <v>460</v>
      </c>
      <c r="C565" s="258" t="s">
        <v>458</v>
      </c>
    </row>
    <row r="566" spans="1:3" ht="13.5" thickBot="1">
      <c r="A566" s="259">
        <v>54058</v>
      </c>
      <c r="B566" s="260" t="s">
        <v>460</v>
      </c>
      <c r="C566" s="261" t="s">
        <v>444</v>
      </c>
    </row>
    <row r="567" spans="1:3" ht="13.5" thickBot="1">
      <c r="A567" s="262">
        <v>54105</v>
      </c>
      <c r="B567" s="263" t="s">
        <v>443</v>
      </c>
      <c r="C567" s="264" t="s">
        <v>445</v>
      </c>
    </row>
    <row r="568" spans="1:3" ht="13.5" thickBot="1">
      <c r="A568" s="262">
        <v>54106</v>
      </c>
      <c r="B568" s="263" t="s">
        <v>446</v>
      </c>
      <c r="C568" s="264" t="s">
        <v>445</v>
      </c>
    </row>
    <row r="569" spans="1:3" ht="13.5" thickBot="1">
      <c r="A569" s="262">
        <v>54151</v>
      </c>
      <c r="B569" s="263" t="s">
        <v>447</v>
      </c>
      <c r="C569" s="264" t="s">
        <v>448</v>
      </c>
    </row>
    <row r="570" spans="1:3" ht="13.5" thickBot="1">
      <c r="A570" s="262">
        <v>54169</v>
      </c>
      <c r="B570" s="263" t="s">
        <v>446</v>
      </c>
      <c r="C570" s="264" t="s">
        <v>450</v>
      </c>
    </row>
    <row r="571" spans="1:3" ht="13.5" thickBot="1">
      <c r="A571" s="262">
        <v>54179</v>
      </c>
      <c r="B571" s="263" t="s">
        <v>447</v>
      </c>
      <c r="C571" s="264" t="s">
        <v>451</v>
      </c>
    </row>
    <row r="572" spans="1:3" ht="13.5" thickBot="1">
      <c r="A572" s="262">
        <v>54213</v>
      </c>
      <c r="B572" s="263" t="s">
        <v>452</v>
      </c>
      <c r="C572" s="264" t="s">
        <v>453</v>
      </c>
    </row>
    <row r="573" spans="1:3" ht="13.5" thickBot="1">
      <c r="A573" s="262">
        <v>54308</v>
      </c>
      <c r="B573" s="263" t="s">
        <v>443</v>
      </c>
      <c r="C573" s="264" t="s">
        <v>454</v>
      </c>
    </row>
    <row r="574" spans="1:3" ht="14.25" thickBot="1">
      <c r="A574" s="262">
        <v>54343</v>
      </c>
      <c r="B574" s="263" t="s">
        <v>443</v>
      </c>
      <c r="C574" s="264" t="s">
        <v>455</v>
      </c>
    </row>
    <row r="575" spans="1:3" ht="13.5" thickBot="1">
      <c r="A575" s="262">
        <v>54364</v>
      </c>
      <c r="B575" s="263" t="s">
        <v>443</v>
      </c>
      <c r="C575" s="264" t="s">
        <v>456</v>
      </c>
    </row>
    <row r="576" spans="1:3" ht="13.5" thickBot="1">
      <c r="A576" s="262">
        <v>54377</v>
      </c>
      <c r="B576" s="263" t="s">
        <v>459</v>
      </c>
      <c r="C576" s="264" t="s">
        <v>457</v>
      </c>
    </row>
    <row r="577" spans="1:3" ht="13.5" thickBot="1">
      <c r="A577" s="262">
        <v>54417</v>
      </c>
      <c r="B577" s="263" t="s">
        <v>447</v>
      </c>
      <c r="C577" s="264" t="s">
        <v>458</v>
      </c>
    </row>
    <row r="578" spans="1:3" ht="13.5" thickBot="1">
      <c r="A578" s="265">
        <v>54424</v>
      </c>
      <c r="B578" s="266" t="s">
        <v>447</v>
      </c>
      <c r="C578" s="267" t="s">
        <v>444</v>
      </c>
    </row>
    <row r="579" spans="1:3" ht="13.5" thickBot="1">
      <c r="A579" s="256">
        <v>54483</v>
      </c>
      <c r="B579" s="257" t="s">
        <v>443</v>
      </c>
      <c r="C579" s="258" t="s">
        <v>445</v>
      </c>
    </row>
    <row r="580" spans="1:3" ht="13.5" thickBot="1">
      <c r="A580" s="256">
        <v>54484</v>
      </c>
      <c r="B580" s="257" t="s">
        <v>446</v>
      </c>
      <c r="C580" s="258" t="s">
        <v>445</v>
      </c>
    </row>
    <row r="581" spans="1:3" ht="13.5" thickBot="1">
      <c r="A581" s="256">
        <v>54529</v>
      </c>
      <c r="B581" s="257" t="s">
        <v>447</v>
      </c>
      <c r="C581" s="258" t="s">
        <v>448</v>
      </c>
    </row>
    <row r="582" spans="1:3" ht="13.5" thickBot="1">
      <c r="A582" s="256">
        <v>54534</v>
      </c>
      <c r="B582" s="257" t="s">
        <v>460</v>
      </c>
      <c r="C582" s="258" t="s">
        <v>450</v>
      </c>
    </row>
    <row r="583" spans="1:3" ht="13.5" thickBot="1">
      <c r="A583" s="256">
        <v>54544</v>
      </c>
      <c r="B583" s="257" t="s">
        <v>449</v>
      </c>
      <c r="C583" s="258" t="s">
        <v>451</v>
      </c>
    </row>
    <row r="584" spans="1:3" ht="13.5" thickBot="1">
      <c r="A584" s="256">
        <v>54591</v>
      </c>
      <c r="B584" s="257" t="s">
        <v>452</v>
      </c>
      <c r="C584" s="258" t="s">
        <v>453</v>
      </c>
    </row>
    <row r="585" spans="1:3" ht="13.5" thickBot="1">
      <c r="A585" s="256">
        <v>54673</v>
      </c>
      <c r="B585" s="257" t="s">
        <v>446</v>
      </c>
      <c r="C585" s="258" t="s">
        <v>454</v>
      </c>
    </row>
    <row r="586" spans="1:3" ht="14.25" thickBot="1">
      <c r="A586" s="256">
        <v>54708</v>
      </c>
      <c r="B586" s="257" t="s">
        <v>446</v>
      </c>
      <c r="C586" s="258" t="s">
        <v>455</v>
      </c>
    </row>
    <row r="587" spans="1:3" ht="13.5" thickBot="1">
      <c r="A587" s="256">
        <v>54729</v>
      </c>
      <c r="B587" s="257" t="s">
        <v>446</v>
      </c>
      <c r="C587" s="258" t="s">
        <v>456</v>
      </c>
    </row>
    <row r="588" spans="1:3" ht="13.5" thickBot="1">
      <c r="A588" s="256">
        <v>54742</v>
      </c>
      <c r="B588" s="257" t="s">
        <v>443</v>
      </c>
      <c r="C588" s="258" t="s">
        <v>457</v>
      </c>
    </row>
    <row r="589" spans="1:3" ht="13.5" thickBot="1">
      <c r="A589" s="256">
        <v>54782</v>
      </c>
      <c r="B589" s="257" t="s">
        <v>449</v>
      </c>
      <c r="C589" s="258" t="s">
        <v>458</v>
      </c>
    </row>
    <row r="590" spans="1:3" ht="13.5" thickBot="1">
      <c r="A590" s="259">
        <v>54789</v>
      </c>
      <c r="B590" s="260" t="s">
        <v>449</v>
      </c>
      <c r="C590" s="261" t="s">
        <v>444</v>
      </c>
    </row>
    <row r="591" spans="1:3" ht="13.5" thickBot="1">
      <c r="A591" s="262">
        <v>54840</v>
      </c>
      <c r="B591" s="263" t="s">
        <v>443</v>
      </c>
      <c r="C591" s="264" t="s">
        <v>445</v>
      </c>
    </row>
    <row r="592" spans="1:3" ht="13.5" thickBot="1">
      <c r="A592" s="262">
        <v>54841</v>
      </c>
      <c r="B592" s="263" t="s">
        <v>446</v>
      </c>
      <c r="C592" s="264" t="s">
        <v>445</v>
      </c>
    </row>
    <row r="593" spans="1:3" ht="13.5" thickBot="1">
      <c r="A593" s="262">
        <v>54886</v>
      </c>
      <c r="B593" s="263" t="s">
        <v>447</v>
      </c>
      <c r="C593" s="264" t="s">
        <v>448</v>
      </c>
    </row>
    <row r="594" spans="1:3" ht="13.5" thickBot="1">
      <c r="A594" s="262">
        <v>54899</v>
      </c>
      <c r="B594" s="263" t="s">
        <v>452</v>
      </c>
      <c r="C594" s="264" t="s">
        <v>450</v>
      </c>
    </row>
    <row r="595" spans="1:3" ht="13.5" thickBot="1">
      <c r="A595" s="262">
        <v>54909</v>
      </c>
      <c r="B595" s="263" t="s">
        <v>459</v>
      </c>
      <c r="C595" s="264" t="s">
        <v>451</v>
      </c>
    </row>
    <row r="596" spans="1:3" ht="13.5" thickBot="1">
      <c r="A596" s="262">
        <v>54948</v>
      </c>
      <c r="B596" s="263" t="s">
        <v>452</v>
      </c>
      <c r="C596" s="264" t="s">
        <v>453</v>
      </c>
    </row>
    <row r="597" spans="1:3" ht="13.5" thickBot="1">
      <c r="A597" s="262">
        <v>55038</v>
      </c>
      <c r="B597" s="263" t="s">
        <v>460</v>
      </c>
      <c r="C597" s="264" t="s">
        <v>454</v>
      </c>
    </row>
    <row r="598" spans="1:3" ht="14.25" thickBot="1">
      <c r="A598" s="262">
        <v>55073</v>
      </c>
      <c r="B598" s="263" t="s">
        <v>460</v>
      </c>
      <c r="C598" s="264" t="s">
        <v>455</v>
      </c>
    </row>
    <row r="599" spans="1:3" ht="13.5" thickBot="1">
      <c r="A599" s="262">
        <v>55094</v>
      </c>
      <c r="B599" s="263" t="s">
        <v>460</v>
      </c>
      <c r="C599" s="264" t="s">
        <v>456</v>
      </c>
    </row>
    <row r="600" spans="1:3" ht="13.5" thickBot="1">
      <c r="A600" s="262">
        <v>55107</v>
      </c>
      <c r="B600" s="263" t="s">
        <v>446</v>
      </c>
      <c r="C600" s="264" t="s">
        <v>457</v>
      </c>
    </row>
    <row r="601" spans="1:3" ht="13.5" thickBot="1">
      <c r="A601" s="262">
        <v>55147</v>
      </c>
      <c r="B601" s="263" t="s">
        <v>459</v>
      </c>
      <c r="C601" s="264" t="s">
        <v>458</v>
      </c>
    </row>
    <row r="602" spans="1:3" ht="13.5" thickBot="1">
      <c r="A602" s="265">
        <v>55154</v>
      </c>
      <c r="B602" s="266" t="s">
        <v>459</v>
      </c>
      <c r="C602" s="267" t="s">
        <v>444</v>
      </c>
    </row>
    <row r="603" spans="1:3" ht="13.5" thickBot="1">
      <c r="A603" s="256">
        <v>55197</v>
      </c>
      <c r="B603" s="257" t="s">
        <v>443</v>
      </c>
      <c r="C603" s="258" t="s">
        <v>445</v>
      </c>
    </row>
    <row r="604" spans="1:3" ht="13.5" thickBot="1">
      <c r="A604" s="256">
        <v>55198</v>
      </c>
      <c r="B604" s="257" t="s">
        <v>446</v>
      </c>
      <c r="C604" s="258" t="s">
        <v>445</v>
      </c>
    </row>
    <row r="605" spans="1:3" ht="13.5" thickBot="1">
      <c r="A605" s="256">
        <v>55243</v>
      </c>
      <c r="B605" s="257" t="s">
        <v>447</v>
      </c>
      <c r="C605" s="258" t="s">
        <v>448</v>
      </c>
    </row>
    <row r="606" spans="1:3" ht="13.5" thickBot="1">
      <c r="A606" s="256">
        <v>55264</v>
      </c>
      <c r="B606" s="257" t="s">
        <v>447</v>
      </c>
      <c r="C606" s="258" t="s">
        <v>450</v>
      </c>
    </row>
    <row r="607" spans="1:3" ht="13.5" thickBot="1">
      <c r="A607" s="256">
        <v>55274</v>
      </c>
      <c r="B607" s="257" t="s">
        <v>443</v>
      </c>
      <c r="C607" s="258" t="s">
        <v>451</v>
      </c>
    </row>
    <row r="608" spans="1:3" ht="13.5" thickBot="1">
      <c r="A608" s="256">
        <v>55305</v>
      </c>
      <c r="B608" s="257" t="s">
        <v>452</v>
      </c>
      <c r="C608" s="258" t="s">
        <v>453</v>
      </c>
    </row>
    <row r="609" spans="1:3" ht="13.5" thickBot="1">
      <c r="A609" s="256">
        <v>55403</v>
      </c>
      <c r="B609" s="257" t="s">
        <v>452</v>
      </c>
      <c r="C609" s="258" t="s">
        <v>454</v>
      </c>
    </row>
    <row r="610" spans="1:3" ht="14.25" thickBot="1">
      <c r="A610" s="256">
        <v>55438</v>
      </c>
      <c r="B610" s="257" t="s">
        <v>452</v>
      </c>
      <c r="C610" s="258" t="s">
        <v>455</v>
      </c>
    </row>
    <row r="611" spans="1:3" ht="13.5" thickBot="1">
      <c r="A611" s="256">
        <v>55459</v>
      </c>
      <c r="B611" s="257" t="s">
        <v>452</v>
      </c>
      <c r="C611" s="258" t="s">
        <v>456</v>
      </c>
    </row>
    <row r="612" spans="1:3" ht="13.5" thickBot="1">
      <c r="A612" s="256">
        <v>55472</v>
      </c>
      <c r="B612" s="257" t="s">
        <v>460</v>
      </c>
      <c r="C612" s="258" t="s">
        <v>457</v>
      </c>
    </row>
    <row r="613" spans="1:3" ht="13.5" thickBot="1">
      <c r="A613" s="256">
        <v>55512</v>
      </c>
      <c r="B613" s="257" t="s">
        <v>443</v>
      </c>
      <c r="C613" s="258" t="s">
        <v>458</v>
      </c>
    </row>
    <row r="614" spans="1:3" ht="13.5" thickBot="1">
      <c r="A614" s="259">
        <v>55519</v>
      </c>
      <c r="B614" s="260" t="s">
        <v>443</v>
      </c>
      <c r="C614" s="261" t="s">
        <v>444</v>
      </c>
    </row>
    <row r="615" spans="1:3" ht="13.5" thickBot="1">
      <c r="A615" s="262">
        <v>55582</v>
      </c>
      <c r="B615" s="263" t="s">
        <v>443</v>
      </c>
      <c r="C615" s="264" t="s">
        <v>445</v>
      </c>
    </row>
    <row r="616" spans="1:3" ht="13.5" thickBot="1">
      <c r="A616" s="262">
        <v>55583</v>
      </c>
      <c r="B616" s="263" t="s">
        <v>446</v>
      </c>
      <c r="C616" s="264" t="s">
        <v>445</v>
      </c>
    </row>
    <row r="617" spans="1:3" ht="13.5" thickBot="1">
      <c r="A617" s="262">
        <v>55628</v>
      </c>
      <c r="B617" s="263" t="s">
        <v>447</v>
      </c>
      <c r="C617" s="264" t="s">
        <v>448</v>
      </c>
    </row>
    <row r="618" spans="1:3" ht="13.5" thickBot="1">
      <c r="A618" s="262">
        <v>55630</v>
      </c>
      <c r="B618" s="263" t="s">
        <v>459</v>
      </c>
      <c r="C618" s="264" t="s">
        <v>450</v>
      </c>
    </row>
    <row r="619" spans="1:3" ht="13.5" thickBot="1">
      <c r="A619" s="262">
        <v>55640</v>
      </c>
      <c r="B619" s="263" t="s">
        <v>460</v>
      </c>
      <c r="C619" s="264" t="s">
        <v>451</v>
      </c>
    </row>
    <row r="620" spans="1:3" ht="13.5" thickBot="1">
      <c r="A620" s="262">
        <v>55690</v>
      </c>
      <c r="B620" s="263" t="s">
        <v>452</v>
      </c>
      <c r="C620" s="264" t="s">
        <v>453</v>
      </c>
    </row>
    <row r="621" spans="1:3" ht="13.5" thickBot="1">
      <c r="A621" s="262">
        <v>55769</v>
      </c>
      <c r="B621" s="263" t="s">
        <v>449</v>
      </c>
      <c r="C621" s="264" t="s">
        <v>454</v>
      </c>
    </row>
    <row r="622" spans="1:3" ht="14.25" thickBot="1">
      <c r="A622" s="262">
        <v>55804</v>
      </c>
      <c r="B622" s="263" t="s">
        <v>449</v>
      </c>
      <c r="C622" s="264" t="s">
        <v>455</v>
      </c>
    </row>
    <row r="623" spans="1:3" ht="13.5" thickBot="1">
      <c r="A623" s="262">
        <v>55825</v>
      </c>
      <c r="B623" s="263" t="s">
        <v>449</v>
      </c>
      <c r="C623" s="264" t="s">
        <v>456</v>
      </c>
    </row>
    <row r="624" spans="1:3" ht="13.5" thickBot="1">
      <c r="A624" s="262">
        <v>55838</v>
      </c>
      <c r="B624" s="263" t="s">
        <v>447</v>
      </c>
      <c r="C624" s="264" t="s">
        <v>457</v>
      </c>
    </row>
    <row r="625" spans="1:3" ht="13.5" thickBot="1">
      <c r="A625" s="262">
        <v>55878</v>
      </c>
      <c r="B625" s="263" t="s">
        <v>460</v>
      </c>
      <c r="C625" s="264" t="s">
        <v>458</v>
      </c>
    </row>
    <row r="626" spans="1:3" ht="13.5" thickBot="1">
      <c r="A626" s="265">
        <v>55885</v>
      </c>
      <c r="B626" s="266" t="s">
        <v>460</v>
      </c>
      <c r="C626" s="267" t="s">
        <v>444</v>
      </c>
    </row>
    <row r="627" spans="1:3" ht="13.5" thickBot="1">
      <c r="A627" s="256">
        <v>55932</v>
      </c>
      <c r="B627" s="257" t="s">
        <v>443</v>
      </c>
      <c r="C627" s="258" t="s">
        <v>445</v>
      </c>
    </row>
    <row r="628" spans="1:3" ht="13.5" thickBot="1">
      <c r="A628" s="256">
        <v>55933</v>
      </c>
      <c r="B628" s="257" t="s">
        <v>446</v>
      </c>
      <c r="C628" s="258" t="s">
        <v>445</v>
      </c>
    </row>
    <row r="629" spans="1:3" ht="13.5" thickBot="1">
      <c r="A629" s="256">
        <v>55978</v>
      </c>
      <c r="B629" s="257" t="s">
        <v>447</v>
      </c>
      <c r="C629" s="258" t="s">
        <v>448</v>
      </c>
    </row>
    <row r="630" spans="1:3" ht="13.5" thickBot="1">
      <c r="A630" s="256">
        <v>55995</v>
      </c>
      <c r="B630" s="257" t="s">
        <v>443</v>
      </c>
      <c r="C630" s="258" t="s">
        <v>450</v>
      </c>
    </row>
    <row r="631" spans="1:3" ht="13.5" thickBot="1">
      <c r="A631" s="256">
        <v>56005</v>
      </c>
      <c r="B631" s="257" t="s">
        <v>452</v>
      </c>
      <c r="C631" s="258" t="s">
        <v>451</v>
      </c>
    </row>
    <row r="632" spans="1:3" ht="13.5" thickBot="1">
      <c r="A632" s="256">
        <v>56040</v>
      </c>
      <c r="B632" s="257" t="s">
        <v>452</v>
      </c>
      <c r="C632" s="258" t="s">
        <v>453</v>
      </c>
    </row>
    <row r="633" spans="1:3" ht="13.5" thickBot="1">
      <c r="A633" s="256">
        <v>56134</v>
      </c>
      <c r="B633" s="257" t="s">
        <v>459</v>
      </c>
      <c r="C633" s="258" t="s">
        <v>454</v>
      </c>
    </row>
    <row r="634" spans="1:3" ht="14.25" thickBot="1">
      <c r="A634" s="256">
        <v>56169</v>
      </c>
      <c r="B634" s="257" t="s">
        <v>459</v>
      </c>
      <c r="C634" s="258" t="s">
        <v>455</v>
      </c>
    </row>
    <row r="635" spans="1:3" ht="13.5" thickBot="1">
      <c r="A635" s="256">
        <v>56190</v>
      </c>
      <c r="B635" s="257" t="s">
        <v>459</v>
      </c>
      <c r="C635" s="258" t="s">
        <v>456</v>
      </c>
    </row>
    <row r="636" spans="1:3" ht="13.5" thickBot="1">
      <c r="A636" s="256">
        <v>56203</v>
      </c>
      <c r="B636" s="257" t="s">
        <v>449</v>
      </c>
      <c r="C636" s="258" t="s">
        <v>457</v>
      </c>
    </row>
    <row r="637" spans="1:3" ht="13.5" thickBot="1">
      <c r="A637" s="256">
        <v>56243</v>
      </c>
      <c r="B637" s="257" t="s">
        <v>452</v>
      </c>
      <c r="C637" s="258" t="s">
        <v>458</v>
      </c>
    </row>
    <row r="638" spans="1:3" ht="13.5" thickBot="1">
      <c r="A638" s="259">
        <v>56250</v>
      </c>
      <c r="B638" s="260" t="s">
        <v>452</v>
      </c>
      <c r="C638" s="261" t="s">
        <v>444</v>
      </c>
    </row>
    <row r="639" spans="1:3" ht="13.5" thickBot="1">
      <c r="A639" s="262">
        <v>56289</v>
      </c>
      <c r="B639" s="263" t="s">
        <v>443</v>
      </c>
      <c r="C639" s="264" t="s">
        <v>445</v>
      </c>
    </row>
    <row r="640" spans="1:3" ht="13.5" thickBot="1">
      <c r="A640" s="262">
        <v>56290</v>
      </c>
      <c r="B640" s="263" t="s">
        <v>446</v>
      </c>
      <c r="C640" s="264" t="s">
        <v>445</v>
      </c>
    </row>
    <row r="641" spans="1:3" ht="13.5" thickBot="1">
      <c r="A641" s="262">
        <v>56335</v>
      </c>
      <c r="B641" s="263" t="s">
        <v>447</v>
      </c>
      <c r="C641" s="264" t="s">
        <v>448</v>
      </c>
    </row>
    <row r="642" spans="1:3" ht="13.5" thickBot="1">
      <c r="A642" s="262">
        <v>56360</v>
      </c>
      <c r="B642" s="263" t="s">
        <v>446</v>
      </c>
      <c r="C642" s="264" t="s">
        <v>450</v>
      </c>
    </row>
    <row r="643" spans="1:3" ht="13.5" thickBot="1">
      <c r="A643" s="262">
        <v>56370</v>
      </c>
      <c r="B643" s="263" t="s">
        <v>447</v>
      </c>
      <c r="C643" s="264" t="s">
        <v>451</v>
      </c>
    </row>
    <row r="644" spans="1:3" ht="13.5" thickBot="1">
      <c r="A644" s="262">
        <v>56397</v>
      </c>
      <c r="B644" s="263" t="s">
        <v>452</v>
      </c>
      <c r="C644" s="264" t="s">
        <v>453</v>
      </c>
    </row>
    <row r="645" spans="1:3" ht="13.5" thickBot="1">
      <c r="A645" s="262">
        <v>56499</v>
      </c>
      <c r="B645" s="263" t="s">
        <v>443</v>
      </c>
      <c r="C645" s="264" t="s">
        <v>454</v>
      </c>
    </row>
    <row r="646" spans="1:3" ht="14.25" thickBot="1">
      <c r="A646" s="262">
        <v>56534</v>
      </c>
      <c r="B646" s="263" t="s">
        <v>443</v>
      </c>
      <c r="C646" s="264" t="s">
        <v>455</v>
      </c>
    </row>
    <row r="647" spans="1:3" ht="13.5" thickBot="1">
      <c r="A647" s="262">
        <v>56555</v>
      </c>
      <c r="B647" s="263" t="s">
        <v>443</v>
      </c>
      <c r="C647" s="264" t="s">
        <v>456</v>
      </c>
    </row>
    <row r="648" spans="1:3" ht="13.5" thickBot="1">
      <c r="A648" s="262">
        <v>56568</v>
      </c>
      <c r="B648" s="263" t="s">
        <v>459</v>
      </c>
      <c r="C648" s="264" t="s">
        <v>457</v>
      </c>
    </row>
    <row r="649" spans="1:3" ht="13.5" thickBot="1">
      <c r="A649" s="262">
        <v>56608</v>
      </c>
      <c r="B649" s="263" t="s">
        <v>447</v>
      </c>
      <c r="C649" s="264" t="s">
        <v>458</v>
      </c>
    </row>
    <row r="650" spans="1:3" ht="13.5" thickBot="1">
      <c r="A650" s="265">
        <v>56615</v>
      </c>
      <c r="B650" s="266" t="s">
        <v>447</v>
      </c>
      <c r="C650" s="267" t="s">
        <v>444</v>
      </c>
    </row>
    <row r="651" spans="1:3" ht="13.5" thickBot="1">
      <c r="A651" s="256">
        <v>56674</v>
      </c>
      <c r="B651" s="257" t="s">
        <v>443</v>
      </c>
      <c r="C651" s="258" t="s">
        <v>445</v>
      </c>
    </row>
    <row r="652" spans="1:3" ht="13.5" thickBot="1">
      <c r="A652" s="256">
        <v>56675</v>
      </c>
      <c r="B652" s="257" t="s">
        <v>446</v>
      </c>
      <c r="C652" s="258" t="s">
        <v>445</v>
      </c>
    </row>
    <row r="653" spans="1:3" ht="13.5" thickBot="1">
      <c r="A653" s="256">
        <v>56720</v>
      </c>
      <c r="B653" s="257" t="s">
        <v>447</v>
      </c>
      <c r="C653" s="258" t="s">
        <v>448</v>
      </c>
    </row>
    <row r="654" spans="1:3" ht="13.5" thickBot="1">
      <c r="A654" s="256">
        <v>56725</v>
      </c>
      <c r="B654" s="257" t="s">
        <v>460</v>
      </c>
      <c r="C654" s="258" t="s">
        <v>450</v>
      </c>
    </row>
    <row r="655" spans="1:3" ht="13.5" thickBot="1">
      <c r="A655" s="256">
        <v>56735</v>
      </c>
      <c r="B655" s="257" t="s">
        <v>449</v>
      </c>
      <c r="C655" s="258" t="s">
        <v>451</v>
      </c>
    </row>
    <row r="656" spans="1:3" ht="13.5" thickBot="1">
      <c r="A656" s="256">
        <v>56782</v>
      </c>
      <c r="B656" s="257" t="s">
        <v>452</v>
      </c>
      <c r="C656" s="258" t="s">
        <v>453</v>
      </c>
    </row>
    <row r="657" spans="1:3" ht="13.5" thickBot="1">
      <c r="A657" s="256">
        <v>56864</v>
      </c>
      <c r="B657" s="257" t="s">
        <v>446</v>
      </c>
      <c r="C657" s="258" t="s">
        <v>454</v>
      </c>
    </row>
    <row r="658" spans="1:3" ht="14.25" thickBot="1">
      <c r="A658" s="256">
        <v>56899</v>
      </c>
      <c r="B658" s="257" t="s">
        <v>446</v>
      </c>
      <c r="C658" s="258" t="s">
        <v>455</v>
      </c>
    </row>
    <row r="659" spans="1:3" ht="13.5" thickBot="1">
      <c r="A659" s="256">
        <v>56920</v>
      </c>
      <c r="B659" s="257" t="s">
        <v>446</v>
      </c>
      <c r="C659" s="258" t="s">
        <v>456</v>
      </c>
    </row>
    <row r="660" spans="1:3" ht="13.5" thickBot="1">
      <c r="A660" s="256">
        <v>56933</v>
      </c>
      <c r="B660" s="257" t="s">
        <v>443</v>
      </c>
      <c r="C660" s="258" t="s">
        <v>457</v>
      </c>
    </row>
    <row r="661" spans="1:3" ht="13.5" thickBot="1">
      <c r="A661" s="256">
        <v>56973</v>
      </c>
      <c r="B661" s="257" t="s">
        <v>449</v>
      </c>
      <c r="C661" s="258" t="s">
        <v>458</v>
      </c>
    </row>
    <row r="662" spans="1:3" ht="13.5" thickBot="1">
      <c r="A662" s="259">
        <v>56980</v>
      </c>
      <c r="B662" s="260" t="s">
        <v>449</v>
      </c>
      <c r="C662" s="261" t="s">
        <v>444</v>
      </c>
    </row>
    <row r="663" spans="1:3" ht="13.5" thickBot="1">
      <c r="A663" s="262">
        <v>57024</v>
      </c>
      <c r="B663" s="263" t="s">
        <v>443</v>
      </c>
      <c r="C663" s="264" t="s">
        <v>445</v>
      </c>
    </row>
    <row r="664" spans="1:3" ht="13.5" thickBot="1">
      <c r="A664" s="262">
        <v>57025</v>
      </c>
      <c r="B664" s="263" t="s">
        <v>446</v>
      </c>
      <c r="C664" s="264" t="s">
        <v>445</v>
      </c>
    </row>
    <row r="665" spans="1:3" ht="13.5" thickBot="1">
      <c r="A665" s="262">
        <v>57070</v>
      </c>
      <c r="B665" s="263" t="s">
        <v>447</v>
      </c>
      <c r="C665" s="264" t="s">
        <v>448</v>
      </c>
    </row>
    <row r="666" spans="1:3" ht="13.5" thickBot="1">
      <c r="A666" s="262">
        <v>57091</v>
      </c>
      <c r="B666" s="263" t="s">
        <v>447</v>
      </c>
      <c r="C666" s="264" t="s">
        <v>450</v>
      </c>
    </row>
    <row r="667" spans="1:3" ht="13.5" thickBot="1">
      <c r="A667" s="262">
        <v>57101</v>
      </c>
      <c r="B667" s="263" t="s">
        <v>443</v>
      </c>
      <c r="C667" s="264" t="s">
        <v>451</v>
      </c>
    </row>
    <row r="668" spans="1:3" ht="13.5" thickBot="1">
      <c r="A668" s="262">
        <v>57132</v>
      </c>
      <c r="B668" s="263" t="s">
        <v>452</v>
      </c>
      <c r="C668" s="264" t="s">
        <v>453</v>
      </c>
    </row>
    <row r="669" spans="1:3" ht="13.5" thickBot="1">
      <c r="A669" s="262">
        <v>57230</v>
      </c>
      <c r="B669" s="263" t="s">
        <v>452</v>
      </c>
      <c r="C669" s="264" t="s">
        <v>454</v>
      </c>
    </row>
    <row r="670" spans="1:3" ht="14.25" thickBot="1">
      <c r="A670" s="262">
        <v>57265</v>
      </c>
      <c r="B670" s="263" t="s">
        <v>452</v>
      </c>
      <c r="C670" s="264" t="s">
        <v>455</v>
      </c>
    </row>
    <row r="671" spans="1:3" ht="13.5" thickBot="1">
      <c r="A671" s="262">
        <v>57286</v>
      </c>
      <c r="B671" s="263" t="s">
        <v>452</v>
      </c>
      <c r="C671" s="264" t="s">
        <v>456</v>
      </c>
    </row>
    <row r="672" spans="1:3" ht="13.5" thickBot="1">
      <c r="A672" s="262">
        <v>57299</v>
      </c>
      <c r="B672" s="263" t="s">
        <v>460</v>
      </c>
      <c r="C672" s="264" t="s">
        <v>457</v>
      </c>
    </row>
    <row r="673" spans="1:3" ht="13.5" thickBot="1">
      <c r="A673" s="262">
        <v>57339</v>
      </c>
      <c r="B673" s="263" t="s">
        <v>443</v>
      </c>
      <c r="C673" s="264" t="s">
        <v>458</v>
      </c>
    </row>
    <row r="674" spans="1:3" ht="13.5" thickBot="1">
      <c r="A674" s="265">
        <v>57346</v>
      </c>
      <c r="B674" s="266" t="s">
        <v>443</v>
      </c>
      <c r="C674" s="267" t="s">
        <v>444</v>
      </c>
    </row>
    <row r="675" spans="1:3" ht="13.5" thickBot="1">
      <c r="A675" s="256">
        <v>57409</v>
      </c>
      <c r="B675" s="257" t="s">
        <v>443</v>
      </c>
      <c r="C675" s="258" t="s">
        <v>445</v>
      </c>
    </row>
    <row r="676" spans="1:3" ht="13.5" thickBot="1">
      <c r="A676" s="256">
        <v>57410</v>
      </c>
      <c r="B676" s="257" t="s">
        <v>446</v>
      </c>
      <c r="C676" s="258" t="s">
        <v>445</v>
      </c>
    </row>
    <row r="677" spans="1:3" ht="13.5" thickBot="1">
      <c r="A677" s="256">
        <v>57455</v>
      </c>
      <c r="B677" s="257" t="s">
        <v>447</v>
      </c>
      <c r="C677" s="258" t="s">
        <v>448</v>
      </c>
    </row>
    <row r="678" spans="1:3" ht="13.5" thickBot="1">
      <c r="A678" s="256">
        <v>57456</v>
      </c>
      <c r="B678" s="257" t="s">
        <v>449</v>
      </c>
      <c r="C678" s="258" t="s">
        <v>450</v>
      </c>
    </row>
    <row r="679" spans="1:3" ht="13.5" thickBot="1">
      <c r="A679" s="256">
        <v>57466</v>
      </c>
      <c r="B679" s="257" t="s">
        <v>446</v>
      </c>
      <c r="C679" s="258" t="s">
        <v>451</v>
      </c>
    </row>
    <row r="680" spans="1:3" ht="13.5" thickBot="1">
      <c r="A680" s="256">
        <v>57517</v>
      </c>
      <c r="B680" s="257" t="s">
        <v>452</v>
      </c>
      <c r="C680" s="258" t="s">
        <v>453</v>
      </c>
    </row>
    <row r="681" spans="1:3" ht="13.5" thickBot="1">
      <c r="A681" s="256">
        <v>57595</v>
      </c>
      <c r="B681" s="257" t="s">
        <v>447</v>
      </c>
      <c r="C681" s="258" t="s">
        <v>454</v>
      </c>
    </row>
    <row r="682" spans="1:3" ht="14.25" thickBot="1">
      <c r="A682" s="256">
        <v>57630</v>
      </c>
      <c r="B682" s="257" t="s">
        <v>447</v>
      </c>
      <c r="C682" s="258" t="s">
        <v>455</v>
      </c>
    </row>
    <row r="683" spans="1:3" ht="13.5" thickBot="1">
      <c r="A683" s="256">
        <v>57651</v>
      </c>
      <c r="B683" s="257" t="s">
        <v>447</v>
      </c>
      <c r="C683" s="258" t="s">
        <v>456</v>
      </c>
    </row>
    <row r="684" spans="1:3" ht="13.5" thickBot="1">
      <c r="A684" s="256">
        <v>57664</v>
      </c>
      <c r="B684" s="257" t="s">
        <v>452</v>
      </c>
      <c r="C684" s="258" t="s">
        <v>457</v>
      </c>
    </row>
    <row r="685" spans="1:3" ht="13.5" thickBot="1">
      <c r="A685" s="256">
        <v>57704</v>
      </c>
      <c r="B685" s="257" t="s">
        <v>446</v>
      </c>
      <c r="C685" s="258" t="s">
        <v>458</v>
      </c>
    </row>
    <row r="686" spans="1:3" ht="13.5" thickBot="1">
      <c r="A686" s="259">
        <v>57711</v>
      </c>
      <c r="B686" s="260" t="s">
        <v>446</v>
      </c>
      <c r="C686" s="261" t="s">
        <v>444</v>
      </c>
    </row>
    <row r="687" spans="1:3" ht="13.5" thickBot="1">
      <c r="A687" s="262">
        <v>57766</v>
      </c>
      <c r="B687" s="263" t="s">
        <v>443</v>
      </c>
      <c r="C687" s="264" t="s">
        <v>445</v>
      </c>
    </row>
    <row r="688" spans="1:3" ht="13.5" thickBot="1">
      <c r="A688" s="262">
        <v>57767</v>
      </c>
      <c r="B688" s="263" t="s">
        <v>446</v>
      </c>
      <c r="C688" s="264" t="s">
        <v>445</v>
      </c>
    </row>
    <row r="689" spans="1:3" ht="13.5" thickBot="1">
      <c r="A689" s="262">
        <v>57812</v>
      </c>
      <c r="B689" s="263" t="s">
        <v>447</v>
      </c>
      <c r="C689" s="264" t="s">
        <v>448</v>
      </c>
    </row>
    <row r="690" spans="1:3" ht="13.5" thickBot="1">
      <c r="A690" s="262">
        <v>57821</v>
      </c>
      <c r="B690" s="263" t="s">
        <v>459</v>
      </c>
      <c r="C690" s="264" t="s">
        <v>450</v>
      </c>
    </row>
    <row r="691" spans="1:3" ht="13.5" thickBot="1">
      <c r="A691" s="262">
        <v>57831</v>
      </c>
      <c r="B691" s="263" t="s">
        <v>460</v>
      </c>
      <c r="C691" s="264" t="s">
        <v>451</v>
      </c>
    </row>
    <row r="692" spans="1:3" ht="13.5" thickBot="1">
      <c r="A692" s="262">
        <v>57874</v>
      </c>
      <c r="B692" s="263" t="s">
        <v>452</v>
      </c>
      <c r="C692" s="264" t="s">
        <v>453</v>
      </c>
    </row>
    <row r="693" spans="1:3" ht="13.5" thickBot="1">
      <c r="A693" s="262">
        <v>57960</v>
      </c>
      <c r="B693" s="263" t="s">
        <v>449</v>
      </c>
      <c r="C693" s="264" t="s">
        <v>454</v>
      </c>
    </row>
    <row r="694" spans="1:3" ht="14.25" thickBot="1">
      <c r="A694" s="262">
        <v>57995</v>
      </c>
      <c r="B694" s="263" t="s">
        <v>449</v>
      </c>
      <c r="C694" s="264" t="s">
        <v>455</v>
      </c>
    </row>
    <row r="695" spans="1:3" ht="13.5" thickBot="1">
      <c r="A695" s="262">
        <v>58016</v>
      </c>
      <c r="B695" s="263" t="s">
        <v>449</v>
      </c>
      <c r="C695" s="264" t="s">
        <v>456</v>
      </c>
    </row>
    <row r="696" spans="1:3" ht="13.5" thickBot="1">
      <c r="A696" s="262">
        <v>58029</v>
      </c>
      <c r="B696" s="263" t="s">
        <v>447</v>
      </c>
      <c r="C696" s="264" t="s">
        <v>457</v>
      </c>
    </row>
    <row r="697" spans="1:3" ht="13.5" thickBot="1">
      <c r="A697" s="262">
        <v>58069</v>
      </c>
      <c r="B697" s="263" t="s">
        <v>460</v>
      </c>
      <c r="C697" s="264" t="s">
        <v>458</v>
      </c>
    </row>
    <row r="698" spans="1:3" ht="13.5" thickBot="1">
      <c r="A698" s="265">
        <v>58076</v>
      </c>
      <c r="B698" s="266" t="s">
        <v>460</v>
      </c>
      <c r="C698" s="267" t="s">
        <v>444</v>
      </c>
    </row>
    <row r="699" spans="1:3" ht="13.5" thickBot="1">
      <c r="A699" s="256">
        <v>58116</v>
      </c>
      <c r="B699" s="257" t="s">
        <v>443</v>
      </c>
      <c r="C699" s="258" t="s">
        <v>445</v>
      </c>
    </row>
    <row r="700" spans="1:3" ht="13.5" thickBot="1">
      <c r="A700" s="256">
        <v>58117</v>
      </c>
      <c r="B700" s="257" t="s">
        <v>446</v>
      </c>
      <c r="C700" s="258" t="s">
        <v>445</v>
      </c>
    </row>
    <row r="701" spans="1:3" ht="13.5" thickBot="1">
      <c r="A701" s="256">
        <v>58162</v>
      </c>
      <c r="B701" s="257" t="s">
        <v>447</v>
      </c>
      <c r="C701" s="258" t="s">
        <v>448</v>
      </c>
    </row>
    <row r="702" spans="1:3" ht="13.5" thickBot="1">
      <c r="A702" s="256">
        <v>58186</v>
      </c>
      <c r="B702" s="257" t="s">
        <v>443</v>
      </c>
      <c r="C702" s="258" t="s">
        <v>450</v>
      </c>
    </row>
    <row r="703" spans="1:3" ht="13.5" thickBot="1">
      <c r="A703" s="256">
        <v>58196</v>
      </c>
      <c r="B703" s="257" t="s">
        <v>452</v>
      </c>
      <c r="C703" s="258" t="s">
        <v>451</v>
      </c>
    </row>
    <row r="704" spans="1:3" ht="13.5" thickBot="1">
      <c r="A704" s="256">
        <v>58224</v>
      </c>
      <c r="B704" s="257" t="s">
        <v>452</v>
      </c>
      <c r="C704" s="258" t="s">
        <v>453</v>
      </c>
    </row>
    <row r="705" spans="1:3" ht="13.5" thickBot="1">
      <c r="A705" s="256">
        <v>58325</v>
      </c>
      <c r="B705" s="257" t="s">
        <v>459</v>
      </c>
      <c r="C705" s="258" t="s">
        <v>454</v>
      </c>
    </row>
    <row r="706" spans="1:3" ht="14.25" thickBot="1">
      <c r="A706" s="256">
        <v>58360</v>
      </c>
      <c r="B706" s="257" t="s">
        <v>459</v>
      </c>
      <c r="C706" s="258" t="s">
        <v>455</v>
      </c>
    </row>
    <row r="707" spans="1:3" ht="13.5" thickBot="1">
      <c r="A707" s="256">
        <v>58381</v>
      </c>
      <c r="B707" s="257" t="s">
        <v>459</v>
      </c>
      <c r="C707" s="258" t="s">
        <v>456</v>
      </c>
    </row>
    <row r="708" spans="1:3" ht="13.5" thickBot="1">
      <c r="A708" s="256">
        <v>58394</v>
      </c>
      <c r="B708" s="257" t="s">
        <v>449</v>
      </c>
      <c r="C708" s="258" t="s">
        <v>457</v>
      </c>
    </row>
    <row r="709" spans="1:3" ht="13.5" thickBot="1">
      <c r="A709" s="256">
        <v>58434</v>
      </c>
      <c r="B709" s="257" t="s">
        <v>452</v>
      </c>
      <c r="C709" s="258" t="s">
        <v>458</v>
      </c>
    </row>
    <row r="710" spans="1:3" ht="13.5" thickBot="1">
      <c r="A710" s="259">
        <v>58441</v>
      </c>
      <c r="B710" s="260" t="s">
        <v>452</v>
      </c>
      <c r="C710" s="261" t="s">
        <v>444</v>
      </c>
    </row>
    <row r="711" spans="1:3" ht="13.5" thickBot="1">
      <c r="A711" s="262">
        <v>58501</v>
      </c>
      <c r="B711" s="263" t="s">
        <v>443</v>
      </c>
      <c r="C711" s="264" t="s">
        <v>445</v>
      </c>
    </row>
    <row r="712" spans="1:3" ht="13.5" thickBot="1">
      <c r="A712" s="262">
        <v>58502</v>
      </c>
      <c r="B712" s="263" t="s">
        <v>446</v>
      </c>
      <c r="C712" s="264" t="s">
        <v>445</v>
      </c>
    </row>
    <row r="713" spans="1:3" ht="13.5" thickBot="1">
      <c r="A713" s="262">
        <v>58547</v>
      </c>
      <c r="B713" s="263" t="s">
        <v>447</v>
      </c>
      <c r="C713" s="264" t="s">
        <v>448</v>
      </c>
    </row>
    <row r="714" spans="1:3" ht="13.5" thickBot="1">
      <c r="A714" s="262">
        <v>58552</v>
      </c>
      <c r="B714" s="263" t="s">
        <v>460</v>
      </c>
      <c r="C714" s="264" t="s">
        <v>450</v>
      </c>
    </row>
    <row r="715" spans="1:3" ht="13.5" thickBot="1">
      <c r="A715" s="262">
        <v>58562</v>
      </c>
      <c r="B715" s="263" t="s">
        <v>449</v>
      </c>
      <c r="C715" s="264" t="s">
        <v>451</v>
      </c>
    </row>
    <row r="716" spans="1:3" ht="13.5" thickBot="1">
      <c r="A716" s="262">
        <v>58609</v>
      </c>
      <c r="B716" s="263" t="s">
        <v>452</v>
      </c>
      <c r="C716" s="264" t="s">
        <v>453</v>
      </c>
    </row>
    <row r="717" spans="1:3" ht="13.5" thickBot="1">
      <c r="A717" s="262">
        <v>58691</v>
      </c>
      <c r="B717" s="263" t="s">
        <v>446</v>
      </c>
      <c r="C717" s="264" t="s">
        <v>454</v>
      </c>
    </row>
    <row r="718" spans="1:3" ht="14.25" thickBot="1">
      <c r="A718" s="262">
        <v>58726</v>
      </c>
      <c r="B718" s="263" t="s">
        <v>446</v>
      </c>
      <c r="C718" s="264" t="s">
        <v>455</v>
      </c>
    </row>
    <row r="719" spans="1:3" ht="13.5" thickBot="1">
      <c r="A719" s="262">
        <v>58747</v>
      </c>
      <c r="B719" s="263" t="s">
        <v>446</v>
      </c>
      <c r="C719" s="264" t="s">
        <v>456</v>
      </c>
    </row>
    <row r="720" spans="1:3" ht="13.5" thickBot="1">
      <c r="A720" s="262">
        <v>58760</v>
      </c>
      <c r="B720" s="263" t="s">
        <v>443</v>
      </c>
      <c r="C720" s="264" t="s">
        <v>457</v>
      </c>
    </row>
    <row r="721" spans="1:3" ht="13.5" thickBot="1">
      <c r="A721" s="262">
        <v>58800</v>
      </c>
      <c r="B721" s="263" t="s">
        <v>449</v>
      </c>
      <c r="C721" s="264" t="s">
        <v>458</v>
      </c>
    </row>
    <row r="722" spans="1:3" ht="13.5" thickBot="1">
      <c r="A722" s="265">
        <v>58807</v>
      </c>
      <c r="B722" s="266" t="s">
        <v>449</v>
      </c>
      <c r="C722" s="267" t="s">
        <v>444</v>
      </c>
    </row>
    <row r="723" spans="1:3" ht="13.5" thickBot="1">
      <c r="A723" s="256">
        <v>58858</v>
      </c>
      <c r="B723" s="257" t="s">
        <v>443</v>
      </c>
      <c r="C723" s="258" t="s">
        <v>445</v>
      </c>
    </row>
    <row r="724" spans="1:3" ht="13.5" thickBot="1">
      <c r="A724" s="256">
        <v>58859</v>
      </c>
      <c r="B724" s="257" t="s">
        <v>446</v>
      </c>
      <c r="C724" s="258" t="s">
        <v>445</v>
      </c>
    </row>
    <row r="725" spans="1:3" ht="13.5" thickBot="1">
      <c r="A725" s="256">
        <v>58904</v>
      </c>
      <c r="B725" s="257" t="s">
        <v>447</v>
      </c>
      <c r="C725" s="258" t="s">
        <v>448</v>
      </c>
    </row>
    <row r="726" spans="1:3" ht="13.5" thickBot="1">
      <c r="A726" s="256">
        <v>58917</v>
      </c>
      <c r="B726" s="257" t="s">
        <v>452</v>
      </c>
      <c r="C726" s="258" t="s">
        <v>450</v>
      </c>
    </row>
    <row r="727" spans="1:3" ht="13.5" thickBot="1">
      <c r="A727" s="256">
        <v>58927</v>
      </c>
      <c r="B727" s="257" t="s">
        <v>459</v>
      </c>
      <c r="C727" s="258" t="s">
        <v>451</v>
      </c>
    </row>
    <row r="728" spans="1:3" ht="13.5" thickBot="1">
      <c r="A728" s="256">
        <v>58966</v>
      </c>
      <c r="B728" s="257" t="s">
        <v>452</v>
      </c>
      <c r="C728" s="258" t="s">
        <v>453</v>
      </c>
    </row>
    <row r="729" spans="1:3" ht="13.5" thickBot="1">
      <c r="A729" s="256">
        <v>59056</v>
      </c>
      <c r="B729" s="257" t="s">
        <v>460</v>
      </c>
      <c r="C729" s="258" t="s">
        <v>454</v>
      </c>
    </row>
    <row r="730" spans="1:3" ht="14.25" thickBot="1">
      <c r="A730" s="256">
        <v>59091</v>
      </c>
      <c r="B730" s="257" t="s">
        <v>460</v>
      </c>
      <c r="C730" s="258" t="s">
        <v>455</v>
      </c>
    </row>
    <row r="731" spans="1:3" ht="13.5" thickBot="1">
      <c r="A731" s="256">
        <v>59112</v>
      </c>
      <c r="B731" s="257" t="s">
        <v>460</v>
      </c>
      <c r="C731" s="258" t="s">
        <v>456</v>
      </c>
    </row>
    <row r="732" spans="1:3" ht="13.5" thickBot="1">
      <c r="A732" s="256">
        <v>59125</v>
      </c>
      <c r="B732" s="257" t="s">
        <v>446</v>
      </c>
      <c r="C732" s="258" t="s">
        <v>457</v>
      </c>
    </row>
    <row r="733" spans="1:3" ht="13.5" thickBot="1">
      <c r="A733" s="256">
        <v>59165</v>
      </c>
      <c r="B733" s="257" t="s">
        <v>459</v>
      </c>
      <c r="C733" s="258" t="s">
        <v>458</v>
      </c>
    </row>
    <row r="734" spans="1:3" ht="13.5" thickBot="1">
      <c r="A734" s="259">
        <v>59172</v>
      </c>
      <c r="B734" s="260" t="s">
        <v>459</v>
      </c>
      <c r="C734" s="261" t="s">
        <v>444</v>
      </c>
    </row>
    <row r="735" spans="1:3" ht="13.5" thickBot="1">
      <c r="A735" s="262">
        <v>59208</v>
      </c>
      <c r="B735" s="263" t="s">
        <v>443</v>
      </c>
      <c r="C735" s="264" t="s">
        <v>445</v>
      </c>
    </row>
    <row r="736" spans="1:3" ht="13.5" thickBot="1">
      <c r="A736" s="262">
        <v>59209</v>
      </c>
      <c r="B736" s="263" t="s">
        <v>446</v>
      </c>
      <c r="C736" s="264" t="s">
        <v>445</v>
      </c>
    </row>
    <row r="737" spans="1:3" ht="13.5" thickBot="1">
      <c r="A737" s="262">
        <v>59254</v>
      </c>
      <c r="B737" s="263" t="s">
        <v>447</v>
      </c>
      <c r="C737" s="264" t="s">
        <v>448</v>
      </c>
    </row>
    <row r="738" spans="1:3" ht="13.5" thickBot="1">
      <c r="A738" s="262">
        <v>59282</v>
      </c>
      <c r="B738" s="263" t="s">
        <v>447</v>
      </c>
      <c r="C738" s="264" t="s">
        <v>450</v>
      </c>
    </row>
    <row r="739" spans="1:3" ht="13.5" thickBot="1">
      <c r="A739" s="262">
        <v>59292</v>
      </c>
      <c r="B739" s="263" t="s">
        <v>443</v>
      </c>
      <c r="C739" s="264" t="s">
        <v>451</v>
      </c>
    </row>
    <row r="740" spans="1:3" ht="13.5" thickBot="1">
      <c r="A740" s="262">
        <v>59316</v>
      </c>
      <c r="B740" s="263" t="s">
        <v>452</v>
      </c>
      <c r="C740" s="264" t="s">
        <v>453</v>
      </c>
    </row>
    <row r="741" spans="1:3" ht="13.5" thickBot="1">
      <c r="A741" s="262">
        <v>59421</v>
      </c>
      <c r="B741" s="263" t="s">
        <v>452</v>
      </c>
      <c r="C741" s="264" t="s">
        <v>454</v>
      </c>
    </row>
    <row r="742" spans="1:3" ht="14.25" thickBot="1">
      <c r="A742" s="262">
        <v>59456</v>
      </c>
      <c r="B742" s="263" t="s">
        <v>452</v>
      </c>
      <c r="C742" s="264" t="s">
        <v>455</v>
      </c>
    </row>
    <row r="743" spans="1:3" ht="13.5" thickBot="1">
      <c r="A743" s="262">
        <v>59477</v>
      </c>
      <c r="B743" s="263" t="s">
        <v>452</v>
      </c>
      <c r="C743" s="264" t="s">
        <v>456</v>
      </c>
    </row>
    <row r="744" spans="1:3" ht="13.5" thickBot="1">
      <c r="A744" s="262">
        <v>59490</v>
      </c>
      <c r="B744" s="263" t="s">
        <v>460</v>
      </c>
      <c r="C744" s="264" t="s">
        <v>457</v>
      </c>
    </row>
    <row r="745" spans="1:3" ht="13.5" thickBot="1">
      <c r="A745" s="262">
        <v>59530</v>
      </c>
      <c r="B745" s="263" t="s">
        <v>443</v>
      </c>
      <c r="C745" s="264" t="s">
        <v>458</v>
      </c>
    </row>
    <row r="746" spans="1:3" ht="13.5" thickBot="1">
      <c r="A746" s="265">
        <v>59537</v>
      </c>
      <c r="B746" s="266" t="s">
        <v>443</v>
      </c>
      <c r="C746" s="267" t="s">
        <v>444</v>
      </c>
    </row>
    <row r="747" spans="1:3" ht="13.5" thickBot="1">
      <c r="A747" s="256">
        <v>59593</v>
      </c>
      <c r="B747" s="257" t="s">
        <v>443</v>
      </c>
      <c r="C747" s="258" t="s">
        <v>445</v>
      </c>
    </row>
    <row r="748" spans="1:3" ht="13.5" thickBot="1">
      <c r="A748" s="256">
        <v>59594</v>
      </c>
      <c r="B748" s="257" t="s">
        <v>446</v>
      </c>
      <c r="C748" s="258" t="s">
        <v>445</v>
      </c>
    </row>
    <row r="749" spans="1:3" ht="13.5" thickBot="1">
      <c r="A749" s="256">
        <v>59639</v>
      </c>
      <c r="B749" s="257" t="s">
        <v>447</v>
      </c>
      <c r="C749" s="258" t="s">
        <v>448</v>
      </c>
    </row>
    <row r="750" spans="1:3" ht="13.5" thickBot="1">
      <c r="A750" s="256">
        <v>59647</v>
      </c>
      <c r="B750" s="257" t="s">
        <v>449</v>
      </c>
      <c r="C750" s="258" t="s">
        <v>450</v>
      </c>
    </row>
    <row r="751" spans="1:3" ht="13.5" thickBot="1">
      <c r="A751" s="256">
        <v>59657</v>
      </c>
      <c r="B751" s="257" t="s">
        <v>446</v>
      </c>
      <c r="C751" s="258" t="s">
        <v>451</v>
      </c>
    </row>
    <row r="752" spans="1:3" ht="13.5" thickBot="1">
      <c r="A752" s="256">
        <v>59701</v>
      </c>
      <c r="B752" s="257" t="s">
        <v>452</v>
      </c>
      <c r="C752" s="258" t="s">
        <v>453</v>
      </c>
    </row>
    <row r="753" spans="1:3" ht="13.5" thickBot="1">
      <c r="A753" s="256">
        <v>59786</v>
      </c>
      <c r="B753" s="257" t="s">
        <v>447</v>
      </c>
      <c r="C753" s="258" t="s">
        <v>454</v>
      </c>
    </row>
    <row r="754" spans="1:3" ht="14.25" thickBot="1">
      <c r="A754" s="256">
        <v>59821</v>
      </c>
      <c r="B754" s="257" t="s">
        <v>447</v>
      </c>
      <c r="C754" s="258" t="s">
        <v>455</v>
      </c>
    </row>
    <row r="755" spans="1:3" ht="13.5" thickBot="1">
      <c r="A755" s="256">
        <v>59842</v>
      </c>
      <c r="B755" s="257" t="s">
        <v>447</v>
      </c>
      <c r="C755" s="258" t="s">
        <v>456</v>
      </c>
    </row>
    <row r="756" spans="1:3" ht="13.5" thickBot="1">
      <c r="A756" s="256">
        <v>59855</v>
      </c>
      <c r="B756" s="257" t="s">
        <v>452</v>
      </c>
      <c r="C756" s="258" t="s">
        <v>457</v>
      </c>
    </row>
    <row r="757" spans="1:3" ht="13.5" thickBot="1">
      <c r="A757" s="256">
        <v>59895</v>
      </c>
      <c r="B757" s="257" t="s">
        <v>446</v>
      </c>
      <c r="C757" s="258" t="s">
        <v>458</v>
      </c>
    </row>
    <row r="758" spans="1:3" ht="13.5" thickBot="1">
      <c r="A758" s="259">
        <v>59902</v>
      </c>
      <c r="B758" s="260" t="s">
        <v>446</v>
      </c>
      <c r="C758" s="261" t="s">
        <v>444</v>
      </c>
    </row>
    <row r="759" spans="1:3" ht="13.5" thickBot="1">
      <c r="A759" s="262">
        <v>59950</v>
      </c>
      <c r="B759" s="263" t="s">
        <v>443</v>
      </c>
      <c r="C759" s="264" t="s">
        <v>445</v>
      </c>
    </row>
    <row r="760" spans="1:3" ht="13.5" thickBot="1">
      <c r="A760" s="262">
        <v>59951</v>
      </c>
      <c r="B760" s="263" t="s">
        <v>446</v>
      </c>
      <c r="C760" s="264" t="s">
        <v>445</v>
      </c>
    </row>
    <row r="761" spans="1:3" ht="13.5" thickBot="1">
      <c r="A761" s="262">
        <v>59996</v>
      </c>
      <c r="B761" s="263" t="s">
        <v>447</v>
      </c>
      <c r="C761" s="264" t="s">
        <v>448</v>
      </c>
    </row>
    <row r="762" spans="1:3" ht="13.5" thickBot="1">
      <c r="A762" s="262">
        <v>60013</v>
      </c>
      <c r="B762" s="263" t="s">
        <v>443</v>
      </c>
      <c r="C762" s="264" t="s">
        <v>450</v>
      </c>
    </row>
    <row r="763" spans="1:3" ht="13.5" thickBot="1">
      <c r="A763" s="262">
        <v>60023</v>
      </c>
      <c r="B763" s="263" t="s">
        <v>452</v>
      </c>
      <c r="C763" s="264" t="s">
        <v>451</v>
      </c>
    </row>
    <row r="764" spans="1:3" ht="13.5" thickBot="1">
      <c r="A764" s="262">
        <v>60058</v>
      </c>
      <c r="B764" s="263" t="s">
        <v>452</v>
      </c>
      <c r="C764" s="264" t="s">
        <v>453</v>
      </c>
    </row>
    <row r="765" spans="1:3" ht="13.5" thickBot="1">
      <c r="A765" s="262">
        <v>60152</v>
      </c>
      <c r="B765" s="263" t="s">
        <v>459</v>
      </c>
      <c r="C765" s="264" t="s">
        <v>454</v>
      </c>
    </row>
    <row r="766" spans="1:3" ht="14.25" thickBot="1">
      <c r="A766" s="262">
        <v>60187</v>
      </c>
      <c r="B766" s="263" t="s">
        <v>459</v>
      </c>
      <c r="C766" s="264" t="s">
        <v>455</v>
      </c>
    </row>
    <row r="767" spans="1:3" ht="13.5" thickBot="1">
      <c r="A767" s="262">
        <v>60208</v>
      </c>
      <c r="B767" s="263" t="s">
        <v>459</v>
      </c>
      <c r="C767" s="264" t="s">
        <v>456</v>
      </c>
    </row>
    <row r="768" spans="1:3" ht="13.5" thickBot="1">
      <c r="A768" s="262">
        <v>60221</v>
      </c>
      <c r="B768" s="263" t="s">
        <v>449</v>
      </c>
      <c r="C768" s="264" t="s">
        <v>457</v>
      </c>
    </row>
    <row r="769" spans="1:3" ht="13.5" thickBot="1">
      <c r="A769" s="262">
        <v>60261</v>
      </c>
      <c r="B769" s="263" t="s">
        <v>452</v>
      </c>
      <c r="C769" s="264" t="s">
        <v>458</v>
      </c>
    </row>
    <row r="770" spans="1:3" ht="13.5" thickBot="1">
      <c r="A770" s="265">
        <v>60268</v>
      </c>
      <c r="B770" s="266" t="s">
        <v>452</v>
      </c>
      <c r="C770" s="267" t="s">
        <v>444</v>
      </c>
    </row>
    <row r="771" spans="1:3" ht="13.5" thickBot="1">
      <c r="A771" s="256">
        <v>60307</v>
      </c>
      <c r="B771" s="257" t="s">
        <v>443</v>
      </c>
      <c r="C771" s="258" t="s">
        <v>445</v>
      </c>
    </row>
    <row r="772" spans="1:3" ht="13.5" thickBot="1">
      <c r="A772" s="256">
        <v>60308</v>
      </c>
      <c r="B772" s="257" t="s">
        <v>446</v>
      </c>
      <c r="C772" s="258" t="s">
        <v>445</v>
      </c>
    </row>
    <row r="773" spans="1:3" ht="13.5" thickBot="1">
      <c r="A773" s="256">
        <v>60353</v>
      </c>
      <c r="B773" s="257" t="s">
        <v>447</v>
      </c>
      <c r="C773" s="258" t="s">
        <v>448</v>
      </c>
    </row>
    <row r="774" spans="1:3" ht="13.5" thickBot="1">
      <c r="A774" s="256">
        <v>60378</v>
      </c>
      <c r="B774" s="257" t="s">
        <v>446</v>
      </c>
      <c r="C774" s="258" t="s">
        <v>450</v>
      </c>
    </row>
    <row r="775" spans="1:3" ht="13.5" thickBot="1">
      <c r="A775" s="256">
        <v>60388</v>
      </c>
      <c r="B775" s="257" t="s">
        <v>447</v>
      </c>
      <c r="C775" s="258" t="s">
        <v>451</v>
      </c>
    </row>
    <row r="776" spans="1:3" ht="13.5" thickBot="1">
      <c r="A776" s="256">
        <v>60415</v>
      </c>
      <c r="B776" s="257" t="s">
        <v>452</v>
      </c>
      <c r="C776" s="258" t="s">
        <v>453</v>
      </c>
    </row>
    <row r="777" spans="1:3" ht="13.5" thickBot="1">
      <c r="A777" s="256">
        <v>60517</v>
      </c>
      <c r="B777" s="257" t="s">
        <v>443</v>
      </c>
      <c r="C777" s="258" t="s">
        <v>454</v>
      </c>
    </row>
    <row r="778" spans="1:3" ht="14.25" thickBot="1">
      <c r="A778" s="256">
        <v>60552</v>
      </c>
      <c r="B778" s="257" t="s">
        <v>443</v>
      </c>
      <c r="C778" s="258" t="s">
        <v>455</v>
      </c>
    </row>
    <row r="779" spans="1:3" ht="13.5" thickBot="1">
      <c r="A779" s="256">
        <v>60573</v>
      </c>
      <c r="B779" s="257" t="s">
        <v>443</v>
      </c>
      <c r="C779" s="258" t="s">
        <v>456</v>
      </c>
    </row>
    <row r="780" spans="1:3" ht="13.5" thickBot="1">
      <c r="A780" s="256">
        <v>60586</v>
      </c>
      <c r="B780" s="257" t="s">
        <v>459</v>
      </c>
      <c r="C780" s="258" t="s">
        <v>457</v>
      </c>
    </row>
    <row r="781" spans="1:3" ht="13.5" thickBot="1">
      <c r="A781" s="256">
        <v>60626</v>
      </c>
      <c r="B781" s="257" t="s">
        <v>447</v>
      </c>
      <c r="C781" s="258" t="s">
        <v>458</v>
      </c>
    </row>
    <row r="782" spans="1:3" ht="13.5" thickBot="1">
      <c r="A782" s="259">
        <v>60633</v>
      </c>
      <c r="B782" s="260" t="s">
        <v>447</v>
      </c>
      <c r="C782" s="261" t="s">
        <v>444</v>
      </c>
    </row>
    <row r="783" spans="1:3" ht="13.5" thickBot="1">
      <c r="A783" s="262">
        <v>60685</v>
      </c>
      <c r="B783" s="263" t="s">
        <v>443</v>
      </c>
      <c r="C783" s="264" t="s">
        <v>445</v>
      </c>
    </row>
    <row r="784" spans="1:3" ht="13.5" thickBot="1">
      <c r="A784" s="262">
        <v>60686</v>
      </c>
      <c r="B784" s="263" t="s">
        <v>446</v>
      </c>
      <c r="C784" s="264" t="s">
        <v>445</v>
      </c>
    </row>
    <row r="785" spans="1:3" ht="13.5" thickBot="1">
      <c r="A785" s="262">
        <v>60731</v>
      </c>
      <c r="B785" s="263" t="s">
        <v>447</v>
      </c>
      <c r="C785" s="264" t="s">
        <v>448</v>
      </c>
    </row>
    <row r="786" spans="1:3" ht="13.5" thickBot="1">
      <c r="A786" s="262">
        <v>60743</v>
      </c>
      <c r="B786" s="263" t="s">
        <v>460</v>
      </c>
      <c r="C786" s="264" t="s">
        <v>450</v>
      </c>
    </row>
    <row r="787" spans="1:3" ht="13.5" thickBot="1">
      <c r="A787" s="262">
        <v>60753</v>
      </c>
      <c r="B787" s="263" t="s">
        <v>449</v>
      </c>
      <c r="C787" s="264" t="s">
        <v>451</v>
      </c>
    </row>
    <row r="788" spans="1:3" ht="13.5" thickBot="1">
      <c r="A788" s="262">
        <v>60793</v>
      </c>
      <c r="B788" s="263" t="s">
        <v>452</v>
      </c>
      <c r="C788" s="264" t="s">
        <v>453</v>
      </c>
    </row>
    <row r="789" spans="1:3" ht="13.5" thickBot="1">
      <c r="A789" s="262">
        <v>60882</v>
      </c>
      <c r="B789" s="263" t="s">
        <v>446</v>
      </c>
      <c r="C789" s="264" t="s">
        <v>454</v>
      </c>
    </row>
    <row r="790" spans="1:3" ht="14.25" thickBot="1">
      <c r="A790" s="262">
        <v>60917</v>
      </c>
      <c r="B790" s="263" t="s">
        <v>446</v>
      </c>
      <c r="C790" s="264" t="s">
        <v>455</v>
      </c>
    </row>
    <row r="791" spans="1:3" ht="13.5" thickBot="1">
      <c r="A791" s="262">
        <v>60938</v>
      </c>
      <c r="B791" s="263" t="s">
        <v>446</v>
      </c>
      <c r="C791" s="264" t="s">
        <v>456</v>
      </c>
    </row>
    <row r="792" spans="1:3" ht="13.5" thickBot="1">
      <c r="A792" s="262">
        <v>60951</v>
      </c>
      <c r="B792" s="263" t="s">
        <v>443</v>
      </c>
      <c r="C792" s="264" t="s">
        <v>457</v>
      </c>
    </row>
    <row r="793" spans="1:3" ht="13.5" thickBot="1">
      <c r="A793" s="262">
        <v>60991</v>
      </c>
      <c r="B793" s="263" t="s">
        <v>449</v>
      </c>
      <c r="C793" s="264" t="s">
        <v>458</v>
      </c>
    </row>
    <row r="794" spans="1:3" ht="13.5" thickBot="1">
      <c r="A794" s="265">
        <v>60998</v>
      </c>
      <c r="B794" s="266" t="s">
        <v>449</v>
      </c>
      <c r="C794" s="267" t="s">
        <v>444</v>
      </c>
    </row>
    <row r="795" spans="1:3" ht="13.5" thickBot="1">
      <c r="A795" s="256">
        <v>61042</v>
      </c>
      <c r="B795" s="257" t="s">
        <v>443</v>
      </c>
      <c r="C795" s="258" t="s">
        <v>445</v>
      </c>
    </row>
    <row r="796" spans="1:3" ht="13.5" thickBot="1">
      <c r="A796" s="256">
        <v>61043</v>
      </c>
      <c r="B796" s="257" t="s">
        <v>446</v>
      </c>
      <c r="C796" s="258" t="s">
        <v>445</v>
      </c>
    </row>
    <row r="797" spans="1:3" ht="13.5" thickBot="1">
      <c r="A797" s="256">
        <v>61088</v>
      </c>
      <c r="B797" s="257" t="s">
        <v>447</v>
      </c>
      <c r="C797" s="258" t="s">
        <v>448</v>
      </c>
    </row>
    <row r="798" spans="1:3" ht="13.5" thickBot="1">
      <c r="A798" s="256">
        <v>61108</v>
      </c>
      <c r="B798" s="257" t="s">
        <v>452</v>
      </c>
      <c r="C798" s="258" t="s">
        <v>450</v>
      </c>
    </row>
    <row r="799" spans="1:3" ht="13.5" thickBot="1">
      <c r="A799" s="256">
        <v>61118</v>
      </c>
      <c r="B799" s="257" t="s">
        <v>459</v>
      </c>
      <c r="C799" s="258" t="s">
        <v>451</v>
      </c>
    </row>
    <row r="800" spans="1:3" ht="13.5" thickBot="1">
      <c r="A800" s="256">
        <v>61150</v>
      </c>
      <c r="B800" s="257" t="s">
        <v>452</v>
      </c>
      <c r="C800" s="258" t="s">
        <v>453</v>
      </c>
    </row>
    <row r="801" spans="1:3" ht="13.5" thickBot="1">
      <c r="A801" s="256">
        <v>61247</v>
      </c>
      <c r="B801" s="257" t="s">
        <v>460</v>
      </c>
      <c r="C801" s="258" t="s">
        <v>454</v>
      </c>
    </row>
    <row r="802" spans="1:3" ht="14.25" thickBot="1">
      <c r="A802" s="256">
        <v>61282</v>
      </c>
      <c r="B802" s="257" t="s">
        <v>460</v>
      </c>
      <c r="C802" s="258" t="s">
        <v>455</v>
      </c>
    </row>
    <row r="803" spans="1:3" ht="13.5" thickBot="1">
      <c r="A803" s="256">
        <v>61303</v>
      </c>
      <c r="B803" s="257" t="s">
        <v>460</v>
      </c>
      <c r="C803" s="258" t="s">
        <v>456</v>
      </c>
    </row>
    <row r="804" spans="1:3" ht="13.5" thickBot="1">
      <c r="A804" s="256">
        <v>61316</v>
      </c>
      <c r="B804" s="257" t="s">
        <v>446</v>
      </c>
      <c r="C804" s="258" t="s">
        <v>457</v>
      </c>
    </row>
    <row r="805" spans="1:3" ht="13.5" thickBot="1">
      <c r="A805" s="256">
        <v>61356</v>
      </c>
      <c r="B805" s="257" t="s">
        <v>459</v>
      </c>
      <c r="C805" s="258" t="s">
        <v>458</v>
      </c>
    </row>
    <row r="806" spans="1:3" ht="13.5" thickBot="1">
      <c r="A806" s="259">
        <v>61363</v>
      </c>
      <c r="B806" s="260" t="s">
        <v>459</v>
      </c>
      <c r="C806" s="261" t="s">
        <v>444</v>
      </c>
    </row>
    <row r="807" spans="1:3" ht="13.5" thickBot="1">
      <c r="A807" s="262">
        <v>61427</v>
      </c>
      <c r="B807" s="263" t="s">
        <v>443</v>
      </c>
      <c r="C807" s="264" t="s">
        <v>445</v>
      </c>
    </row>
    <row r="808" spans="1:3" ht="13.5" thickBot="1">
      <c r="A808" s="262">
        <v>61428</v>
      </c>
      <c r="B808" s="263" t="s">
        <v>446</v>
      </c>
      <c r="C808" s="264" t="s">
        <v>445</v>
      </c>
    </row>
    <row r="809" spans="1:3" ht="13.5" thickBot="1">
      <c r="A809" s="262">
        <v>61473</v>
      </c>
      <c r="B809" s="263" t="s">
        <v>447</v>
      </c>
      <c r="C809" s="264" t="s">
        <v>448</v>
      </c>
    </row>
    <row r="810" spans="1:3" ht="13.5" thickBot="1">
      <c r="A810" s="262">
        <v>61474</v>
      </c>
      <c r="B810" s="263" t="s">
        <v>449</v>
      </c>
      <c r="C810" s="264" t="s">
        <v>450</v>
      </c>
    </row>
    <row r="811" spans="1:3" ht="13.5" thickBot="1">
      <c r="A811" s="262">
        <v>61484</v>
      </c>
      <c r="B811" s="263" t="s">
        <v>446</v>
      </c>
      <c r="C811" s="264" t="s">
        <v>451</v>
      </c>
    </row>
    <row r="812" spans="1:3" ht="13.5" thickBot="1">
      <c r="A812" s="262">
        <v>61535</v>
      </c>
      <c r="B812" s="263" t="s">
        <v>452</v>
      </c>
      <c r="C812" s="264" t="s">
        <v>453</v>
      </c>
    </row>
    <row r="813" spans="1:3" ht="13.5" thickBot="1">
      <c r="A813" s="262">
        <v>61613</v>
      </c>
      <c r="B813" s="263" t="s">
        <v>447</v>
      </c>
      <c r="C813" s="264" t="s">
        <v>454</v>
      </c>
    </row>
    <row r="814" spans="1:3" ht="14.25" thickBot="1">
      <c r="A814" s="262">
        <v>61648</v>
      </c>
      <c r="B814" s="263" t="s">
        <v>447</v>
      </c>
      <c r="C814" s="264" t="s">
        <v>455</v>
      </c>
    </row>
    <row r="815" spans="1:3" ht="13.5" thickBot="1">
      <c r="A815" s="262">
        <v>61669</v>
      </c>
      <c r="B815" s="263" t="s">
        <v>447</v>
      </c>
      <c r="C815" s="264" t="s">
        <v>456</v>
      </c>
    </row>
    <row r="816" spans="1:3" ht="13.5" thickBot="1">
      <c r="A816" s="262">
        <v>61682</v>
      </c>
      <c r="B816" s="263" t="s">
        <v>452</v>
      </c>
      <c r="C816" s="264" t="s">
        <v>457</v>
      </c>
    </row>
    <row r="817" spans="1:3" ht="13.5" thickBot="1">
      <c r="A817" s="262">
        <v>61722</v>
      </c>
      <c r="B817" s="263" t="s">
        <v>446</v>
      </c>
      <c r="C817" s="264" t="s">
        <v>458</v>
      </c>
    </row>
    <row r="818" spans="1:3" ht="13.5" thickBot="1">
      <c r="A818" s="265">
        <v>61729</v>
      </c>
      <c r="B818" s="266" t="s">
        <v>446</v>
      </c>
      <c r="C818" s="267" t="s">
        <v>444</v>
      </c>
    </row>
    <row r="819" spans="1:3" ht="13.5" thickBot="1">
      <c r="A819" s="256">
        <v>61784</v>
      </c>
      <c r="B819" s="257" t="s">
        <v>443</v>
      </c>
      <c r="C819" s="258" t="s">
        <v>445</v>
      </c>
    </row>
    <row r="820" spans="1:3" ht="13.5" thickBot="1">
      <c r="A820" s="256">
        <v>61785</v>
      </c>
      <c r="B820" s="257" t="s">
        <v>446</v>
      </c>
      <c r="C820" s="258" t="s">
        <v>445</v>
      </c>
    </row>
    <row r="821" spans="1:3" ht="13.5" thickBot="1">
      <c r="A821" s="256">
        <v>61830</v>
      </c>
      <c r="B821" s="257" t="s">
        <v>447</v>
      </c>
      <c r="C821" s="258" t="s">
        <v>448</v>
      </c>
    </row>
    <row r="822" spans="1:3" ht="13.5" thickBot="1">
      <c r="A822" s="256">
        <v>61839</v>
      </c>
      <c r="B822" s="257" t="s">
        <v>459</v>
      </c>
      <c r="C822" s="258" t="s">
        <v>450</v>
      </c>
    </row>
    <row r="823" spans="1:3" ht="13.5" thickBot="1">
      <c r="A823" s="256">
        <v>61849</v>
      </c>
      <c r="B823" s="257" t="s">
        <v>460</v>
      </c>
      <c r="C823" s="258" t="s">
        <v>451</v>
      </c>
    </row>
    <row r="824" spans="1:3" ht="13.5" thickBot="1">
      <c r="A824" s="256">
        <v>61892</v>
      </c>
      <c r="B824" s="257" t="s">
        <v>452</v>
      </c>
      <c r="C824" s="258" t="s">
        <v>453</v>
      </c>
    </row>
    <row r="825" spans="1:3" ht="13.5" thickBot="1">
      <c r="A825" s="256">
        <v>61978</v>
      </c>
      <c r="B825" s="257" t="s">
        <v>449</v>
      </c>
      <c r="C825" s="258" t="s">
        <v>454</v>
      </c>
    </row>
    <row r="826" spans="1:3" ht="14.25" thickBot="1">
      <c r="A826" s="256">
        <v>62013</v>
      </c>
      <c r="B826" s="257" t="s">
        <v>449</v>
      </c>
      <c r="C826" s="258" t="s">
        <v>455</v>
      </c>
    </row>
    <row r="827" spans="1:3" ht="13.5" thickBot="1">
      <c r="A827" s="256">
        <v>62034</v>
      </c>
      <c r="B827" s="257" t="s">
        <v>449</v>
      </c>
      <c r="C827" s="258" t="s">
        <v>456</v>
      </c>
    </row>
    <row r="828" spans="1:3" ht="13.5" thickBot="1">
      <c r="A828" s="256">
        <v>62047</v>
      </c>
      <c r="B828" s="257" t="s">
        <v>447</v>
      </c>
      <c r="C828" s="258" t="s">
        <v>457</v>
      </c>
    </row>
    <row r="829" spans="1:3" ht="13.5" thickBot="1">
      <c r="A829" s="256">
        <v>62087</v>
      </c>
      <c r="B829" s="257" t="s">
        <v>460</v>
      </c>
      <c r="C829" s="258" t="s">
        <v>458</v>
      </c>
    </row>
    <row r="830" spans="1:3" ht="13.5" thickBot="1">
      <c r="A830" s="259">
        <v>62094</v>
      </c>
      <c r="B830" s="260" t="s">
        <v>460</v>
      </c>
      <c r="C830" s="261" t="s">
        <v>444</v>
      </c>
    </row>
    <row r="831" spans="1:3" ht="13.5" thickBot="1">
      <c r="A831" s="262">
        <v>62134</v>
      </c>
      <c r="B831" s="263" t="s">
        <v>443</v>
      </c>
      <c r="C831" s="264" t="s">
        <v>445</v>
      </c>
    </row>
    <row r="832" spans="1:3" ht="13.5" thickBot="1">
      <c r="A832" s="262">
        <v>62135</v>
      </c>
      <c r="B832" s="263" t="s">
        <v>446</v>
      </c>
      <c r="C832" s="264" t="s">
        <v>445</v>
      </c>
    </row>
    <row r="833" spans="1:3" ht="13.5" thickBot="1">
      <c r="A833" s="262">
        <v>62180</v>
      </c>
      <c r="B833" s="263" t="s">
        <v>447</v>
      </c>
      <c r="C833" s="264" t="s">
        <v>448</v>
      </c>
    </row>
    <row r="834" spans="1:3" ht="13.5" thickBot="1">
      <c r="A834" s="262">
        <v>62204</v>
      </c>
      <c r="B834" s="263" t="s">
        <v>443</v>
      </c>
      <c r="C834" s="264" t="s">
        <v>450</v>
      </c>
    </row>
    <row r="835" spans="1:3" ht="13.5" thickBot="1">
      <c r="A835" s="262">
        <v>62214</v>
      </c>
      <c r="B835" s="263" t="s">
        <v>452</v>
      </c>
      <c r="C835" s="264" t="s">
        <v>451</v>
      </c>
    </row>
    <row r="836" spans="1:3" ht="13.5" thickBot="1">
      <c r="A836" s="262">
        <v>62242</v>
      </c>
      <c r="B836" s="263" t="s">
        <v>452</v>
      </c>
      <c r="C836" s="264" t="s">
        <v>453</v>
      </c>
    </row>
    <row r="837" spans="1:3" ht="13.5" thickBot="1">
      <c r="A837" s="262">
        <v>62343</v>
      </c>
      <c r="B837" s="263" t="s">
        <v>459</v>
      </c>
      <c r="C837" s="264" t="s">
        <v>454</v>
      </c>
    </row>
    <row r="838" spans="1:3" ht="14.25" thickBot="1">
      <c r="A838" s="262">
        <v>62378</v>
      </c>
      <c r="B838" s="263" t="s">
        <v>459</v>
      </c>
      <c r="C838" s="264" t="s">
        <v>455</v>
      </c>
    </row>
    <row r="839" spans="1:3" ht="13.5" thickBot="1">
      <c r="A839" s="262">
        <v>62399</v>
      </c>
      <c r="B839" s="263" t="s">
        <v>459</v>
      </c>
      <c r="C839" s="264" t="s">
        <v>456</v>
      </c>
    </row>
    <row r="840" spans="1:3" ht="13.5" thickBot="1">
      <c r="A840" s="262">
        <v>62412</v>
      </c>
      <c r="B840" s="263" t="s">
        <v>449</v>
      </c>
      <c r="C840" s="264" t="s">
        <v>457</v>
      </c>
    </row>
    <row r="841" spans="1:3" ht="13.5" thickBot="1">
      <c r="A841" s="262">
        <v>62452</v>
      </c>
      <c r="B841" s="263" t="s">
        <v>452</v>
      </c>
      <c r="C841" s="264" t="s">
        <v>458</v>
      </c>
    </row>
    <row r="842" spans="1:3" ht="13.5" thickBot="1">
      <c r="A842" s="265">
        <v>62459</v>
      </c>
      <c r="B842" s="266" t="s">
        <v>452</v>
      </c>
      <c r="C842" s="267" t="s">
        <v>444</v>
      </c>
    </row>
    <row r="843" spans="1:3" ht="13.5" thickBot="1">
      <c r="A843" s="256">
        <v>62519</v>
      </c>
      <c r="B843" s="257" t="s">
        <v>443</v>
      </c>
      <c r="C843" s="258" t="s">
        <v>445</v>
      </c>
    </row>
    <row r="844" spans="1:3" ht="13.5" thickBot="1">
      <c r="A844" s="256">
        <v>62520</v>
      </c>
      <c r="B844" s="257" t="s">
        <v>446</v>
      </c>
      <c r="C844" s="258" t="s">
        <v>445</v>
      </c>
    </row>
    <row r="845" spans="1:3" ht="13.5" thickBot="1">
      <c r="A845" s="256">
        <v>62565</v>
      </c>
      <c r="B845" s="257" t="s">
        <v>447</v>
      </c>
      <c r="C845" s="258" t="s">
        <v>448</v>
      </c>
    </row>
    <row r="846" spans="1:3" ht="13.5" thickBot="1">
      <c r="A846" s="256">
        <v>62569</v>
      </c>
      <c r="B846" s="257" t="s">
        <v>446</v>
      </c>
      <c r="C846" s="258" t="s">
        <v>450</v>
      </c>
    </row>
    <row r="847" spans="1:3" ht="13.5" thickBot="1">
      <c r="A847" s="256">
        <v>62579</v>
      </c>
      <c r="B847" s="257" t="s">
        <v>447</v>
      </c>
      <c r="C847" s="258" t="s">
        <v>451</v>
      </c>
    </row>
    <row r="848" spans="1:3" ht="13.5" thickBot="1">
      <c r="A848" s="256">
        <v>62627</v>
      </c>
      <c r="B848" s="257" t="s">
        <v>452</v>
      </c>
      <c r="C848" s="258" t="s">
        <v>453</v>
      </c>
    </row>
    <row r="849" spans="1:3" ht="13.5" thickBot="1">
      <c r="A849" s="256">
        <v>62708</v>
      </c>
      <c r="B849" s="257" t="s">
        <v>443</v>
      </c>
      <c r="C849" s="258" t="s">
        <v>454</v>
      </c>
    </row>
    <row r="850" spans="1:3" ht="14.25" thickBot="1">
      <c r="A850" s="256">
        <v>62743</v>
      </c>
      <c r="B850" s="257" t="s">
        <v>443</v>
      </c>
      <c r="C850" s="258" t="s">
        <v>455</v>
      </c>
    </row>
    <row r="851" spans="1:3" ht="13.5" thickBot="1">
      <c r="A851" s="256">
        <v>62764</v>
      </c>
      <c r="B851" s="257" t="s">
        <v>443</v>
      </c>
      <c r="C851" s="258" t="s">
        <v>456</v>
      </c>
    </row>
    <row r="852" spans="1:3" ht="13.5" thickBot="1">
      <c r="A852" s="256">
        <v>62777</v>
      </c>
      <c r="B852" s="257" t="s">
        <v>459</v>
      </c>
      <c r="C852" s="258" t="s">
        <v>457</v>
      </c>
    </row>
    <row r="853" spans="1:3" ht="13.5" thickBot="1">
      <c r="A853" s="256">
        <v>62817</v>
      </c>
      <c r="B853" s="257" t="s">
        <v>447</v>
      </c>
      <c r="C853" s="258" t="s">
        <v>458</v>
      </c>
    </row>
    <row r="854" spans="1:3" ht="13.5" thickBot="1">
      <c r="A854" s="259">
        <v>62824</v>
      </c>
      <c r="B854" s="260" t="s">
        <v>447</v>
      </c>
      <c r="C854" s="261" t="s">
        <v>444</v>
      </c>
    </row>
    <row r="855" spans="1:3" ht="13.5" thickBot="1">
      <c r="A855" s="262">
        <v>62876</v>
      </c>
      <c r="B855" s="263" t="s">
        <v>443</v>
      </c>
      <c r="C855" s="264" t="s">
        <v>445</v>
      </c>
    </row>
    <row r="856" spans="1:3" ht="13.5" thickBot="1">
      <c r="A856" s="262">
        <v>62877</v>
      </c>
      <c r="B856" s="263" t="s">
        <v>446</v>
      </c>
      <c r="C856" s="264" t="s">
        <v>445</v>
      </c>
    </row>
    <row r="857" spans="1:3" ht="13.5" thickBot="1">
      <c r="A857" s="262">
        <v>62922</v>
      </c>
      <c r="B857" s="263" t="s">
        <v>447</v>
      </c>
      <c r="C857" s="264" t="s">
        <v>448</v>
      </c>
    </row>
    <row r="858" spans="1:3" ht="13.5" thickBot="1">
      <c r="A858" s="262">
        <v>62935</v>
      </c>
      <c r="B858" s="263" t="s">
        <v>452</v>
      </c>
      <c r="C858" s="264" t="s">
        <v>450</v>
      </c>
    </row>
    <row r="859" spans="1:3" ht="13.5" thickBot="1">
      <c r="A859" s="262">
        <v>62945</v>
      </c>
      <c r="B859" s="263" t="s">
        <v>459</v>
      </c>
      <c r="C859" s="264" t="s">
        <v>451</v>
      </c>
    </row>
    <row r="860" spans="1:3" ht="13.5" thickBot="1">
      <c r="A860" s="262">
        <v>62984</v>
      </c>
      <c r="B860" s="263" t="s">
        <v>452</v>
      </c>
      <c r="C860" s="264" t="s">
        <v>453</v>
      </c>
    </row>
    <row r="861" spans="1:3" ht="13.5" thickBot="1">
      <c r="A861" s="262">
        <v>63074</v>
      </c>
      <c r="B861" s="263" t="s">
        <v>460</v>
      </c>
      <c r="C861" s="264" t="s">
        <v>454</v>
      </c>
    </row>
    <row r="862" spans="1:3" ht="14.25" thickBot="1">
      <c r="A862" s="262">
        <v>63109</v>
      </c>
      <c r="B862" s="263" t="s">
        <v>460</v>
      </c>
      <c r="C862" s="264" t="s">
        <v>455</v>
      </c>
    </row>
    <row r="863" spans="1:3" ht="13.5" thickBot="1">
      <c r="A863" s="262">
        <v>63130</v>
      </c>
      <c r="B863" s="263" t="s">
        <v>460</v>
      </c>
      <c r="C863" s="264" t="s">
        <v>456</v>
      </c>
    </row>
    <row r="864" spans="1:3" ht="13.5" thickBot="1">
      <c r="A864" s="262">
        <v>63143</v>
      </c>
      <c r="B864" s="263" t="s">
        <v>446</v>
      </c>
      <c r="C864" s="264" t="s">
        <v>457</v>
      </c>
    </row>
    <row r="865" spans="1:3" ht="13.5" thickBot="1">
      <c r="A865" s="262">
        <v>63183</v>
      </c>
      <c r="B865" s="263" t="s">
        <v>459</v>
      </c>
      <c r="C865" s="264" t="s">
        <v>458</v>
      </c>
    </row>
    <row r="866" spans="1:3" ht="13.5" thickBot="1">
      <c r="A866" s="265">
        <v>63190</v>
      </c>
      <c r="B866" s="266" t="s">
        <v>459</v>
      </c>
      <c r="C866" s="267" t="s">
        <v>444</v>
      </c>
    </row>
    <row r="867" spans="1:3" ht="13.5" thickBot="1">
      <c r="A867" s="256">
        <v>63226</v>
      </c>
      <c r="B867" s="257" t="s">
        <v>443</v>
      </c>
      <c r="C867" s="258" t="s">
        <v>445</v>
      </c>
    </row>
    <row r="868" spans="1:3" ht="13.5" thickBot="1">
      <c r="A868" s="256">
        <v>63227</v>
      </c>
      <c r="B868" s="257" t="s">
        <v>446</v>
      </c>
      <c r="C868" s="258" t="s">
        <v>445</v>
      </c>
    </row>
    <row r="869" spans="1:3" ht="13.5" thickBot="1">
      <c r="A869" s="256">
        <v>63272</v>
      </c>
      <c r="B869" s="257" t="s">
        <v>447</v>
      </c>
      <c r="C869" s="258" t="s">
        <v>448</v>
      </c>
    </row>
    <row r="870" spans="1:3" ht="13.5" thickBot="1">
      <c r="A870" s="256">
        <v>63300</v>
      </c>
      <c r="B870" s="257" t="s">
        <v>447</v>
      </c>
      <c r="C870" s="258" t="s">
        <v>450</v>
      </c>
    </row>
    <row r="871" spans="1:3" ht="13.5" thickBot="1">
      <c r="A871" s="256">
        <v>63310</v>
      </c>
      <c r="B871" s="257" t="s">
        <v>443</v>
      </c>
      <c r="C871" s="258" t="s">
        <v>451</v>
      </c>
    </row>
    <row r="872" spans="1:3" ht="13.5" thickBot="1">
      <c r="A872" s="256">
        <v>63334</v>
      </c>
      <c r="B872" s="257" t="s">
        <v>452</v>
      </c>
      <c r="C872" s="258" t="s">
        <v>453</v>
      </c>
    </row>
    <row r="873" spans="1:3" ht="13.5" thickBot="1">
      <c r="A873" s="256">
        <v>63439</v>
      </c>
      <c r="B873" s="257" t="s">
        <v>452</v>
      </c>
      <c r="C873" s="258" t="s">
        <v>454</v>
      </c>
    </row>
    <row r="874" spans="1:3" ht="14.25" thickBot="1">
      <c r="A874" s="256">
        <v>63474</v>
      </c>
      <c r="B874" s="257" t="s">
        <v>452</v>
      </c>
      <c r="C874" s="258" t="s">
        <v>455</v>
      </c>
    </row>
    <row r="875" spans="1:3" ht="13.5" thickBot="1">
      <c r="A875" s="256">
        <v>63495</v>
      </c>
      <c r="B875" s="257" t="s">
        <v>452</v>
      </c>
      <c r="C875" s="258" t="s">
        <v>456</v>
      </c>
    </row>
    <row r="876" spans="1:3" ht="13.5" thickBot="1">
      <c r="A876" s="256">
        <v>63508</v>
      </c>
      <c r="B876" s="257" t="s">
        <v>460</v>
      </c>
      <c r="C876" s="258" t="s">
        <v>457</v>
      </c>
    </row>
    <row r="877" spans="1:3" ht="13.5" thickBot="1">
      <c r="A877" s="256">
        <v>63548</v>
      </c>
      <c r="B877" s="257" t="s">
        <v>443</v>
      </c>
      <c r="C877" s="258" t="s">
        <v>458</v>
      </c>
    </row>
    <row r="878" spans="1:3" ht="13.5" thickBot="1">
      <c r="A878" s="259">
        <v>63555</v>
      </c>
      <c r="B878" s="260" t="s">
        <v>443</v>
      </c>
      <c r="C878" s="261" t="s">
        <v>444</v>
      </c>
    </row>
    <row r="879" spans="1:3" ht="13.5" thickBot="1">
      <c r="A879" s="262">
        <v>63611</v>
      </c>
      <c r="B879" s="263" t="s">
        <v>443</v>
      </c>
      <c r="C879" s="264" t="s">
        <v>445</v>
      </c>
    </row>
    <row r="880" spans="1:3" ht="13.5" thickBot="1">
      <c r="A880" s="262">
        <v>63612</v>
      </c>
      <c r="B880" s="263" t="s">
        <v>446</v>
      </c>
      <c r="C880" s="264" t="s">
        <v>445</v>
      </c>
    </row>
    <row r="881" spans="1:3" ht="13.5" thickBot="1">
      <c r="A881" s="262">
        <v>63657</v>
      </c>
      <c r="B881" s="263" t="s">
        <v>447</v>
      </c>
      <c r="C881" s="264" t="s">
        <v>448</v>
      </c>
    </row>
    <row r="882" spans="1:3" ht="13.5" thickBot="1">
      <c r="A882" s="262">
        <v>63665</v>
      </c>
      <c r="B882" s="263" t="s">
        <v>449</v>
      </c>
      <c r="C882" s="264" t="s">
        <v>450</v>
      </c>
    </row>
    <row r="883" spans="1:3" ht="13.5" thickBot="1">
      <c r="A883" s="262">
        <v>63675</v>
      </c>
      <c r="B883" s="263" t="s">
        <v>446</v>
      </c>
      <c r="C883" s="264" t="s">
        <v>451</v>
      </c>
    </row>
    <row r="884" spans="1:3" ht="13.5" thickBot="1">
      <c r="A884" s="262">
        <v>63719</v>
      </c>
      <c r="B884" s="263" t="s">
        <v>452</v>
      </c>
      <c r="C884" s="264" t="s">
        <v>453</v>
      </c>
    </row>
    <row r="885" spans="1:3" ht="13.5" thickBot="1">
      <c r="A885" s="262">
        <v>63804</v>
      </c>
      <c r="B885" s="263" t="s">
        <v>447</v>
      </c>
      <c r="C885" s="264" t="s">
        <v>454</v>
      </c>
    </row>
    <row r="886" spans="1:3" ht="14.25" thickBot="1">
      <c r="A886" s="262">
        <v>63839</v>
      </c>
      <c r="B886" s="263" t="s">
        <v>447</v>
      </c>
      <c r="C886" s="264" t="s">
        <v>455</v>
      </c>
    </row>
    <row r="887" spans="1:3" ht="13.5" thickBot="1">
      <c r="A887" s="262">
        <v>63860</v>
      </c>
      <c r="B887" s="263" t="s">
        <v>447</v>
      </c>
      <c r="C887" s="264" t="s">
        <v>456</v>
      </c>
    </row>
    <row r="888" spans="1:3" ht="13.5" thickBot="1">
      <c r="A888" s="262">
        <v>63873</v>
      </c>
      <c r="B888" s="263" t="s">
        <v>452</v>
      </c>
      <c r="C888" s="264" t="s">
        <v>457</v>
      </c>
    </row>
    <row r="889" spans="1:3" ht="13.5" thickBot="1">
      <c r="A889" s="262">
        <v>63913</v>
      </c>
      <c r="B889" s="263" t="s">
        <v>446</v>
      </c>
      <c r="C889" s="264" t="s">
        <v>458</v>
      </c>
    </row>
    <row r="890" spans="1:3" ht="13.5" thickBot="1">
      <c r="A890" s="265">
        <v>63920</v>
      </c>
      <c r="B890" s="266" t="s">
        <v>446</v>
      </c>
      <c r="C890" s="267" t="s">
        <v>444</v>
      </c>
    </row>
    <row r="891" spans="1:3" ht="13.5" thickBot="1">
      <c r="A891" s="256">
        <v>63968</v>
      </c>
      <c r="B891" s="257" t="s">
        <v>443</v>
      </c>
      <c r="C891" s="258" t="s">
        <v>445</v>
      </c>
    </row>
    <row r="892" spans="1:3" ht="13.5" thickBot="1">
      <c r="A892" s="256">
        <v>63969</v>
      </c>
      <c r="B892" s="257" t="s">
        <v>446</v>
      </c>
      <c r="C892" s="258" t="s">
        <v>445</v>
      </c>
    </row>
    <row r="893" spans="1:3" ht="13.5" thickBot="1">
      <c r="A893" s="256">
        <v>64014</v>
      </c>
      <c r="B893" s="257" t="s">
        <v>447</v>
      </c>
      <c r="C893" s="258" t="s">
        <v>448</v>
      </c>
    </row>
    <row r="894" spans="1:3" ht="13.5" thickBot="1">
      <c r="A894" s="256">
        <v>64030</v>
      </c>
      <c r="B894" s="257" t="s">
        <v>459</v>
      </c>
      <c r="C894" s="258" t="s">
        <v>450</v>
      </c>
    </row>
    <row r="895" spans="1:3" ht="13.5" thickBot="1">
      <c r="A895" s="256">
        <v>64040</v>
      </c>
      <c r="B895" s="257" t="s">
        <v>460</v>
      </c>
      <c r="C895" s="258" t="s">
        <v>451</v>
      </c>
    </row>
    <row r="896" spans="1:3" ht="13.5" thickBot="1">
      <c r="A896" s="256">
        <v>64076</v>
      </c>
      <c r="B896" s="257" t="s">
        <v>452</v>
      </c>
      <c r="C896" s="258" t="s">
        <v>453</v>
      </c>
    </row>
    <row r="897" spans="1:3" ht="13.5" thickBot="1">
      <c r="A897" s="256">
        <v>64169</v>
      </c>
      <c r="B897" s="257" t="s">
        <v>449</v>
      </c>
      <c r="C897" s="258" t="s">
        <v>454</v>
      </c>
    </row>
    <row r="898" spans="1:3" ht="14.25" thickBot="1">
      <c r="A898" s="256">
        <v>64204</v>
      </c>
      <c r="B898" s="257" t="s">
        <v>449</v>
      </c>
      <c r="C898" s="258" t="s">
        <v>455</v>
      </c>
    </row>
    <row r="899" spans="1:3" ht="13.5" thickBot="1">
      <c r="A899" s="256">
        <v>64225</v>
      </c>
      <c r="B899" s="257" t="s">
        <v>449</v>
      </c>
      <c r="C899" s="258" t="s">
        <v>456</v>
      </c>
    </row>
    <row r="900" spans="1:3" ht="13.5" thickBot="1">
      <c r="A900" s="256">
        <v>64238</v>
      </c>
      <c r="B900" s="257" t="s">
        <v>447</v>
      </c>
      <c r="C900" s="258" t="s">
        <v>457</v>
      </c>
    </row>
    <row r="901" spans="1:3" ht="13.5" thickBot="1">
      <c r="A901" s="256">
        <v>64278</v>
      </c>
      <c r="B901" s="257" t="s">
        <v>460</v>
      </c>
      <c r="C901" s="258" t="s">
        <v>458</v>
      </c>
    </row>
    <row r="902" spans="1:3" ht="13.5" thickBot="1">
      <c r="A902" s="259">
        <v>64285</v>
      </c>
      <c r="B902" s="260" t="s">
        <v>460</v>
      </c>
      <c r="C902" s="261" t="s">
        <v>444</v>
      </c>
    </row>
    <row r="903" spans="1:3" ht="13.5" thickBot="1">
      <c r="A903" s="262">
        <v>64346</v>
      </c>
      <c r="B903" s="263" t="s">
        <v>443</v>
      </c>
      <c r="C903" s="264" t="s">
        <v>445</v>
      </c>
    </row>
    <row r="904" spans="1:3" ht="13.5" thickBot="1">
      <c r="A904" s="262">
        <v>64347</v>
      </c>
      <c r="B904" s="263" t="s">
        <v>446</v>
      </c>
      <c r="C904" s="264" t="s">
        <v>445</v>
      </c>
    </row>
    <row r="905" spans="1:3" ht="13.5" thickBot="1">
      <c r="A905" s="262">
        <v>64392</v>
      </c>
      <c r="B905" s="263" t="s">
        <v>447</v>
      </c>
      <c r="C905" s="264" t="s">
        <v>448</v>
      </c>
    </row>
    <row r="906" spans="1:3" ht="13.5" thickBot="1">
      <c r="A906" s="262">
        <v>64396</v>
      </c>
      <c r="B906" s="263" t="s">
        <v>446</v>
      </c>
      <c r="C906" s="264" t="s">
        <v>450</v>
      </c>
    </row>
    <row r="907" spans="1:3" ht="13.5" thickBot="1">
      <c r="A907" s="262">
        <v>64406</v>
      </c>
      <c r="B907" s="263" t="s">
        <v>447</v>
      </c>
      <c r="C907" s="264" t="s">
        <v>451</v>
      </c>
    </row>
    <row r="908" spans="1:3" ht="13.5" thickBot="1">
      <c r="A908" s="262">
        <v>64454</v>
      </c>
      <c r="B908" s="263" t="s">
        <v>452</v>
      </c>
      <c r="C908" s="264" t="s">
        <v>453</v>
      </c>
    </row>
    <row r="909" spans="1:3" ht="13.5" thickBot="1">
      <c r="A909" s="262">
        <v>64535</v>
      </c>
      <c r="B909" s="263" t="s">
        <v>443</v>
      </c>
      <c r="C909" s="264" t="s">
        <v>454</v>
      </c>
    </row>
    <row r="910" spans="1:3" ht="14.25" thickBot="1">
      <c r="A910" s="262">
        <v>64570</v>
      </c>
      <c r="B910" s="263" t="s">
        <v>443</v>
      </c>
      <c r="C910" s="264" t="s">
        <v>455</v>
      </c>
    </row>
    <row r="911" spans="1:3" ht="13.5" thickBot="1">
      <c r="A911" s="262">
        <v>64591</v>
      </c>
      <c r="B911" s="263" t="s">
        <v>443</v>
      </c>
      <c r="C911" s="264" t="s">
        <v>456</v>
      </c>
    </row>
    <row r="912" spans="1:3" ht="13.5" thickBot="1">
      <c r="A912" s="262">
        <v>64604</v>
      </c>
      <c r="B912" s="263" t="s">
        <v>459</v>
      </c>
      <c r="C912" s="264" t="s">
        <v>457</v>
      </c>
    </row>
    <row r="913" spans="1:3" ht="13.5" thickBot="1">
      <c r="A913" s="262">
        <v>64644</v>
      </c>
      <c r="B913" s="263" t="s">
        <v>447</v>
      </c>
      <c r="C913" s="264" t="s">
        <v>458</v>
      </c>
    </row>
    <row r="914" spans="1:3" ht="13.5" thickBot="1">
      <c r="A914" s="265">
        <v>64651</v>
      </c>
      <c r="B914" s="266" t="s">
        <v>447</v>
      </c>
      <c r="C914" s="267" t="s">
        <v>444</v>
      </c>
    </row>
    <row r="915" spans="1:3" ht="13.5" thickBot="1">
      <c r="A915" s="256">
        <v>64703</v>
      </c>
      <c r="B915" s="257" t="s">
        <v>443</v>
      </c>
      <c r="C915" s="258" t="s">
        <v>445</v>
      </c>
    </row>
    <row r="916" spans="1:3" ht="13.5" thickBot="1">
      <c r="A916" s="256">
        <v>64704</v>
      </c>
      <c r="B916" s="257" t="s">
        <v>446</v>
      </c>
      <c r="C916" s="258" t="s">
        <v>445</v>
      </c>
    </row>
    <row r="917" spans="1:3" ht="13.5" thickBot="1">
      <c r="A917" s="256">
        <v>64749</v>
      </c>
      <c r="B917" s="257" t="s">
        <v>447</v>
      </c>
      <c r="C917" s="258" t="s">
        <v>448</v>
      </c>
    </row>
    <row r="918" spans="1:3" ht="13.5" thickBot="1">
      <c r="A918" s="256">
        <v>64761</v>
      </c>
      <c r="B918" s="257" t="s">
        <v>460</v>
      </c>
      <c r="C918" s="258" t="s">
        <v>450</v>
      </c>
    </row>
    <row r="919" spans="1:3" ht="13.5" thickBot="1">
      <c r="A919" s="256">
        <v>64771</v>
      </c>
      <c r="B919" s="257" t="s">
        <v>449</v>
      </c>
      <c r="C919" s="258" t="s">
        <v>451</v>
      </c>
    </row>
    <row r="920" spans="1:3" ht="13.5" thickBot="1">
      <c r="A920" s="256">
        <v>64811</v>
      </c>
      <c r="B920" s="257" t="s">
        <v>452</v>
      </c>
      <c r="C920" s="258" t="s">
        <v>453</v>
      </c>
    </row>
    <row r="921" spans="1:3" ht="13.5" thickBot="1">
      <c r="A921" s="256">
        <v>64900</v>
      </c>
      <c r="B921" s="257" t="s">
        <v>446</v>
      </c>
      <c r="C921" s="258" t="s">
        <v>454</v>
      </c>
    </row>
    <row r="922" spans="1:3" ht="14.25" thickBot="1">
      <c r="A922" s="256">
        <v>64935</v>
      </c>
      <c r="B922" s="257" t="s">
        <v>446</v>
      </c>
      <c r="C922" s="258" t="s">
        <v>455</v>
      </c>
    </row>
    <row r="923" spans="1:3" ht="13.5" thickBot="1">
      <c r="A923" s="256">
        <v>64956</v>
      </c>
      <c r="B923" s="257" t="s">
        <v>446</v>
      </c>
      <c r="C923" s="258" t="s">
        <v>456</v>
      </c>
    </row>
    <row r="924" spans="1:3" ht="13.5" thickBot="1">
      <c r="A924" s="256">
        <v>64969</v>
      </c>
      <c r="B924" s="257" t="s">
        <v>443</v>
      </c>
      <c r="C924" s="258" t="s">
        <v>457</v>
      </c>
    </row>
    <row r="925" spans="1:3" ht="13.5" thickBot="1">
      <c r="A925" s="256">
        <v>65009</v>
      </c>
      <c r="B925" s="257" t="s">
        <v>449</v>
      </c>
      <c r="C925" s="258" t="s">
        <v>458</v>
      </c>
    </row>
    <row r="926" spans="1:3" ht="13.5" thickBot="1">
      <c r="A926" s="259">
        <v>65016</v>
      </c>
      <c r="B926" s="260" t="s">
        <v>446</v>
      </c>
      <c r="C926" s="261" t="s">
        <v>444</v>
      </c>
    </row>
    <row r="927" spans="1:3" ht="13.5" thickBot="1">
      <c r="A927" s="262">
        <v>65060</v>
      </c>
      <c r="B927" s="263" t="s">
        <v>443</v>
      </c>
      <c r="C927" s="264" t="s">
        <v>445</v>
      </c>
    </row>
    <row r="928" spans="1:3" ht="13.5" thickBot="1">
      <c r="A928" s="262">
        <v>65061</v>
      </c>
      <c r="B928" s="263" t="s">
        <v>446</v>
      </c>
      <c r="C928" s="264" t="s">
        <v>445</v>
      </c>
    </row>
    <row r="929" spans="1:3" ht="13.5" thickBot="1">
      <c r="A929" s="262">
        <v>65106</v>
      </c>
      <c r="B929" s="263" t="s">
        <v>447</v>
      </c>
      <c r="C929" s="264" t="s">
        <v>448</v>
      </c>
    </row>
    <row r="930" spans="1:3" ht="13.5" thickBot="1">
      <c r="A930" s="262">
        <v>65126</v>
      </c>
      <c r="B930" s="263" t="s">
        <v>452</v>
      </c>
      <c r="C930" s="264" t="s">
        <v>450</v>
      </c>
    </row>
    <row r="931" spans="1:3" ht="13.5" thickBot="1">
      <c r="A931" s="262">
        <v>65136</v>
      </c>
      <c r="B931" s="263" t="s">
        <v>460</v>
      </c>
      <c r="C931" s="264" t="s">
        <v>451</v>
      </c>
    </row>
    <row r="932" spans="1:3" ht="13.5" thickBot="1">
      <c r="A932" s="262">
        <v>65168</v>
      </c>
      <c r="B932" s="263" t="s">
        <v>452</v>
      </c>
      <c r="C932" s="264" t="s">
        <v>453</v>
      </c>
    </row>
    <row r="933" spans="1:3" ht="13.5" thickBot="1">
      <c r="A933" s="262">
        <v>65265</v>
      </c>
      <c r="B933" s="263" t="s">
        <v>460</v>
      </c>
      <c r="C933" s="264" t="s">
        <v>454</v>
      </c>
    </row>
    <row r="934" spans="1:3" ht="14.25" thickBot="1">
      <c r="A934" s="262">
        <v>65300</v>
      </c>
      <c r="B934" s="263" t="s">
        <v>460</v>
      </c>
      <c r="C934" s="264" t="s">
        <v>455</v>
      </c>
    </row>
    <row r="935" spans="1:3" ht="13.5" thickBot="1">
      <c r="A935" s="262">
        <v>65321</v>
      </c>
      <c r="B935" s="263" t="s">
        <v>460</v>
      </c>
      <c r="C935" s="264" t="s">
        <v>456</v>
      </c>
    </row>
    <row r="936" spans="1:3" ht="13.5" thickBot="1">
      <c r="A936" s="262">
        <v>65334</v>
      </c>
      <c r="B936" s="263" t="s">
        <v>446</v>
      </c>
      <c r="C936" s="264" t="s">
        <v>457</v>
      </c>
    </row>
    <row r="937" spans="1:3" ht="13.5" thickBot="1">
      <c r="A937" s="262">
        <v>65374</v>
      </c>
      <c r="B937" s="263" t="s">
        <v>460</v>
      </c>
      <c r="C937" s="264" t="s">
        <v>458</v>
      </c>
    </row>
    <row r="938" spans="1:3">
      <c r="A938" s="268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Resumo Cenarios</vt:lpstr>
      <vt:lpstr>Projeção --&gt;</vt:lpstr>
      <vt:lpstr>PROJ_AGCeAGPar</vt:lpstr>
      <vt:lpstr>PROJ_ConsAG</vt:lpstr>
      <vt:lpstr>Financiamentos</vt:lpstr>
      <vt:lpstr>DIVIDA AGPar</vt:lpstr>
      <vt:lpstr>DIVIDA AGConcessoes</vt:lpstr>
      <vt:lpstr>Links --&gt;</vt:lpstr>
      <vt:lpstr>Macroeconomics</vt:lpstr>
      <vt:lpstr>Tabelas Relatorio --&gt;</vt:lpstr>
      <vt:lpstr>Duration</vt:lpstr>
      <vt:lpstr>FERIADO</vt:lpstr>
      <vt:lpstr>FERIADO</vt:lpstr>
    </vt:vector>
  </TitlesOfParts>
  <Company>Santander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Andrade Gutierrez Participações S.A.</dc:title>
  <dc:creator>Victor Lopes Schmutzler</dc:creator>
  <cp:lastModifiedBy>Victor L Schmutzler (T661910)</cp:lastModifiedBy>
  <cp:lastPrinted>2012-05-24T15:06:41Z</cp:lastPrinted>
  <dcterms:created xsi:type="dcterms:W3CDTF">2006-05-18T17:32:56Z</dcterms:created>
  <dcterms:modified xsi:type="dcterms:W3CDTF">2012-06-13T19:07:24Z</dcterms:modified>
  <cp:category>Santander Credit Research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